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3.xml" ContentType="application/vnd.openxmlformats-officedocument.spreadsheetml.comments+xml"/>
  <Override PartName="/xl/drawings/drawing2.xml" ContentType="application/vnd.openxmlformats-officedocument.drawing+xml"/>
  <Override PartName="/xl/ctrlProps/ctrlProp3.xml" ContentType="application/vnd.ms-excel.controlproperties+xml"/>
  <Override PartName="/xl/comments4.xml" ContentType="application/vnd.openxmlformats-officedocument.spreadsheetml.comments+xml"/>
  <Override PartName="/xl/drawings/drawing3.xml" ContentType="application/vnd.openxmlformats-officedocument.drawing+xml"/>
  <Override PartName="/xl/ctrlProps/ctrlProp4.xml" ContentType="application/vnd.ms-excel.controlproperties+xml"/>
  <Override PartName="/xl/comments5.xml" ContentType="application/vnd.openxmlformats-officedocument.spreadsheetml.comments+xml"/>
  <Override PartName="/xl/comments6.xml" ContentType="application/vnd.openxmlformats-officedocument.spreadsheetml.comments+xml"/>
  <Override PartName="/xl/drawings/drawing4.xml" ContentType="application/vnd.openxmlformats-officedocument.drawing+xml"/>
  <Override PartName="/xl/ctrlProps/ctrlProp5.xml" ContentType="application/vnd.ms-excel.controlproperties+xml"/>
  <Override PartName="/xl/drawings/drawing5.xml" ContentType="application/vnd.openxmlformats-officedocument.drawing+xml"/>
  <Override PartName="/xl/ctrlProps/ctrlProp6.xml" ContentType="application/vnd.ms-excel.controlproperties+xml"/>
  <Override PartName="/xl/ctrlProps/ctrlProp7.xml" ContentType="application/vnd.ms-excel.controlproperties+xml"/>
  <Override PartName="/xl/drawings/drawing6.xml" ContentType="application/vnd.openxmlformats-officedocument.drawing+xml"/>
  <Override PartName="/xl/ctrlProps/ctrlProp8.xml" ContentType="application/vnd.ms-excel.controlproperties+xml"/>
  <Override PartName="/xl/ctrlProps/ctrlProp9.xml" ContentType="application/vnd.ms-excel.controlproperties+xml"/>
  <Override PartName="/xl/drawings/drawing7.xml" ContentType="application/vnd.openxmlformats-officedocument.drawing+xml"/>
  <Override PartName="/xl/ctrlProps/ctrlProp10.xml" ContentType="application/vnd.ms-excel.controlproperties+xml"/>
  <Override PartName="/xl/ctrlProps/ctrlProp11.xml" ContentType="application/vnd.ms-excel.controlproperties+xml"/>
  <Override PartName="/xl/drawings/drawing8.xml" ContentType="application/vnd.openxmlformats-officedocument.drawing+xml"/>
  <Override PartName="/xl/ctrlProps/ctrlProp12.xml" ContentType="application/vnd.ms-excel.controlproperties+xml"/>
  <Override PartName="/xl/ctrlProps/ctrlProp13.xml" ContentType="application/vnd.ms-excel.controlproperties+xml"/>
  <Override PartName="/xl/drawings/drawing9.xml" ContentType="application/vnd.openxmlformats-officedocument.drawing+xml"/>
  <Override PartName="/xl/ctrlProps/ctrlProp14.xml" ContentType="application/vnd.ms-excel.controlproperties+xml"/>
  <Override PartName="/xl/ctrlProps/ctrlProp15.xml" ContentType="application/vnd.ms-excel.controlproperties+xml"/>
  <Override PartName="/xl/drawings/drawing10.xml" ContentType="application/vnd.openxmlformats-officedocument.drawing+xml"/>
  <Override PartName="/xl/ctrlProps/ctrlProp16.xml" ContentType="application/vnd.ms-excel.controlproperties+xml"/>
  <Override PartName="/xl/ctrlProps/ctrlProp17.xml" ContentType="application/vnd.ms-excel.controlproperties+xml"/>
  <Override PartName="/xl/drawings/drawing11.xml" ContentType="application/vnd.openxmlformats-officedocument.drawing+xml"/>
  <Override PartName="/xl/ctrlProps/ctrlProp18.xml" ContentType="application/vnd.ms-excel.controlproperties+xml"/>
  <Override PartName="/xl/ctrlProps/ctrlProp19.xml" ContentType="application/vnd.ms-excel.controlproperties+xml"/>
  <Override PartName="/xl/drawings/drawing12.xml" ContentType="application/vnd.openxmlformats-officedocument.drawing+xml"/>
  <Override PartName="/xl/ctrlProps/ctrlProp20.xml" ContentType="application/vnd.ms-excel.controlproperties+xml"/>
  <Override PartName="/xl/drawings/drawing13.xml" ContentType="application/vnd.openxmlformats-officedocument.drawing+xml"/>
  <Override PartName="/xl/ctrlProps/ctrlProp21.xml" ContentType="application/vnd.ms-excel.controlproperties+xml"/>
  <Override PartName="/xl/ctrlProps/ctrlProp22.xml" ContentType="application/vnd.ms-excel.controlproperties+xml"/>
  <Override PartName="/xl/drawings/drawing14.xml" ContentType="application/vnd.openxmlformats-officedocument.drawing+xml"/>
  <Override PartName="/xl/ctrlProps/ctrlProp23.xml" ContentType="application/vnd.ms-excel.controlproperties+xml"/>
  <Override PartName="/xl/comments7.xml" ContentType="application/vnd.openxmlformats-officedocument.spreadsheetml.comments+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backupFile="1" codeName="Tento_sešit"/>
  <mc:AlternateContent xmlns:mc="http://schemas.openxmlformats.org/markup-compatibility/2006">
    <mc:Choice Requires="x15">
      <x15ac:absPath xmlns:x15ac="http://schemas.microsoft.com/office/spreadsheetml/2010/11/ac" url="c:\PETANQUE\HTM\tur_2024\"/>
    </mc:Choice>
  </mc:AlternateContent>
  <xr:revisionPtr revIDLastSave="0" documentId="8_{A7D59FCB-6039-4F62-B97A-E6FBCA1A3F01}" xr6:coauthVersionLast="47" xr6:coauthVersionMax="47" xr10:uidLastSave="{00000000-0000-0000-0000-000000000000}"/>
  <workbookProtection workbookAlgorithmName="SHA-512" workbookHashValue="zl1FHfj6UG59ObjfnHKRqM1/1dS/nvoZuCMSvLWe9r4G3ECKd8D/quGJp4ZeCH5YTgN3bzVFk883KNEkGK5A8A==" workbookSaltValue="oJmOJEyFXMWscZDI+s2JcQ==" workbookSpinCount="100000" lockStructure="1"/>
  <bookViews>
    <workbookView xWindow="1611" yWindow="94" windowWidth="10406" windowHeight="12866" tabRatio="802" firstSheet="3" activeTab="5" xr2:uid="{00000000-000D-0000-FFFF-FFFF00000000}"/>
  </bookViews>
  <sheets>
    <sheet name="Instrukce" sheetId="121" r:id="rId1"/>
    <sheet name="Turnaje" sheetId="71" r:id="rId2"/>
    <sheet name="Kluby" sheetId="72" state="hidden" r:id="rId3"/>
    <sheet name="Hraci" sheetId="70" r:id="rId4"/>
    <sheet name="Internet" sheetId="129" r:id="rId5"/>
    <sheet name="Start.listina" sheetId="47" r:id="rId6"/>
    <sheet name="Zápis" sheetId="132" r:id="rId7"/>
    <sheet name="Pořadí_švýcar" sheetId="131" r:id="rId8"/>
    <sheet name="Centrum" sheetId="128" state="hidden" r:id="rId9"/>
    <sheet name="Kvalita turnaje" sheetId="63" state="hidden" r:id="rId10"/>
    <sheet name="Postupy" sheetId="115" state="hidden" r:id="rId11"/>
    <sheet name="1.kolo" sheetId="122" r:id="rId12"/>
    <sheet name="2.kolo" sheetId="123" r:id="rId13"/>
    <sheet name="3.kolo" sheetId="124" r:id="rId14"/>
    <sheet name="4.kolo" sheetId="125" r:id="rId15"/>
    <sheet name="5.kolo" sheetId="126" r:id="rId16"/>
    <sheet name="6.kolo" sheetId="127" r:id="rId17"/>
    <sheet name="Hřiště" sheetId="130" state="hidden" r:id="rId18"/>
    <sheet name="KO64" sheetId="120" r:id="rId19"/>
    <sheet name="KO32" sheetId="109" r:id="rId20"/>
    <sheet name="KO16" sheetId="110" r:id="rId21"/>
    <sheet name="Dohrávka_9-16" sheetId="56" r:id="rId22"/>
    <sheet name="KO8" sheetId="119" r:id="rId23"/>
    <sheet name="Dohrávka_5-8" sheetId="55" r:id="rId24"/>
    <sheet name="KO4" sheetId="118" r:id="rId25"/>
    <sheet name="Konečné_pořadí_1_16" sheetId="116" r:id="rId26"/>
    <sheet name="Body" sheetId="112" state="hidden" r:id="rId27"/>
    <sheet name="Bonusy" sheetId="114" state="hidden" r:id="rId28"/>
    <sheet name="Paušál" sheetId="113" state="hidden" r:id="rId29"/>
    <sheet name="Počet kol" sheetId="111" state="hidden" r:id="rId30"/>
    <sheet name="Vysledky" sheetId="61" state="hidden" r:id="rId31"/>
  </sheets>
  <definedNames>
    <definedName name="_xlnm.Print_Area" localSheetId="11">'1.kolo'!$E$1:$I$66</definedName>
    <definedName name="_xlnm.Print_Area" localSheetId="12">'2.kolo'!$E$1:$I$66</definedName>
    <definedName name="_xlnm.Print_Area" localSheetId="14">'4.kolo'!$E$1:$I$66</definedName>
    <definedName name="_xlnm.Print_Area" localSheetId="15">'5.kolo'!$E$1:$I$66</definedName>
    <definedName name="_xlnm.Print_Area" localSheetId="16">'6.kolo'!$E$1:$I$66</definedName>
    <definedName name="_xlnm.Print_Area" localSheetId="8">Centrum!$A$1:$CE$130</definedName>
    <definedName name="_xlnm.Print_Area" localSheetId="23">'Dohrávka_5-8'!$B$1:$M$13</definedName>
    <definedName name="_xlnm.Print_Area" localSheetId="21">'Dohrávka_9-16'!$B$1:$Q$35</definedName>
    <definedName name="_xlnm.Print_Area" localSheetId="20">'KO16'!$A$1:$U$33</definedName>
    <definedName name="_xlnm.Print_Area" localSheetId="19">'KO32'!$A$1:$Y$66</definedName>
    <definedName name="_xlnm.Print_Area" localSheetId="24">'KO4'!$A$1:$M$17</definedName>
    <definedName name="_xlnm.Print_Area" localSheetId="18">'KO64'!$A$1:$AC$130</definedName>
    <definedName name="_xlnm.Print_Area" localSheetId="22">'KO8'!$A$1:$Q$21</definedName>
    <definedName name="_xlnm.Print_Area" localSheetId="25">Konečné_pořadí_1_16!$A$1:$B$24</definedName>
    <definedName name="_xlnm.Print_Area" localSheetId="9">'Kvalita turnaje'!$A$1:$F$20</definedName>
    <definedName name="_xlnm.Print_Area" localSheetId="5">Start.listina!$G$1:$Z$138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8" i="116" l="1"/>
  <c r="C19" i="116"/>
  <c r="K2" i="47"/>
  <c r="K6" i="47"/>
  <c r="W60" i="128"/>
  <c r="W61" i="128"/>
  <c r="W62" i="128"/>
  <c r="W63" i="128"/>
  <c r="W64" i="128"/>
  <c r="W65" i="128"/>
  <c r="W66" i="128"/>
  <c r="W67" i="128"/>
  <c r="W68" i="128"/>
  <c r="W69" i="128"/>
  <c r="W70" i="128"/>
  <c r="W71" i="128"/>
  <c r="W72" i="128"/>
  <c r="W73" i="128"/>
  <c r="W74" i="128"/>
  <c r="W75" i="128"/>
  <c r="W76" i="128"/>
  <c r="W77" i="128"/>
  <c r="W78" i="128"/>
  <c r="W79" i="128"/>
  <c r="W80" i="128"/>
  <c r="W81" i="128"/>
  <c r="W82" i="128"/>
  <c r="W83" i="128"/>
  <c r="W84" i="128"/>
  <c r="W85" i="128"/>
  <c r="W86" i="128"/>
  <c r="W87" i="128"/>
  <c r="W88" i="128"/>
  <c r="W89" i="128"/>
  <c r="W90" i="128"/>
  <c r="W91" i="128"/>
  <c r="W92" i="128"/>
  <c r="W93" i="128"/>
  <c r="W94" i="128"/>
  <c r="W95" i="128"/>
  <c r="W96" i="128"/>
  <c r="W97" i="128"/>
  <c r="W98" i="128"/>
  <c r="W99" i="128"/>
  <c r="W100" i="128"/>
  <c r="W101" i="128"/>
  <c r="W102" i="128"/>
  <c r="W103" i="128"/>
  <c r="W104" i="128"/>
  <c r="W105" i="128"/>
  <c r="W106" i="128"/>
  <c r="W107" i="128"/>
  <c r="W108" i="128"/>
  <c r="W109" i="128"/>
  <c r="W110" i="128"/>
  <c r="W111" i="128"/>
  <c r="W112" i="128"/>
  <c r="W113" i="128"/>
  <c r="W114" i="128"/>
  <c r="W115" i="128"/>
  <c r="W116" i="128"/>
  <c r="W117" i="128"/>
  <c r="W118" i="128"/>
  <c r="W119" i="128"/>
  <c r="W120" i="128"/>
  <c r="W121" i="128"/>
  <c r="W122" i="128"/>
  <c r="W123" i="128"/>
  <c r="W124" i="128"/>
  <c r="W125" i="128"/>
  <c r="W126" i="128"/>
  <c r="W127" i="128"/>
  <c r="W128" i="128"/>
  <c r="W129" i="128"/>
  <c r="W130" i="128"/>
  <c r="A1" i="131"/>
  <c r="D6" i="112"/>
  <c r="D8" i="112"/>
  <c r="D9" i="112"/>
  <c r="D10" i="112"/>
  <c r="D12" i="112"/>
  <c r="D13" i="112"/>
  <c r="D14" i="112"/>
  <c r="D15" i="112"/>
  <c r="D16" i="112"/>
  <c r="D17" i="112"/>
  <c r="D18" i="112"/>
  <c r="D20" i="112"/>
  <c r="D21" i="112"/>
  <c r="D22" i="112"/>
  <c r="D23" i="112"/>
  <c r="D24" i="112"/>
  <c r="D25" i="112"/>
  <c r="D26" i="112"/>
  <c r="D27" i="112"/>
  <c r="D28" i="112"/>
  <c r="D29" i="112"/>
  <c r="D30" i="112"/>
  <c r="D31" i="112"/>
  <c r="D32" i="112"/>
  <c r="D33" i="112"/>
  <c r="D34" i="112"/>
  <c r="D36" i="112"/>
  <c r="D37" i="112"/>
  <c r="D38" i="112"/>
  <c r="D39" i="112"/>
  <c r="D40" i="112"/>
  <c r="D41" i="112"/>
  <c r="D42" i="112"/>
  <c r="D43" i="112"/>
  <c r="D44" i="112"/>
  <c r="D45" i="112"/>
  <c r="D46" i="112"/>
  <c r="D47" i="112"/>
  <c r="D48" i="112"/>
  <c r="D49" i="112"/>
  <c r="D50" i="112"/>
  <c r="D51" i="112"/>
  <c r="D52" i="112"/>
  <c r="D53" i="112"/>
  <c r="D54" i="112"/>
  <c r="D55" i="112"/>
  <c r="D56" i="112"/>
  <c r="D57" i="112"/>
  <c r="D58" i="112"/>
  <c r="D59" i="112"/>
  <c r="D60" i="112"/>
  <c r="D61" i="112"/>
  <c r="D62" i="112"/>
  <c r="D63" i="112"/>
  <c r="D64" i="112"/>
  <c r="D65" i="112"/>
  <c r="D66" i="112"/>
  <c r="L1" i="128"/>
  <c r="U3" i="128"/>
  <c r="X3" i="128"/>
  <c r="BV3" i="128"/>
  <c r="CE3" i="128"/>
  <c r="U4" i="128"/>
  <c r="X4" i="128"/>
  <c r="BV4" i="128"/>
  <c r="CE4" i="128"/>
  <c r="U5" i="128"/>
  <c r="X5" i="128"/>
  <c r="BV5" i="128"/>
  <c r="CE5" i="128"/>
  <c r="U6" i="128"/>
  <c r="X6" i="128"/>
  <c r="BV6" i="128"/>
  <c r="CE6" i="128"/>
  <c r="U7" i="128"/>
  <c r="X7" i="128"/>
  <c r="BV7" i="128"/>
  <c r="CE7" i="128"/>
  <c r="U8" i="128"/>
  <c r="X8" i="128"/>
  <c r="BV8" i="128"/>
  <c r="CE8" i="128"/>
  <c r="U9" i="128"/>
  <c r="X9" i="128"/>
  <c r="BV9" i="128"/>
  <c r="CE9" i="128"/>
  <c r="U10" i="128"/>
  <c r="X10" i="128"/>
  <c r="BV10" i="128"/>
  <c r="CE10" i="128"/>
  <c r="U11" i="128"/>
  <c r="X11" i="128"/>
  <c r="BV11" i="128"/>
  <c r="CE11" i="128"/>
  <c r="U12" i="128"/>
  <c r="X12" i="128"/>
  <c r="BV12" i="128"/>
  <c r="CE12" i="128"/>
  <c r="U13" i="128"/>
  <c r="X13" i="128"/>
  <c r="BV13" i="128"/>
  <c r="CE13" i="128"/>
  <c r="U14" i="128"/>
  <c r="X14" i="128"/>
  <c r="BV14" i="128"/>
  <c r="CE14" i="128"/>
  <c r="U15" i="128"/>
  <c r="X15" i="128"/>
  <c r="BV15" i="128"/>
  <c r="CE15" i="128"/>
  <c r="U16" i="128"/>
  <c r="X16" i="128"/>
  <c r="BV16" i="128"/>
  <c r="CE16" i="128"/>
  <c r="U17" i="128"/>
  <c r="X17" i="128"/>
  <c r="BV17" i="128"/>
  <c r="CE17" i="128"/>
  <c r="U18" i="128"/>
  <c r="X18" i="128"/>
  <c r="BV18" i="128"/>
  <c r="CE18" i="128"/>
  <c r="U19" i="128"/>
  <c r="X19" i="128"/>
  <c r="BV19" i="128"/>
  <c r="CE19" i="128"/>
  <c r="U20" i="128"/>
  <c r="X20" i="128"/>
  <c r="BV20" i="128"/>
  <c r="CE20" i="128"/>
  <c r="U21" i="128"/>
  <c r="X21" i="128"/>
  <c r="BV21" i="128"/>
  <c r="CE21" i="128"/>
  <c r="U22" i="128"/>
  <c r="X22" i="128"/>
  <c r="BV22" i="128"/>
  <c r="CE22" i="128"/>
  <c r="U23" i="128"/>
  <c r="X23" i="128"/>
  <c r="BV23" i="128"/>
  <c r="CE23" i="128"/>
  <c r="U24" i="128"/>
  <c r="X24" i="128"/>
  <c r="BV24" i="128"/>
  <c r="CE24" i="128"/>
  <c r="U25" i="128"/>
  <c r="X25" i="128"/>
  <c r="BV25" i="128"/>
  <c r="CE25" i="128"/>
  <c r="U26" i="128"/>
  <c r="X26" i="128"/>
  <c r="BV26" i="128"/>
  <c r="CE26" i="128"/>
  <c r="U27" i="128"/>
  <c r="X27" i="128"/>
  <c r="BV27" i="128"/>
  <c r="CE27" i="128"/>
  <c r="U28" i="128"/>
  <c r="X28" i="128"/>
  <c r="BV28" i="128"/>
  <c r="CE28" i="128"/>
  <c r="U29" i="128"/>
  <c r="X29" i="128"/>
  <c r="BV29" i="128"/>
  <c r="CE29" i="128"/>
  <c r="U30" i="128"/>
  <c r="X30" i="128"/>
  <c r="BV30" i="128"/>
  <c r="CE30" i="128"/>
  <c r="U31" i="128"/>
  <c r="X31" i="128"/>
  <c r="BV31" i="128"/>
  <c r="CE31" i="128"/>
  <c r="U32" i="128"/>
  <c r="X32" i="128"/>
  <c r="BV32" i="128"/>
  <c r="CE32" i="128"/>
  <c r="U33" i="128"/>
  <c r="X33" i="128"/>
  <c r="BV33" i="128"/>
  <c r="CE33" i="128"/>
  <c r="U34" i="128"/>
  <c r="X34" i="128"/>
  <c r="BV34" i="128"/>
  <c r="CE34" i="128"/>
  <c r="U35" i="128"/>
  <c r="X35" i="128"/>
  <c r="BV35" i="128"/>
  <c r="CE35" i="128"/>
  <c r="U36" i="128"/>
  <c r="X36" i="128"/>
  <c r="BV36" i="128"/>
  <c r="CE36" i="128"/>
  <c r="U37" i="128"/>
  <c r="X37" i="128"/>
  <c r="BV37" i="128"/>
  <c r="CE37" i="128"/>
  <c r="U38" i="128"/>
  <c r="X38" i="128"/>
  <c r="BV38" i="128"/>
  <c r="CE38" i="128"/>
  <c r="U39" i="128"/>
  <c r="X39" i="128"/>
  <c r="BV39" i="128"/>
  <c r="CE39" i="128"/>
  <c r="U40" i="128"/>
  <c r="X40" i="128"/>
  <c r="BV40" i="128"/>
  <c r="CE40" i="128"/>
  <c r="U41" i="128"/>
  <c r="X41" i="128"/>
  <c r="BV41" i="128"/>
  <c r="CE41" i="128"/>
  <c r="U42" i="128"/>
  <c r="X42" i="128"/>
  <c r="BV42" i="128"/>
  <c r="CE42" i="128"/>
  <c r="U43" i="128"/>
  <c r="X43" i="128"/>
  <c r="BV43" i="128"/>
  <c r="CE43" i="128"/>
  <c r="U44" i="128"/>
  <c r="X44" i="128"/>
  <c r="BV44" i="128"/>
  <c r="CE44" i="128"/>
  <c r="U45" i="128"/>
  <c r="X45" i="128"/>
  <c r="BV45" i="128"/>
  <c r="CE45" i="128"/>
  <c r="U46" i="128"/>
  <c r="X46" i="128"/>
  <c r="BV46" i="128"/>
  <c r="CE46" i="128"/>
  <c r="U47" i="128"/>
  <c r="X47" i="128"/>
  <c r="BV47" i="128"/>
  <c r="CE47" i="128"/>
  <c r="U48" i="128"/>
  <c r="X48" i="128"/>
  <c r="BV48" i="128"/>
  <c r="CE48" i="128"/>
  <c r="U49" i="128"/>
  <c r="X49" i="128"/>
  <c r="BV49" i="128"/>
  <c r="CE49" i="128"/>
  <c r="U50" i="128"/>
  <c r="X50" i="128"/>
  <c r="BV50" i="128"/>
  <c r="CE50" i="128"/>
  <c r="U51" i="128"/>
  <c r="X51" i="128"/>
  <c r="BV51" i="128"/>
  <c r="CE51" i="128"/>
  <c r="U52" i="128"/>
  <c r="X52" i="128"/>
  <c r="BV52" i="128"/>
  <c r="CE52" i="128"/>
  <c r="U53" i="128"/>
  <c r="X53" i="128"/>
  <c r="BV53" i="128"/>
  <c r="CE53" i="128"/>
  <c r="U54" i="128"/>
  <c r="X54" i="128"/>
  <c r="BV54" i="128"/>
  <c r="CE54" i="128"/>
  <c r="U55" i="128"/>
  <c r="X55" i="128"/>
  <c r="BV55" i="128"/>
  <c r="CE55" i="128"/>
  <c r="U56" i="128"/>
  <c r="X56" i="128"/>
  <c r="BV56" i="128"/>
  <c r="CE56" i="128"/>
  <c r="U57" i="128"/>
  <c r="X57" i="128"/>
  <c r="BV57" i="128"/>
  <c r="CE57" i="128"/>
  <c r="U58" i="128"/>
  <c r="X58" i="128"/>
  <c r="BV58" i="128"/>
  <c r="CE58" i="128"/>
  <c r="U59" i="128"/>
  <c r="X59" i="128"/>
  <c r="BV59" i="128"/>
  <c r="CE59" i="128"/>
  <c r="U60" i="128"/>
  <c r="X60" i="128"/>
  <c r="AU60" i="128"/>
  <c r="BD60" i="128"/>
  <c r="BM60" i="128"/>
  <c r="BV60" i="128"/>
  <c r="CE60" i="128"/>
  <c r="U61" i="128"/>
  <c r="X61" i="128"/>
  <c r="AU61" i="128"/>
  <c r="BD61" i="128"/>
  <c r="BM61" i="128"/>
  <c r="BV61" i="128"/>
  <c r="CE61" i="128"/>
  <c r="U62" i="128"/>
  <c r="X62" i="128"/>
  <c r="AU62" i="128"/>
  <c r="BD62" i="128"/>
  <c r="BM62" i="128"/>
  <c r="BV62" i="128"/>
  <c r="CE62" i="128"/>
  <c r="U63" i="128"/>
  <c r="X63" i="128"/>
  <c r="AU63" i="128"/>
  <c r="BD63" i="128"/>
  <c r="BM63" i="128"/>
  <c r="BV63" i="128"/>
  <c r="CE63" i="128"/>
  <c r="U64" i="128"/>
  <c r="X64" i="128"/>
  <c r="AU64" i="128"/>
  <c r="BD64" i="128"/>
  <c r="BM64" i="128"/>
  <c r="BV64" i="128"/>
  <c r="CE64" i="128"/>
  <c r="U65" i="128"/>
  <c r="X65" i="128"/>
  <c r="AU65" i="128"/>
  <c r="BD65" i="128"/>
  <c r="BM65" i="128"/>
  <c r="BV65" i="128"/>
  <c r="CE65" i="128"/>
  <c r="U66" i="128"/>
  <c r="X66" i="128"/>
  <c r="AU66" i="128"/>
  <c r="BD66" i="128"/>
  <c r="BM66" i="128"/>
  <c r="BV66" i="128"/>
  <c r="CE66" i="128"/>
  <c r="U67" i="128"/>
  <c r="X67" i="128"/>
  <c r="AU67" i="128"/>
  <c r="BD67" i="128"/>
  <c r="BM67" i="128"/>
  <c r="BV67" i="128"/>
  <c r="CE67" i="128"/>
  <c r="U68" i="128"/>
  <c r="X68" i="128"/>
  <c r="AU68" i="128"/>
  <c r="BD68" i="128"/>
  <c r="BM68" i="128"/>
  <c r="BV68" i="128"/>
  <c r="CE68" i="128"/>
  <c r="U69" i="128"/>
  <c r="X69" i="128"/>
  <c r="AU69" i="128"/>
  <c r="BD69" i="128"/>
  <c r="BM69" i="128"/>
  <c r="BV69" i="128"/>
  <c r="CE69" i="128"/>
  <c r="U70" i="128"/>
  <c r="X70" i="128"/>
  <c r="AU70" i="128"/>
  <c r="BD70" i="128"/>
  <c r="BM70" i="128"/>
  <c r="BV70" i="128"/>
  <c r="CE70" i="128"/>
  <c r="U71" i="128"/>
  <c r="X71" i="128"/>
  <c r="AU71" i="128"/>
  <c r="BD71" i="128"/>
  <c r="BM71" i="128"/>
  <c r="BV71" i="128"/>
  <c r="CE71" i="128"/>
  <c r="U72" i="128"/>
  <c r="X72" i="128"/>
  <c r="AU72" i="128"/>
  <c r="BD72" i="128"/>
  <c r="BM72" i="128"/>
  <c r="BV72" i="128"/>
  <c r="CE72" i="128"/>
  <c r="U73" i="128"/>
  <c r="X73" i="128"/>
  <c r="AU73" i="128"/>
  <c r="BD73" i="128"/>
  <c r="BM73" i="128"/>
  <c r="BV73" i="128"/>
  <c r="CE73" i="128"/>
  <c r="U74" i="128"/>
  <c r="X74" i="128"/>
  <c r="AU74" i="128"/>
  <c r="BD74" i="128"/>
  <c r="BM74" i="128"/>
  <c r="BV74" i="128"/>
  <c r="CE74" i="128"/>
  <c r="U75" i="128"/>
  <c r="X75" i="128"/>
  <c r="AU75" i="128"/>
  <c r="BD75" i="128"/>
  <c r="BM75" i="128"/>
  <c r="BV75" i="128"/>
  <c r="CE75" i="128"/>
  <c r="U76" i="128"/>
  <c r="X76" i="128"/>
  <c r="AU76" i="128"/>
  <c r="BD76" i="128"/>
  <c r="BM76" i="128"/>
  <c r="BV76" i="128"/>
  <c r="CE76" i="128"/>
  <c r="U77" i="128"/>
  <c r="X77" i="128"/>
  <c r="AU77" i="128"/>
  <c r="BD77" i="128"/>
  <c r="BM77" i="128"/>
  <c r="BV77" i="128"/>
  <c r="CE77" i="128"/>
  <c r="U78" i="128"/>
  <c r="X78" i="128"/>
  <c r="AU78" i="128"/>
  <c r="BD78" i="128"/>
  <c r="BM78" i="128"/>
  <c r="BV78" i="128"/>
  <c r="CE78" i="128"/>
  <c r="U79" i="128"/>
  <c r="X79" i="128"/>
  <c r="AU79" i="128"/>
  <c r="BD79" i="128"/>
  <c r="BM79" i="128"/>
  <c r="BV79" i="128"/>
  <c r="CE79" i="128"/>
  <c r="U80" i="128"/>
  <c r="X80" i="128"/>
  <c r="AU80" i="128"/>
  <c r="BD80" i="128"/>
  <c r="BM80" i="128"/>
  <c r="BV80" i="128"/>
  <c r="CE80" i="128"/>
  <c r="U81" i="128"/>
  <c r="X81" i="128"/>
  <c r="AU81" i="128"/>
  <c r="BD81" i="128"/>
  <c r="BM81" i="128"/>
  <c r="BV81" i="128"/>
  <c r="CE81" i="128"/>
  <c r="U82" i="128"/>
  <c r="X82" i="128"/>
  <c r="AU82" i="128"/>
  <c r="BD82" i="128"/>
  <c r="BM82" i="128"/>
  <c r="BV82" i="128"/>
  <c r="CE82" i="128"/>
  <c r="U83" i="128"/>
  <c r="X83" i="128"/>
  <c r="AU83" i="128"/>
  <c r="BD83" i="128"/>
  <c r="BM83" i="128"/>
  <c r="BV83" i="128"/>
  <c r="CE83" i="128"/>
  <c r="U84" i="128"/>
  <c r="X84" i="128"/>
  <c r="AU84" i="128"/>
  <c r="BD84" i="128"/>
  <c r="BM84" i="128"/>
  <c r="BV84" i="128"/>
  <c r="CE84" i="128"/>
  <c r="U85" i="128"/>
  <c r="X85" i="128"/>
  <c r="AU85" i="128"/>
  <c r="BD85" i="128"/>
  <c r="BM85" i="128"/>
  <c r="BV85" i="128"/>
  <c r="CE85" i="128"/>
  <c r="U86" i="128"/>
  <c r="X86" i="128"/>
  <c r="AU86" i="128"/>
  <c r="BD86" i="128"/>
  <c r="BM86" i="128"/>
  <c r="BV86" i="128"/>
  <c r="CE86" i="128"/>
  <c r="U87" i="128"/>
  <c r="X87" i="128"/>
  <c r="AU87" i="128"/>
  <c r="BD87" i="128"/>
  <c r="BM87" i="128"/>
  <c r="BV87" i="128"/>
  <c r="CE87" i="128"/>
  <c r="U88" i="128"/>
  <c r="X88" i="128"/>
  <c r="AU88" i="128"/>
  <c r="BD88" i="128"/>
  <c r="BM88" i="128"/>
  <c r="BV88" i="128"/>
  <c r="CE88" i="128"/>
  <c r="U89" i="128"/>
  <c r="X89" i="128"/>
  <c r="AU89" i="128"/>
  <c r="BD89" i="128"/>
  <c r="BM89" i="128"/>
  <c r="BV89" i="128"/>
  <c r="CE89" i="128"/>
  <c r="U90" i="128"/>
  <c r="X90" i="128"/>
  <c r="AU90" i="128"/>
  <c r="BD90" i="128"/>
  <c r="BM90" i="128"/>
  <c r="BV90" i="128"/>
  <c r="CE90" i="128"/>
  <c r="U91" i="128"/>
  <c r="X91" i="128"/>
  <c r="AU91" i="128"/>
  <c r="BD91" i="128"/>
  <c r="BM91" i="128"/>
  <c r="BV91" i="128"/>
  <c r="CE91" i="128"/>
  <c r="U92" i="128"/>
  <c r="X92" i="128"/>
  <c r="AU92" i="128"/>
  <c r="BD92" i="128"/>
  <c r="BM92" i="128"/>
  <c r="BV92" i="128"/>
  <c r="CE92" i="128"/>
  <c r="U93" i="128"/>
  <c r="X93" i="128"/>
  <c r="AU93" i="128"/>
  <c r="BD93" i="128"/>
  <c r="BM93" i="128"/>
  <c r="BV93" i="128"/>
  <c r="CE93" i="128"/>
  <c r="U94" i="128"/>
  <c r="X94" i="128"/>
  <c r="AU94" i="128"/>
  <c r="BD94" i="128"/>
  <c r="BM94" i="128"/>
  <c r="BV94" i="128"/>
  <c r="CE94" i="128"/>
  <c r="U95" i="128"/>
  <c r="X95" i="128"/>
  <c r="AU95" i="128"/>
  <c r="BD95" i="128"/>
  <c r="BM95" i="128"/>
  <c r="BV95" i="128"/>
  <c r="CE95" i="128"/>
  <c r="U96" i="128"/>
  <c r="X96" i="128"/>
  <c r="AU96" i="128"/>
  <c r="BD96" i="128"/>
  <c r="BM96" i="128"/>
  <c r="BV96" i="128"/>
  <c r="CE96" i="128"/>
  <c r="U97" i="128"/>
  <c r="X97" i="128"/>
  <c r="AU97" i="128"/>
  <c r="BD97" i="128"/>
  <c r="BM97" i="128"/>
  <c r="BV97" i="128"/>
  <c r="CE97" i="128"/>
  <c r="U98" i="128"/>
  <c r="X98" i="128"/>
  <c r="AU98" i="128"/>
  <c r="BD98" i="128"/>
  <c r="BM98" i="128"/>
  <c r="BV98" i="128"/>
  <c r="CE98" i="128"/>
  <c r="U99" i="128"/>
  <c r="X99" i="128"/>
  <c r="AU99" i="128"/>
  <c r="BD99" i="128"/>
  <c r="BM99" i="128"/>
  <c r="BV99" i="128"/>
  <c r="CE99" i="128"/>
  <c r="U100" i="128"/>
  <c r="X100" i="128"/>
  <c r="AU100" i="128"/>
  <c r="BD100" i="128"/>
  <c r="BM100" i="128"/>
  <c r="BV100" i="128"/>
  <c r="CE100" i="128"/>
  <c r="U101" i="128"/>
  <c r="X101" i="128"/>
  <c r="AU101" i="128"/>
  <c r="BD101" i="128"/>
  <c r="BM101" i="128"/>
  <c r="BV101" i="128"/>
  <c r="CE101" i="128"/>
  <c r="U102" i="128"/>
  <c r="X102" i="128"/>
  <c r="AU102" i="128"/>
  <c r="BD102" i="128"/>
  <c r="BM102" i="128"/>
  <c r="BV102" i="128"/>
  <c r="CE102" i="128"/>
  <c r="U103" i="128"/>
  <c r="X103" i="128"/>
  <c r="AU103" i="128"/>
  <c r="BD103" i="128"/>
  <c r="BM103" i="128"/>
  <c r="BV103" i="128"/>
  <c r="CE103" i="128"/>
  <c r="U104" i="128"/>
  <c r="X104" i="128"/>
  <c r="AU104" i="128"/>
  <c r="BD104" i="128"/>
  <c r="BM104" i="128"/>
  <c r="BV104" i="128"/>
  <c r="CE104" i="128"/>
  <c r="U105" i="128"/>
  <c r="X105" i="128"/>
  <c r="AU105" i="128"/>
  <c r="BD105" i="128"/>
  <c r="BM105" i="128"/>
  <c r="BV105" i="128"/>
  <c r="CE105" i="128"/>
  <c r="U106" i="128"/>
  <c r="X106" i="128"/>
  <c r="AU106" i="128"/>
  <c r="BD106" i="128"/>
  <c r="BM106" i="128"/>
  <c r="BV106" i="128"/>
  <c r="CE106" i="128"/>
  <c r="U107" i="128"/>
  <c r="X107" i="128"/>
  <c r="AU107" i="128"/>
  <c r="BD107" i="128"/>
  <c r="BM107" i="128"/>
  <c r="BV107" i="128"/>
  <c r="CE107" i="128"/>
  <c r="U108" i="128"/>
  <c r="X108" i="128"/>
  <c r="AU108" i="128"/>
  <c r="BD108" i="128"/>
  <c r="BM108" i="128"/>
  <c r="BV108" i="128"/>
  <c r="CE108" i="128"/>
  <c r="U109" i="128"/>
  <c r="X109" i="128"/>
  <c r="AU109" i="128"/>
  <c r="BD109" i="128"/>
  <c r="BM109" i="128"/>
  <c r="BV109" i="128"/>
  <c r="CE109" i="128"/>
  <c r="U110" i="128"/>
  <c r="X110" i="128"/>
  <c r="AU110" i="128"/>
  <c r="BD110" i="128"/>
  <c r="BM110" i="128"/>
  <c r="BV110" i="128"/>
  <c r="CE110" i="128"/>
  <c r="U111" i="128"/>
  <c r="X111" i="128"/>
  <c r="AU111" i="128"/>
  <c r="BD111" i="128"/>
  <c r="BM111" i="128"/>
  <c r="BV111" i="128"/>
  <c r="CE111" i="128"/>
  <c r="U112" i="128"/>
  <c r="X112" i="128"/>
  <c r="AU112" i="128"/>
  <c r="BD112" i="128"/>
  <c r="BM112" i="128"/>
  <c r="BV112" i="128"/>
  <c r="CE112" i="128"/>
  <c r="U113" i="128"/>
  <c r="X113" i="128"/>
  <c r="AU113" i="128"/>
  <c r="BD113" i="128"/>
  <c r="BM113" i="128"/>
  <c r="BV113" i="128"/>
  <c r="CE113" i="128"/>
  <c r="U114" i="128"/>
  <c r="X114" i="128"/>
  <c r="AU114" i="128"/>
  <c r="BD114" i="128"/>
  <c r="BM114" i="128"/>
  <c r="BV114" i="128"/>
  <c r="CE114" i="128"/>
  <c r="U115" i="128"/>
  <c r="X115" i="128"/>
  <c r="AU115" i="128"/>
  <c r="BD115" i="128"/>
  <c r="BM115" i="128"/>
  <c r="BV115" i="128"/>
  <c r="CE115" i="128"/>
  <c r="U116" i="128"/>
  <c r="X116" i="128"/>
  <c r="AU116" i="128"/>
  <c r="BD116" i="128"/>
  <c r="BM116" i="128"/>
  <c r="BV116" i="128"/>
  <c r="CE116" i="128"/>
  <c r="U117" i="128"/>
  <c r="X117" i="128"/>
  <c r="AU117" i="128"/>
  <c r="BD117" i="128"/>
  <c r="BM117" i="128"/>
  <c r="BV117" i="128"/>
  <c r="CE117" i="128"/>
  <c r="U118" i="128"/>
  <c r="X118" i="128"/>
  <c r="AU118" i="128"/>
  <c r="BD118" i="128"/>
  <c r="BM118" i="128"/>
  <c r="BV118" i="128"/>
  <c r="CE118" i="128"/>
  <c r="U119" i="128"/>
  <c r="X119" i="128"/>
  <c r="AU119" i="128"/>
  <c r="BD119" i="128"/>
  <c r="BM119" i="128"/>
  <c r="BV119" i="128"/>
  <c r="CE119" i="128"/>
  <c r="U120" i="128"/>
  <c r="X120" i="128"/>
  <c r="AU120" i="128"/>
  <c r="BD120" i="128"/>
  <c r="BM120" i="128"/>
  <c r="BV120" i="128"/>
  <c r="CE120" i="128"/>
  <c r="U121" i="128"/>
  <c r="X121" i="128"/>
  <c r="AU121" i="128"/>
  <c r="BD121" i="128"/>
  <c r="BM121" i="128"/>
  <c r="BV121" i="128"/>
  <c r="CE121" i="128"/>
  <c r="U122" i="128"/>
  <c r="X122" i="128"/>
  <c r="AU122" i="128"/>
  <c r="BD122" i="128"/>
  <c r="BM122" i="128"/>
  <c r="BV122" i="128"/>
  <c r="CE122" i="128"/>
  <c r="U123" i="128"/>
  <c r="X123" i="128"/>
  <c r="AU123" i="128"/>
  <c r="BD123" i="128"/>
  <c r="BM123" i="128"/>
  <c r="BV123" i="128"/>
  <c r="CE123" i="128"/>
  <c r="U124" i="128"/>
  <c r="X124" i="128"/>
  <c r="AU124" i="128"/>
  <c r="BD124" i="128"/>
  <c r="BM124" i="128"/>
  <c r="BV124" i="128"/>
  <c r="CE124" i="128"/>
  <c r="U125" i="128"/>
  <c r="X125" i="128"/>
  <c r="AU125" i="128"/>
  <c r="BD125" i="128"/>
  <c r="BM125" i="128"/>
  <c r="BV125" i="128"/>
  <c r="CE125" i="128"/>
  <c r="U126" i="128"/>
  <c r="X126" i="128"/>
  <c r="AU126" i="128"/>
  <c r="BD126" i="128"/>
  <c r="BM126" i="128"/>
  <c r="BV126" i="128"/>
  <c r="CE126" i="128"/>
  <c r="U127" i="128"/>
  <c r="X127" i="128"/>
  <c r="AU127" i="128"/>
  <c r="BD127" i="128"/>
  <c r="BM127" i="128"/>
  <c r="BV127" i="128"/>
  <c r="CE127" i="128"/>
  <c r="U128" i="128"/>
  <c r="X128" i="128"/>
  <c r="AU128" i="128"/>
  <c r="BD128" i="128"/>
  <c r="BM128" i="128"/>
  <c r="BV128" i="128"/>
  <c r="CE128" i="128"/>
  <c r="U129" i="128"/>
  <c r="X129" i="128"/>
  <c r="AU129" i="128"/>
  <c r="BD129" i="128"/>
  <c r="BM129" i="128"/>
  <c r="BV129" i="128"/>
  <c r="CE129" i="128"/>
  <c r="U130" i="128"/>
  <c r="X130" i="128"/>
  <c r="AU130" i="128"/>
  <c r="BD130" i="128"/>
  <c r="BM130" i="128"/>
  <c r="BV130" i="128"/>
  <c r="CE130" i="128"/>
  <c r="L6" i="55"/>
  <c r="S7" i="115"/>
  <c r="I7" i="115"/>
  <c r="B6" i="116"/>
  <c r="L7" i="55"/>
  <c r="S8" i="115"/>
  <c r="I8" i="115"/>
  <c r="B7" i="116"/>
  <c r="A8" i="55"/>
  <c r="A9" i="55"/>
  <c r="L12" i="55"/>
  <c r="S9" i="115"/>
  <c r="I9" i="115"/>
  <c r="B8" i="116"/>
  <c r="L13" i="55"/>
  <c r="S10" i="115"/>
  <c r="I10" i="115"/>
  <c r="B9" i="116"/>
  <c r="P10" i="56"/>
  <c r="AE11" i="115"/>
  <c r="I11" i="115"/>
  <c r="B10" i="116"/>
  <c r="P11" i="56"/>
  <c r="P18" i="56"/>
  <c r="AE13" i="115"/>
  <c r="I13" i="115"/>
  <c r="B12" i="116"/>
  <c r="P19" i="56"/>
  <c r="AE14" i="115"/>
  <c r="I14" i="115"/>
  <c r="B13" i="116"/>
  <c r="P26" i="56"/>
  <c r="P27" i="56"/>
  <c r="AE16" i="115"/>
  <c r="I16" i="115"/>
  <c r="B15" i="116"/>
  <c r="P34" i="56"/>
  <c r="AE17" i="115"/>
  <c r="I17" i="115"/>
  <c r="B16" i="116"/>
  <c r="P35" i="56"/>
  <c r="E8" i="130"/>
  <c r="C11" i="130"/>
  <c r="E11" i="130"/>
  <c r="C12" i="130"/>
  <c r="E12" i="130"/>
  <c r="C13" i="130"/>
  <c r="E13" i="130"/>
  <c r="C14" i="130"/>
  <c r="E14" i="130"/>
  <c r="C15" i="130"/>
  <c r="E15" i="130"/>
  <c r="C16" i="130"/>
  <c r="E16" i="130"/>
  <c r="C17" i="130"/>
  <c r="E17" i="130"/>
  <c r="C18" i="130"/>
  <c r="E18" i="130"/>
  <c r="C19" i="130"/>
  <c r="E19" i="130"/>
  <c r="C20" i="130"/>
  <c r="E20" i="130"/>
  <c r="C21" i="130"/>
  <c r="E21" i="130"/>
  <c r="C22" i="130"/>
  <c r="E22" i="130"/>
  <c r="C23" i="130"/>
  <c r="E23" i="130"/>
  <c r="C24" i="130"/>
  <c r="E24" i="130"/>
  <c r="C25" i="130"/>
  <c r="E25" i="130"/>
  <c r="C26" i="130"/>
  <c r="E26" i="130"/>
  <c r="C27" i="130"/>
  <c r="E27" i="130"/>
  <c r="C28" i="130"/>
  <c r="E28" i="130"/>
  <c r="C29" i="130"/>
  <c r="E29" i="130"/>
  <c r="C30" i="130"/>
  <c r="E30" i="130"/>
  <c r="C31" i="130"/>
  <c r="E31" i="130"/>
  <c r="C32" i="130"/>
  <c r="E32" i="130"/>
  <c r="C33" i="130"/>
  <c r="E33" i="130"/>
  <c r="C34" i="130"/>
  <c r="E34" i="130"/>
  <c r="C35" i="130"/>
  <c r="E35" i="130"/>
  <c r="C36" i="130"/>
  <c r="E36" i="130"/>
  <c r="C37" i="130"/>
  <c r="E37" i="130"/>
  <c r="C38" i="130"/>
  <c r="E38" i="130"/>
  <c r="C39" i="130"/>
  <c r="E39" i="130"/>
  <c r="C40" i="130"/>
  <c r="E40" i="130"/>
  <c r="C41" i="130"/>
  <c r="E41" i="130"/>
  <c r="C42" i="130"/>
  <c r="E42" i="130"/>
  <c r="C34" i="110"/>
  <c r="C6" i="109"/>
  <c r="C10" i="109"/>
  <c r="F10" i="109"/>
  <c r="C14" i="109"/>
  <c r="C18" i="109"/>
  <c r="C22" i="109"/>
  <c r="C26" i="109"/>
  <c r="F26" i="109" s="1"/>
  <c r="C30" i="109"/>
  <c r="C34" i="109"/>
  <c r="F34" i="109" s="1"/>
  <c r="C38" i="109"/>
  <c r="C42" i="109"/>
  <c r="F42" i="109" s="1"/>
  <c r="C46" i="109"/>
  <c r="C50" i="109"/>
  <c r="F50" i="109" s="1"/>
  <c r="C54" i="109"/>
  <c r="C58" i="109"/>
  <c r="F58" i="109" s="1"/>
  <c r="C62" i="109"/>
  <c r="C66" i="109"/>
  <c r="F66" i="109" s="1"/>
  <c r="C6" i="120"/>
  <c r="C10" i="120"/>
  <c r="F10" i="120"/>
  <c r="C14" i="120"/>
  <c r="C18" i="120"/>
  <c r="F18" i="120" s="1"/>
  <c r="C22" i="120"/>
  <c r="C26" i="120"/>
  <c r="F26" i="120" s="1"/>
  <c r="C30" i="120"/>
  <c r="C34" i="120"/>
  <c r="F34" i="120" s="1"/>
  <c r="C38" i="120"/>
  <c r="C42" i="120"/>
  <c r="F42" i="120"/>
  <c r="C46" i="120"/>
  <c r="C50" i="120"/>
  <c r="F50" i="120"/>
  <c r="C54" i="120"/>
  <c r="C58" i="120"/>
  <c r="F58" i="120" s="1"/>
  <c r="C62" i="120"/>
  <c r="C66" i="120"/>
  <c r="F66" i="120"/>
  <c r="AB66" i="120"/>
  <c r="AB67" i="120"/>
  <c r="BQ4" i="115"/>
  <c r="C70" i="120"/>
  <c r="C74" i="120"/>
  <c r="F74" i="120" s="1"/>
  <c r="C78" i="120"/>
  <c r="C82" i="120"/>
  <c r="F82" i="120" s="1"/>
  <c r="C86" i="120"/>
  <c r="C90" i="120"/>
  <c r="F90" i="120"/>
  <c r="C94" i="120"/>
  <c r="C98" i="120"/>
  <c r="F98" i="120"/>
  <c r="C102" i="120"/>
  <c r="C106" i="120"/>
  <c r="AB106" i="120"/>
  <c r="BR5" i="115"/>
  <c r="AB107" i="120"/>
  <c r="BR6" i="115"/>
  <c r="C110" i="120"/>
  <c r="C114" i="120"/>
  <c r="F114" i="120" s="1"/>
  <c r="C118" i="120"/>
  <c r="C122" i="120"/>
  <c r="F122" i="120"/>
  <c r="C126" i="120"/>
  <c r="C130" i="120"/>
  <c r="F130" i="120" s="1"/>
  <c r="BH3" i="115"/>
  <c r="E4" i="109"/>
  <c r="BJ3" i="115"/>
  <c r="I6" i="109"/>
  <c r="AU3" i="115" s="1"/>
  <c r="BL3" i="115"/>
  <c r="M10" i="109"/>
  <c r="AW3" i="115" s="1"/>
  <c r="AJ3" i="115" s="1"/>
  <c r="E4" i="119" s="1"/>
  <c r="BN3" i="115"/>
  <c r="Q18" i="109"/>
  <c r="AY3" i="115" s="1"/>
  <c r="AL3" i="115" s="1"/>
  <c r="I6" i="119" s="1"/>
  <c r="X3" i="115" s="1"/>
  <c r="E4" i="118" s="1"/>
  <c r="BP3" i="115"/>
  <c r="U34" i="109"/>
  <c r="BA3" i="115" s="1"/>
  <c r="BQ3" i="115"/>
  <c r="BH4" i="115"/>
  <c r="E65" i="109"/>
  <c r="BJ4" i="115"/>
  <c r="I63" i="109"/>
  <c r="AU4" i="115" s="1"/>
  <c r="BL4" i="115"/>
  <c r="M59" i="109"/>
  <c r="AW4" i="115" s="1"/>
  <c r="I31" i="110" s="1"/>
  <c r="AJ4" i="115" s="1"/>
  <c r="E17" i="119" s="1"/>
  <c r="BN4" i="115"/>
  <c r="Q51" i="109"/>
  <c r="AY4" i="115" s="1"/>
  <c r="AL4" i="115" s="1"/>
  <c r="I15" i="119" s="1"/>
  <c r="X4" i="115" s="1"/>
  <c r="E9" i="118" s="1"/>
  <c r="BP4" i="115"/>
  <c r="U35" i="109"/>
  <c r="BA4" i="115" s="1"/>
  <c r="Q19" i="110" s="1"/>
  <c r="AN4" i="115" s="1"/>
  <c r="M11" i="119" s="1"/>
  <c r="Z4" i="115" s="1"/>
  <c r="I7" i="118" s="1"/>
  <c r="BH5" i="115"/>
  <c r="E36" i="109"/>
  <c r="BJ5" i="115"/>
  <c r="I38" i="109"/>
  <c r="AU5" i="115" s="1"/>
  <c r="BL5" i="115"/>
  <c r="M42" i="109"/>
  <c r="AW5" i="115" s="1"/>
  <c r="AJ5" i="115" s="1"/>
  <c r="E12" i="119" s="1"/>
  <c r="BN5" i="115"/>
  <c r="Q50" i="109"/>
  <c r="AY5" i="115" s="1"/>
  <c r="M26" i="110" s="1"/>
  <c r="AL5" i="115" s="1"/>
  <c r="I14" i="119" s="1"/>
  <c r="X5" i="115" s="1"/>
  <c r="E8" i="118" s="1"/>
  <c r="BP5" i="115"/>
  <c r="U57" i="109"/>
  <c r="BA5" i="115" s="1"/>
  <c r="Q33" i="110" s="1"/>
  <c r="AN5" i="115" s="1"/>
  <c r="M21" i="119" s="1"/>
  <c r="Z5" i="115" s="1"/>
  <c r="I17" i="118" s="1"/>
  <c r="BH6" i="115"/>
  <c r="E33" i="109"/>
  <c r="BJ6" i="115"/>
  <c r="I31" i="109"/>
  <c r="AU6" i="115" s="1"/>
  <c r="BL6" i="115"/>
  <c r="M27" i="109"/>
  <c r="AW6" i="115" s="1"/>
  <c r="I15" i="110" s="1"/>
  <c r="AJ6" i="115" s="1"/>
  <c r="E9" i="119" s="1"/>
  <c r="BN6" i="115"/>
  <c r="Q19" i="109"/>
  <c r="AY6" i="115" s="1"/>
  <c r="M11" i="110" s="1"/>
  <c r="AL6" i="115" s="1"/>
  <c r="I7" i="119" s="1"/>
  <c r="X6" i="115" s="1"/>
  <c r="E5" i="118" s="1"/>
  <c r="BP6" i="115"/>
  <c r="U56" i="109"/>
  <c r="BH7" i="115"/>
  <c r="E20" i="109"/>
  <c r="BJ7" i="115"/>
  <c r="I22" i="109"/>
  <c r="AU7" i="115" s="1"/>
  <c r="E12" i="110" s="1"/>
  <c r="BL7" i="115"/>
  <c r="M26" i="109"/>
  <c r="AW7" i="115" s="1"/>
  <c r="AJ7" i="115" s="1"/>
  <c r="E8" i="119" s="1"/>
  <c r="BH8" i="115"/>
  <c r="E49" i="109"/>
  <c r="BJ8" i="115"/>
  <c r="I47" i="109"/>
  <c r="AU8" i="115" s="1"/>
  <c r="E25" i="110" s="1"/>
  <c r="BL8" i="115"/>
  <c r="M43" i="109"/>
  <c r="AW8" i="115" s="1"/>
  <c r="I23" i="110" s="1"/>
  <c r="AJ8" i="115" s="1"/>
  <c r="E13" i="119" s="1"/>
  <c r="BH9" i="115"/>
  <c r="E52" i="109"/>
  <c r="BJ9" i="115"/>
  <c r="I54" i="109"/>
  <c r="AU9" i="115" s="1"/>
  <c r="BL9" i="115"/>
  <c r="M58" i="109"/>
  <c r="AW9" i="115" s="1"/>
  <c r="AJ9" i="115" s="1"/>
  <c r="E16" i="119" s="1"/>
  <c r="BH10" i="115"/>
  <c r="E17" i="109"/>
  <c r="BJ10" i="115"/>
  <c r="I15" i="109"/>
  <c r="AU10" i="115" s="1"/>
  <c r="BL10" i="115"/>
  <c r="M11" i="109"/>
  <c r="AW10" i="115" s="1"/>
  <c r="I7" i="110" s="1"/>
  <c r="AJ10" i="115" s="1"/>
  <c r="E5" i="119" s="1"/>
  <c r="BH11" i="115"/>
  <c r="E12" i="109"/>
  <c r="BJ11" i="115"/>
  <c r="I14" i="109"/>
  <c r="AU11" i="115" s="1"/>
  <c r="E8" i="110" s="1"/>
  <c r="AE12" i="115"/>
  <c r="I12" i="115"/>
  <c r="B11" i="116"/>
  <c r="BH12" i="115"/>
  <c r="E57" i="109"/>
  <c r="BJ12" i="115"/>
  <c r="I55" i="109"/>
  <c r="AU12" i="115"/>
  <c r="E29" i="110" s="1"/>
  <c r="BH13" i="115"/>
  <c r="E44" i="109"/>
  <c r="BJ13" i="115"/>
  <c r="I46" i="109"/>
  <c r="AU13" i="115" s="1"/>
  <c r="BH14" i="115"/>
  <c r="E25" i="109"/>
  <c r="BJ14" i="115"/>
  <c r="I23" i="109"/>
  <c r="AU14" i="115" s="1"/>
  <c r="AE15" i="115"/>
  <c r="I15" i="115"/>
  <c r="B14" i="116"/>
  <c r="BH15" i="115"/>
  <c r="E28" i="109"/>
  <c r="BJ15" i="115"/>
  <c r="I30" i="109"/>
  <c r="AU15" i="115" s="1"/>
  <c r="E16" i="110" s="1"/>
  <c r="BH16" i="115"/>
  <c r="E41" i="109"/>
  <c r="BJ16" i="115"/>
  <c r="I39" i="109"/>
  <c r="AU16" i="115" s="1"/>
  <c r="E21" i="110" s="1"/>
  <c r="BH17" i="115"/>
  <c r="E60" i="109"/>
  <c r="BJ17" i="115"/>
  <c r="I62" i="109"/>
  <c r="AU17" i="115" s="1"/>
  <c r="E32" i="110" s="1"/>
  <c r="AE18" i="115"/>
  <c r="I18" i="115"/>
  <c r="B17" i="116"/>
  <c r="BH18" i="115"/>
  <c r="E9" i="109"/>
  <c r="BJ18" i="115"/>
  <c r="I7" i="109"/>
  <c r="AU18" i="115" s="1"/>
  <c r="E5" i="110" s="1"/>
  <c r="BH19" i="115"/>
  <c r="E8" i="109"/>
  <c r="BH20" i="115"/>
  <c r="E61" i="109"/>
  <c r="BH21" i="115"/>
  <c r="E40" i="109"/>
  <c r="BH22" i="115"/>
  <c r="E29" i="109"/>
  <c r="BH23" i="115"/>
  <c r="E24" i="109"/>
  <c r="BH24" i="115"/>
  <c r="E45" i="109"/>
  <c r="BH25" i="115"/>
  <c r="E56" i="109"/>
  <c r="BH26" i="115"/>
  <c r="E13" i="109"/>
  <c r="BH27" i="115"/>
  <c r="E16" i="109"/>
  <c r="BH28" i="115"/>
  <c r="E53" i="109"/>
  <c r="BH29" i="115"/>
  <c r="E48" i="109"/>
  <c r="BH30" i="115"/>
  <c r="E21" i="109"/>
  <c r="BH31" i="115"/>
  <c r="E32" i="109"/>
  <c r="BH32" i="115"/>
  <c r="E37" i="109"/>
  <c r="BH33" i="115"/>
  <c r="E64" i="109"/>
  <c r="BH34" i="115"/>
  <c r="E5" i="109"/>
  <c r="AM1" i="47"/>
  <c r="BG1" i="47"/>
  <c r="AM2" i="47"/>
  <c r="S5" i="47"/>
  <c r="S6" i="47"/>
  <c r="H11" i="47"/>
  <c r="BF11" i="47"/>
  <c r="H12" i="47"/>
  <c r="BF12" i="47"/>
  <c r="H13" i="47"/>
  <c r="BF13" i="47"/>
  <c r="H14" i="47"/>
  <c r="BF14" i="47"/>
  <c r="H15" i="47"/>
  <c r="BF15" i="47"/>
  <c r="H16" i="47"/>
  <c r="BF16" i="47"/>
  <c r="H17" i="47"/>
  <c r="BF17" i="47"/>
  <c r="H18" i="47"/>
  <c r="BF18" i="47"/>
  <c r="H19" i="47"/>
  <c r="BF19" i="47"/>
  <c r="H20" i="47"/>
  <c r="BF20" i="47"/>
  <c r="H21" i="47"/>
  <c r="BF21" i="47"/>
  <c r="H22" i="47"/>
  <c r="BF22" i="47"/>
  <c r="H23" i="47"/>
  <c r="BF23" i="47"/>
  <c r="H24" i="47"/>
  <c r="BF24" i="47"/>
  <c r="H25" i="47"/>
  <c r="BF25" i="47"/>
  <c r="H26" i="47"/>
  <c r="BF26" i="47"/>
  <c r="H27" i="47"/>
  <c r="BF27" i="47"/>
  <c r="H28" i="47"/>
  <c r="BF28" i="47"/>
  <c r="H29" i="47"/>
  <c r="BF29" i="47"/>
  <c r="H30" i="47"/>
  <c r="BF30" i="47"/>
  <c r="H31" i="47"/>
  <c r="BF31" i="47"/>
  <c r="H32" i="47"/>
  <c r="BF32" i="47"/>
  <c r="H33" i="47"/>
  <c r="BF33" i="47"/>
  <c r="H34" i="47"/>
  <c r="BF34" i="47"/>
  <c r="H35" i="47"/>
  <c r="BF35" i="47"/>
  <c r="H36" i="47"/>
  <c r="BF36" i="47"/>
  <c r="H37" i="47"/>
  <c r="BF37" i="47" s="1"/>
  <c r="H38" i="47"/>
  <c r="BF38" i="47"/>
  <c r="H39" i="47"/>
  <c r="BF39" i="47"/>
  <c r="H40" i="47"/>
  <c r="BF40" i="47"/>
  <c r="H41" i="47"/>
  <c r="BF41" i="47"/>
  <c r="H42" i="47"/>
  <c r="BF42" i="47"/>
  <c r="H43" i="47"/>
  <c r="BF43" i="47"/>
  <c r="H44" i="47"/>
  <c r="BF44" i="47"/>
  <c r="H45" i="47"/>
  <c r="BF45" i="47"/>
  <c r="H46" i="47"/>
  <c r="BF46" i="47"/>
  <c r="H47" i="47"/>
  <c r="BF47" i="47"/>
  <c r="H48" i="47"/>
  <c r="BF48" i="47"/>
  <c r="H49" i="47"/>
  <c r="BF49" i="47"/>
  <c r="H50" i="47"/>
  <c r="BF50" i="47"/>
  <c r="H51" i="47"/>
  <c r="BF51" i="47"/>
  <c r="H52" i="47"/>
  <c r="BF52" i="47"/>
  <c r="H53" i="47"/>
  <c r="BF53" i="47" s="1"/>
  <c r="H54" i="47"/>
  <c r="BF54" i="47"/>
  <c r="H55" i="47"/>
  <c r="BF55" i="47"/>
  <c r="H56" i="47"/>
  <c r="BF56" i="47"/>
  <c r="H57" i="47"/>
  <c r="BF57" i="47"/>
  <c r="H58" i="47"/>
  <c r="BF58" i="47"/>
  <c r="H59" i="47"/>
  <c r="BF59" i="47"/>
  <c r="H60" i="47"/>
  <c r="BF60" i="47"/>
  <c r="H61" i="47"/>
  <c r="BF61" i="47"/>
  <c r="H62" i="47"/>
  <c r="BF62" i="47"/>
  <c r="H63" i="47"/>
  <c r="BF63" i="47"/>
  <c r="H64" i="47"/>
  <c r="BF64" i="47"/>
  <c r="H65" i="47"/>
  <c r="BF65" i="47"/>
  <c r="H66" i="47"/>
  <c r="BF66" i="47"/>
  <c r="H67" i="47"/>
  <c r="BF67" i="47"/>
  <c r="H68" i="47"/>
  <c r="BF68" i="47"/>
  <c r="H69" i="47"/>
  <c r="BF69" i="47"/>
  <c r="H70" i="47"/>
  <c r="BF70" i="47"/>
  <c r="H71" i="47"/>
  <c r="BF71" i="47"/>
  <c r="H72" i="47"/>
  <c r="BF72" i="47"/>
  <c r="H73" i="47"/>
  <c r="BF73" i="47"/>
  <c r="H74" i="47"/>
  <c r="BF74" i="47"/>
  <c r="H75" i="47"/>
  <c r="BF75" i="47"/>
  <c r="H76" i="47"/>
  <c r="BF76" i="47"/>
  <c r="H77" i="47"/>
  <c r="BF77" i="47"/>
  <c r="H78" i="47"/>
  <c r="BF78" i="47"/>
  <c r="H79" i="47"/>
  <c r="BF79" i="47"/>
  <c r="H80" i="47"/>
  <c r="BF80" i="47"/>
  <c r="H81" i="47"/>
  <c r="BF81" i="47"/>
  <c r="H82" i="47"/>
  <c r="BF82" i="47"/>
  <c r="H83" i="47"/>
  <c r="BF83" i="47"/>
  <c r="H84" i="47"/>
  <c r="BF84" i="47"/>
  <c r="H85" i="47"/>
  <c r="BF85" i="47" s="1"/>
  <c r="H86" i="47"/>
  <c r="BF86" i="47"/>
  <c r="H87" i="47"/>
  <c r="BF87" i="47"/>
  <c r="H88" i="47"/>
  <c r="BF88" i="47"/>
  <c r="H89" i="47"/>
  <c r="BF89" i="47"/>
  <c r="H90" i="47"/>
  <c r="BF90" i="47"/>
  <c r="H91" i="47"/>
  <c r="BF91" i="47"/>
  <c r="H92" i="47"/>
  <c r="BF92" i="47"/>
  <c r="H93" i="47"/>
  <c r="BF93" i="47"/>
  <c r="H94" i="47"/>
  <c r="BF94" i="47"/>
  <c r="H95" i="47"/>
  <c r="BF95" i="47"/>
  <c r="H96" i="47"/>
  <c r="BF96" i="47"/>
  <c r="H97" i="47"/>
  <c r="BF97" i="47"/>
  <c r="H98" i="47"/>
  <c r="BF98" i="47"/>
  <c r="H99" i="47"/>
  <c r="BF99" i="47"/>
  <c r="H100" i="47"/>
  <c r="BF100" i="47"/>
  <c r="H101" i="47"/>
  <c r="BF101" i="47" s="1"/>
  <c r="H102" i="47"/>
  <c r="BF102" i="47"/>
  <c r="H103" i="47"/>
  <c r="BF103" i="47"/>
  <c r="H104" i="47"/>
  <c r="BF104" i="47"/>
  <c r="H105" i="47"/>
  <c r="BF105" i="47"/>
  <c r="H106" i="47"/>
  <c r="BF106" i="47"/>
  <c r="H107" i="47"/>
  <c r="BF107" i="47"/>
  <c r="H108" i="47"/>
  <c r="BF108" i="47"/>
  <c r="H109" i="47"/>
  <c r="BF109" i="47"/>
  <c r="H110" i="47"/>
  <c r="BF110" i="47"/>
  <c r="H111" i="47"/>
  <c r="BF111" i="47"/>
  <c r="H112" i="47"/>
  <c r="BF112" i="47"/>
  <c r="H113" i="47"/>
  <c r="BF113" i="47"/>
  <c r="H114" i="47"/>
  <c r="BF114" i="47"/>
  <c r="H115" i="47"/>
  <c r="BF115" i="47"/>
  <c r="H116" i="47"/>
  <c r="BF116" i="47"/>
  <c r="H117" i="47"/>
  <c r="BF117" i="47"/>
  <c r="H118" i="47"/>
  <c r="BF118" i="47"/>
  <c r="H119" i="47"/>
  <c r="BF119" i="47"/>
  <c r="H120" i="47"/>
  <c r="BF120" i="47"/>
  <c r="H121" i="47"/>
  <c r="BF121" i="47"/>
  <c r="H122" i="47"/>
  <c r="BF122" i="47"/>
  <c r="H123" i="47"/>
  <c r="BF123" i="47"/>
  <c r="H124" i="47"/>
  <c r="BF124" i="47"/>
  <c r="H125" i="47"/>
  <c r="BF125" i="47"/>
  <c r="H126" i="47"/>
  <c r="BF126" i="47"/>
  <c r="H127" i="47"/>
  <c r="BF127" i="47"/>
  <c r="H128" i="47"/>
  <c r="BF128" i="47"/>
  <c r="H129" i="47"/>
  <c r="BF129" i="47"/>
  <c r="H130" i="47"/>
  <c r="BF130" i="47"/>
  <c r="H131" i="47"/>
  <c r="BF131" i="47"/>
  <c r="H132" i="47"/>
  <c r="BF132" i="47"/>
  <c r="H133" i="47"/>
  <c r="BF133" i="47"/>
  <c r="H134" i="47"/>
  <c r="BF134" i="47"/>
  <c r="H135" i="47"/>
  <c r="BF135" i="47"/>
  <c r="H136" i="47"/>
  <c r="BF136" i="47"/>
  <c r="H137" i="47"/>
  <c r="BF137" i="47"/>
  <c r="H138" i="47"/>
  <c r="BF138" i="47"/>
  <c r="A2" i="61"/>
  <c r="K4" i="47"/>
  <c r="B2" i="63" s="1"/>
  <c r="K3" i="47"/>
  <c r="H1" i="122" s="1"/>
  <c r="F18" i="109"/>
  <c r="A2" i="63"/>
  <c r="K5" i="47"/>
  <c r="X34" i="109"/>
  <c r="BB3" i="115" s="1"/>
  <c r="F106" i="120"/>
  <c r="BA6" i="115"/>
  <c r="Q32" i="110" s="1"/>
  <c r="H1" i="125"/>
  <c r="H1" i="123"/>
  <c r="F1" i="122"/>
  <c r="X35" i="109" l="1"/>
  <c r="BB4" i="115" s="1"/>
  <c r="X56" i="109"/>
  <c r="BD5" i="115" s="1"/>
  <c r="X57" i="109"/>
  <c r="BD6" i="115" s="1"/>
  <c r="AN3" i="115"/>
  <c r="M10" i="119" s="1"/>
  <c r="Z3" i="115" s="1"/>
  <c r="I6" i="118" s="1"/>
  <c r="T33" i="110"/>
  <c r="AQ6" i="115" s="1"/>
  <c r="T32" i="110"/>
  <c r="AQ5" i="115" s="1"/>
  <c r="AN6" i="115"/>
  <c r="M20" i="119" s="1"/>
  <c r="H1" i="127"/>
  <c r="F1" i="124"/>
  <c r="E2" i="61"/>
  <c r="F1" i="127"/>
  <c r="F1" i="123"/>
  <c r="F1" i="126"/>
  <c r="E1" i="128"/>
  <c r="H1" i="126"/>
  <c r="C1" i="128"/>
  <c r="B2" i="61"/>
  <c r="F1" i="125"/>
  <c r="H1" i="124"/>
  <c r="O70" i="47"/>
  <c r="O71" i="47"/>
  <c r="I73" i="47"/>
  <c r="U17" i="47"/>
  <c r="O65" i="47"/>
  <c r="AA48" i="47"/>
  <c r="I83" i="47"/>
  <c r="AA130" i="47"/>
  <c r="AA77" i="47"/>
  <c r="AA65" i="47"/>
  <c r="U16" i="47"/>
  <c r="O46" i="47"/>
  <c r="I113" i="47"/>
  <c r="U98" i="47"/>
  <c r="I118" i="47"/>
  <c r="AA99" i="47"/>
  <c r="O43" i="47"/>
  <c r="O105" i="47"/>
  <c r="I108" i="47"/>
  <c r="I42" i="47"/>
  <c r="U43" i="47"/>
  <c r="U124" i="47"/>
  <c r="I18" i="47"/>
  <c r="I79" i="47"/>
  <c r="U104" i="47"/>
  <c r="O45" i="47"/>
  <c r="I29" i="47"/>
  <c r="U91" i="47"/>
  <c r="U119" i="47"/>
  <c r="AA40" i="47"/>
  <c r="O97" i="47"/>
  <c r="AA80" i="47"/>
  <c r="U39" i="47"/>
  <c r="U86" i="47"/>
  <c r="U69" i="47"/>
  <c r="I11" i="47"/>
  <c r="U68" i="47"/>
  <c r="O86" i="47"/>
  <c r="O12" i="47"/>
  <c r="I67" i="47"/>
  <c r="O138" i="47"/>
  <c r="U22" i="47"/>
  <c r="O114" i="47"/>
  <c r="U108" i="47"/>
  <c r="I94" i="47"/>
  <c r="I123" i="47"/>
  <c r="U82" i="47"/>
  <c r="O128" i="47"/>
  <c r="I68" i="47"/>
  <c r="AA107" i="47"/>
  <c r="O22" i="47"/>
  <c r="O98" i="47"/>
  <c r="I33" i="47"/>
  <c r="U136" i="47"/>
  <c r="AA93" i="47"/>
  <c r="O14" i="47"/>
  <c r="I103" i="47"/>
  <c r="U73" i="47"/>
  <c r="U110" i="47"/>
  <c r="U37" i="47"/>
  <c r="I77" i="47"/>
  <c r="O136" i="47"/>
  <c r="I104" i="47"/>
  <c r="U101" i="47"/>
  <c r="I127" i="47"/>
  <c r="AA13" i="47"/>
  <c r="O64" i="47"/>
  <c r="O23" i="47"/>
  <c r="U35" i="47"/>
  <c r="I64" i="47"/>
  <c r="AA53" i="47"/>
  <c r="U120" i="47"/>
  <c r="O80" i="47"/>
  <c r="U75" i="47"/>
  <c r="I44" i="47"/>
  <c r="I116" i="47"/>
  <c r="U61" i="47"/>
  <c r="I88" i="47"/>
  <c r="U105" i="47"/>
  <c r="O42" i="47"/>
  <c r="U65" i="47"/>
  <c r="AA132" i="47"/>
  <c r="I84" i="47"/>
  <c r="U118" i="47"/>
  <c r="I61" i="47"/>
  <c r="U30" i="47"/>
  <c r="O106" i="47"/>
  <c r="I22" i="47"/>
  <c r="I126" i="47"/>
  <c r="I135" i="47"/>
  <c r="AA122" i="47"/>
  <c r="AA120" i="47"/>
  <c r="AA32" i="47"/>
  <c r="O111" i="47"/>
  <c r="I138" i="47"/>
  <c r="O50" i="47"/>
  <c r="I80" i="47"/>
  <c r="O118" i="47"/>
  <c r="AA137" i="47"/>
  <c r="I66" i="47"/>
  <c r="AA66" i="47"/>
  <c r="U26" i="47"/>
  <c r="I16" i="47"/>
  <c r="AA45" i="47"/>
  <c r="O108" i="47"/>
  <c r="O122" i="47"/>
  <c r="I125" i="47"/>
  <c r="I107" i="47"/>
  <c r="I90" i="47"/>
  <c r="U25" i="47"/>
  <c r="I97" i="47"/>
  <c r="I51" i="47"/>
  <c r="I56" i="47"/>
  <c r="AA108" i="47"/>
  <c r="I54" i="47"/>
  <c r="AA16" i="47"/>
  <c r="U127" i="47"/>
  <c r="O36" i="47"/>
  <c r="O132" i="47"/>
  <c r="AA33" i="47"/>
  <c r="AA91" i="47"/>
  <c r="O16" i="47"/>
  <c r="O20" i="47"/>
  <c r="AA95" i="47"/>
  <c r="I49" i="47"/>
  <c r="O25" i="47"/>
  <c r="AA117" i="47"/>
  <c r="AA135" i="47"/>
  <c r="U72" i="47"/>
  <c r="I57" i="47"/>
  <c r="O59" i="47"/>
  <c r="O91" i="47"/>
  <c r="AA20" i="47"/>
  <c r="O39" i="47"/>
  <c r="I50" i="47"/>
  <c r="O76" i="47"/>
  <c r="O99" i="47"/>
  <c r="U48" i="47"/>
  <c r="I13" i="47"/>
  <c r="O30" i="47"/>
  <c r="I70" i="47"/>
  <c r="AA82" i="47"/>
  <c r="I81" i="47"/>
  <c r="I100" i="47"/>
  <c r="I60" i="47"/>
  <c r="U81" i="47"/>
  <c r="I82" i="47"/>
  <c r="U97" i="47"/>
  <c r="I41" i="47"/>
  <c r="AA43" i="47"/>
  <c r="O49" i="47"/>
  <c r="AA96" i="47"/>
  <c r="O73" i="47"/>
  <c r="AA100" i="47"/>
  <c r="AA87" i="47"/>
  <c r="U122" i="47"/>
  <c r="O79" i="47"/>
  <c r="O66" i="47"/>
  <c r="I26" i="47"/>
  <c r="U19" i="47"/>
  <c r="O113" i="47"/>
  <c r="AA85" i="47"/>
  <c r="U93" i="47"/>
  <c r="U133" i="47"/>
  <c r="AA11" i="47"/>
  <c r="O126" i="47"/>
  <c r="AA49" i="47"/>
  <c r="AA83" i="47"/>
  <c r="I117" i="47"/>
  <c r="O96" i="47"/>
  <c r="O121" i="47"/>
  <c r="I101" i="47"/>
  <c r="U100" i="47"/>
  <c r="I12" i="47"/>
  <c r="O125" i="47"/>
  <c r="O37" i="47"/>
  <c r="AA126" i="47"/>
  <c r="AA36" i="47"/>
  <c r="I120" i="47"/>
  <c r="AA57" i="47"/>
  <c r="U130" i="47"/>
  <c r="O101" i="47"/>
  <c r="U78" i="47"/>
  <c r="U60" i="47"/>
  <c r="O18" i="47"/>
  <c r="I20" i="47"/>
  <c r="AA26" i="47"/>
  <c r="I36" i="47"/>
  <c r="O51" i="47"/>
  <c r="AA19" i="47"/>
  <c r="O90" i="47"/>
  <c r="U128" i="47"/>
  <c r="O85" i="47"/>
  <c r="I130" i="47"/>
  <c r="AA27" i="47"/>
  <c r="AA12" i="47"/>
  <c r="I21" i="47"/>
  <c r="U132" i="47"/>
  <c r="I98" i="47"/>
  <c r="I43" i="47"/>
  <c r="AA125" i="47"/>
  <c r="O48" i="47"/>
  <c r="U113" i="47"/>
  <c r="U112" i="47"/>
  <c r="AA61" i="47"/>
  <c r="O53" i="47"/>
  <c r="O57" i="47"/>
  <c r="I32" i="47"/>
  <c r="O38" i="47"/>
  <c r="AA63" i="47"/>
  <c r="U62" i="47"/>
  <c r="I86" i="47"/>
  <c r="I137" i="47"/>
  <c r="AA18" i="47"/>
  <c r="O116" i="47"/>
  <c r="AA119" i="47"/>
  <c r="I52" i="47"/>
  <c r="AA101" i="47"/>
  <c r="I105" i="47"/>
  <c r="U94" i="47"/>
  <c r="O54" i="47"/>
  <c r="U58" i="47"/>
  <c r="O74" i="47"/>
  <c r="AA24" i="47"/>
  <c r="I134" i="47"/>
  <c r="AA50" i="47"/>
  <c r="U106" i="47"/>
  <c r="I46" i="47"/>
  <c r="AA64" i="47"/>
  <c r="I76" i="47"/>
  <c r="AA74" i="47"/>
  <c r="U66" i="47"/>
  <c r="AA54" i="47"/>
  <c r="U40" i="47"/>
  <c r="O67" i="47"/>
  <c r="O41" i="47"/>
  <c r="I27" i="47"/>
  <c r="I129" i="47"/>
  <c r="AA116" i="47"/>
  <c r="O29" i="47"/>
  <c r="I102" i="47"/>
  <c r="I35" i="47"/>
  <c r="U76" i="47"/>
  <c r="AA114" i="47"/>
  <c r="U90" i="47"/>
  <c r="U114" i="47"/>
  <c r="I28" i="47"/>
  <c r="O110" i="47"/>
  <c r="O134" i="47"/>
  <c r="O82" i="47"/>
  <c r="U59" i="47"/>
  <c r="U85" i="47"/>
  <c r="O47" i="47"/>
  <c r="O95" i="47"/>
  <c r="I14" i="47"/>
  <c r="I136" i="47"/>
  <c r="O120" i="47"/>
  <c r="U138" i="47"/>
  <c r="I25" i="47"/>
  <c r="O92" i="47"/>
  <c r="U88" i="47"/>
  <c r="I34" i="47"/>
  <c r="U77" i="47"/>
  <c r="U47" i="47"/>
  <c r="O135" i="47"/>
  <c r="I131" i="47"/>
  <c r="AA109" i="47"/>
  <c r="O63" i="47"/>
  <c r="AA62" i="47"/>
  <c r="O117" i="47"/>
  <c r="U12" i="47"/>
  <c r="O72" i="47"/>
  <c r="U36" i="47"/>
  <c r="U51" i="47"/>
  <c r="U52" i="47"/>
  <c r="U125" i="47"/>
  <c r="AA111" i="47"/>
  <c r="U67" i="47"/>
  <c r="O69" i="47"/>
  <c r="U54" i="47"/>
  <c r="I31" i="47"/>
  <c r="AA23" i="47"/>
  <c r="I115" i="47"/>
  <c r="U111" i="47"/>
  <c r="O88" i="47"/>
  <c r="AA78" i="47"/>
  <c r="I62" i="47"/>
  <c r="O131" i="47"/>
  <c r="I128" i="47"/>
  <c r="U33" i="47"/>
  <c r="U28" i="47"/>
  <c r="AA113" i="47"/>
  <c r="AA138" i="47"/>
  <c r="U71" i="47"/>
  <c r="O123" i="47"/>
  <c r="I74" i="47"/>
  <c r="I55" i="47"/>
  <c r="AA17" i="47"/>
  <c r="U126" i="47"/>
  <c r="AA22" i="47"/>
  <c r="O104" i="47"/>
  <c r="O78" i="47"/>
  <c r="U46" i="47"/>
  <c r="U131" i="47"/>
  <c r="AA118" i="47"/>
  <c r="AA30" i="47"/>
  <c r="U20" i="47"/>
  <c r="I39" i="47"/>
  <c r="U121" i="47"/>
  <c r="O52" i="47"/>
  <c r="I24" i="47"/>
  <c r="U116" i="47"/>
  <c r="AA59" i="47"/>
  <c r="AA46" i="47"/>
  <c r="AA75" i="47"/>
  <c r="O137" i="47"/>
  <c r="AA71" i="47"/>
  <c r="AA28" i="47"/>
  <c r="U56" i="47"/>
  <c r="AA88" i="47"/>
  <c r="AA128" i="47"/>
  <c r="U15" i="47"/>
  <c r="U84" i="47"/>
  <c r="I124" i="47"/>
  <c r="AA70" i="47"/>
  <c r="O127" i="47"/>
  <c r="O58" i="47"/>
  <c r="AA72" i="47"/>
  <c r="AA37" i="47"/>
  <c r="O32" i="47"/>
  <c r="O94" i="47"/>
  <c r="U42" i="47"/>
  <c r="AA136" i="47"/>
  <c r="AA84" i="47"/>
  <c r="I122" i="47"/>
  <c r="U34" i="47"/>
  <c r="I89" i="47"/>
  <c r="O83" i="47"/>
  <c r="U83" i="47"/>
  <c r="U27" i="47"/>
  <c r="AA52" i="47"/>
  <c r="I19" i="47"/>
  <c r="U95" i="47"/>
  <c r="AA106" i="47"/>
  <c r="I75" i="47"/>
  <c r="O61" i="47"/>
  <c r="I111" i="47"/>
  <c r="O55" i="47"/>
  <c r="U123" i="47"/>
  <c r="AA112" i="47"/>
  <c r="AA14" i="47"/>
  <c r="AA86" i="47"/>
  <c r="AA129" i="47"/>
  <c r="U92" i="47"/>
  <c r="O60" i="47"/>
  <c r="O75" i="47"/>
  <c r="O15" i="47"/>
  <c r="I99" i="47"/>
  <c r="U32" i="47"/>
  <c r="O62" i="47"/>
  <c r="I40" i="47"/>
  <c r="O11" i="47"/>
  <c r="U134" i="47"/>
  <c r="U31" i="47"/>
  <c r="U80" i="47"/>
  <c r="AA79" i="47"/>
  <c r="AA110" i="47"/>
  <c r="AA124" i="47"/>
  <c r="U74" i="47"/>
  <c r="O77" i="47"/>
  <c r="AA76" i="47"/>
  <c r="I78" i="47"/>
  <c r="AA102" i="47"/>
  <c r="O56" i="47"/>
  <c r="AA123" i="47"/>
  <c r="O124" i="47"/>
  <c r="U53" i="47"/>
  <c r="U103" i="47"/>
  <c r="I65" i="47"/>
  <c r="O81" i="47"/>
  <c r="O40" i="47"/>
  <c r="U137" i="47"/>
  <c r="AA69" i="47"/>
  <c r="O17" i="47"/>
  <c r="U38" i="47"/>
  <c r="U45" i="47"/>
  <c r="U21" i="47"/>
  <c r="U18" i="47"/>
  <c r="U50" i="47"/>
  <c r="AA44" i="47"/>
  <c r="I121" i="47"/>
  <c r="AA51" i="47"/>
  <c r="I63" i="47"/>
  <c r="I37" i="47"/>
  <c r="I47" i="47"/>
  <c r="AA97" i="47"/>
  <c r="AA47" i="47"/>
  <c r="AA90" i="47"/>
  <c r="U23" i="47"/>
  <c r="U41" i="47"/>
  <c r="U44" i="47"/>
  <c r="I112" i="47"/>
  <c r="O93" i="47"/>
  <c r="AA115" i="47"/>
  <c r="AA121" i="47"/>
  <c r="O103" i="47"/>
  <c r="I69" i="47"/>
  <c r="U24" i="47"/>
  <c r="O109" i="47"/>
  <c r="I119" i="47"/>
  <c r="U79" i="47"/>
  <c r="O119" i="47"/>
  <c r="U13" i="47"/>
  <c r="AA31" i="47"/>
  <c r="AA81" i="47"/>
  <c r="U96" i="47"/>
  <c r="AA25" i="47"/>
  <c r="I17" i="47"/>
  <c r="U63" i="47"/>
  <c r="I114" i="47"/>
  <c r="AA94" i="47"/>
  <c r="O84" i="47"/>
  <c r="I95" i="47"/>
  <c r="O13" i="47"/>
  <c r="I45" i="47"/>
  <c r="U129" i="47"/>
  <c r="I133" i="47"/>
  <c r="AA35" i="47"/>
  <c r="U29" i="47"/>
  <c r="AA104" i="47"/>
  <c r="O34" i="47"/>
  <c r="AA134" i="47"/>
  <c r="I38" i="47"/>
  <c r="AA39" i="47"/>
  <c r="O31" i="47"/>
  <c r="O129" i="47"/>
  <c r="I106" i="47"/>
  <c r="I92" i="47"/>
  <c r="O100" i="47"/>
  <c r="U70" i="47"/>
  <c r="O112" i="47"/>
  <c r="U109" i="47"/>
  <c r="I96" i="47"/>
  <c r="U99" i="47"/>
  <c r="AA92" i="47"/>
  <c r="U57" i="47"/>
  <c r="I15" i="47"/>
  <c r="AA55" i="47"/>
  <c r="AA60" i="47"/>
  <c r="I109" i="47"/>
  <c r="U87" i="47"/>
  <c r="O21" i="47"/>
  <c r="U117" i="47"/>
  <c r="I59" i="47"/>
  <c r="U107" i="47"/>
  <c r="AA68" i="47"/>
  <c r="O27" i="47"/>
  <c r="AA73" i="47"/>
  <c r="I71" i="47"/>
  <c r="O26" i="47"/>
  <c r="O35" i="47"/>
  <c r="O133" i="47"/>
  <c r="I93" i="47"/>
  <c r="AA127" i="47"/>
  <c r="U11" i="47"/>
  <c r="O130" i="47"/>
  <c r="O68" i="47"/>
  <c r="I72" i="47"/>
  <c r="O24" i="47"/>
  <c r="AA105" i="47"/>
  <c r="O89" i="47"/>
  <c r="I132" i="47"/>
  <c r="O33" i="47"/>
  <c r="I58" i="47"/>
  <c r="AA15" i="47"/>
  <c r="AA98" i="47"/>
  <c r="I91" i="47"/>
  <c r="U89" i="47"/>
  <c r="AA89" i="47"/>
  <c r="I48" i="47"/>
  <c r="AA58" i="47"/>
  <c r="U55" i="47"/>
  <c r="AA38" i="47"/>
  <c r="O107" i="47"/>
  <c r="U49" i="47"/>
  <c r="U135" i="47"/>
  <c r="O28" i="47"/>
  <c r="U14" i="47"/>
  <c r="AA56" i="47"/>
  <c r="AA34" i="47"/>
  <c r="AA42" i="47"/>
  <c r="U115" i="47"/>
  <c r="AA67" i="47"/>
  <c r="AA133" i="47"/>
  <c r="I53" i="47"/>
  <c r="AA103" i="47"/>
  <c r="O19" i="47"/>
  <c r="I30" i="47"/>
  <c r="I23" i="47"/>
  <c r="O102" i="47"/>
  <c r="U102" i="47"/>
  <c r="I87" i="47"/>
  <c r="U64" i="47"/>
  <c r="AA21" i="47"/>
  <c r="O87" i="47"/>
  <c r="I110" i="47"/>
  <c r="O44" i="47"/>
  <c r="AA29" i="47"/>
  <c r="AA41" i="47"/>
  <c r="AA131" i="47"/>
  <c r="I85" i="47"/>
  <c r="O115" i="47"/>
  <c r="P21" i="119" l="1"/>
  <c r="Z6" i="115"/>
  <c r="I16" i="118" s="1"/>
  <c r="P20" i="119"/>
  <c r="AB124" i="47"/>
  <c r="AF124" i="47"/>
  <c r="F502" i="63" s="1"/>
  <c r="A502" i="63"/>
  <c r="AC124" i="47"/>
  <c r="B460" i="61"/>
  <c r="AE124" i="47"/>
  <c r="E502" i="63" s="1"/>
  <c r="AD124" i="47"/>
  <c r="AQ124" i="47"/>
  <c r="M104" i="47"/>
  <c r="B377" i="61"/>
  <c r="K104" i="47"/>
  <c r="N104" i="47"/>
  <c r="F98" i="63" s="1"/>
  <c r="AU104" i="47"/>
  <c r="AT104" i="47" s="1"/>
  <c r="A98" i="63"/>
  <c r="AN104" i="47"/>
  <c r="B499" i="61"/>
  <c r="Z134" i="47"/>
  <c r="F384" i="63" s="1"/>
  <c r="AP134" i="47"/>
  <c r="W134" i="47"/>
  <c r="A384" i="63"/>
  <c r="Y134" i="47"/>
  <c r="E384" i="63" s="1"/>
  <c r="B11" i="61"/>
  <c r="A262" i="63"/>
  <c r="Y12" i="47"/>
  <c r="E262" i="63" s="1"/>
  <c r="Z12" i="47"/>
  <c r="F262" i="63" s="1"/>
  <c r="AP12" i="47"/>
  <c r="W12" i="47"/>
  <c r="A516" i="63"/>
  <c r="AC138" i="47"/>
  <c r="AB138" i="47"/>
  <c r="AF138" i="47"/>
  <c r="F516" i="63" s="1"/>
  <c r="AD138" i="47"/>
  <c r="AE138" i="47"/>
  <c r="E516" i="63" s="1"/>
  <c r="AQ138" i="47"/>
  <c r="B516" i="61"/>
  <c r="W98" i="47"/>
  <c r="B355" i="61"/>
  <c r="Z98" i="47"/>
  <c r="F348" i="63" s="1"/>
  <c r="Y98" i="47"/>
  <c r="E348" i="63" s="1"/>
  <c r="AP98" i="47"/>
  <c r="A348" i="63"/>
  <c r="T100" i="47"/>
  <c r="F222" i="63" s="1"/>
  <c r="A222" i="63"/>
  <c r="Q100" i="47"/>
  <c r="S100" i="47"/>
  <c r="E222" i="63" s="1"/>
  <c r="AO100" i="47"/>
  <c r="B362" i="61"/>
  <c r="AD50" i="47"/>
  <c r="B164" i="61"/>
  <c r="AC50" i="47"/>
  <c r="A428" i="63"/>
  <c r="AQ50" i="47"/>
  <c r="AB50" i="47"/>
  <c r="AF50" i="47"/>
  <c r="F428" i="63" s="1"/>
  <c r="AE50" i="47"/>
  <c r="E428" i="63" s="1"/>
  <c r="AD136" i="47"/>
  <c r="AE136" i="47"/>
  <c r="E514" i="63" s="1"/>
  <c r="B508" i="61"/>
  <c r="AB136" i="47"/>
  <c r="AF136" i="47"/>
  <c r="F514" i="63" s="1"/>
  <c r="A514" i="63"/>
  <c r="AC136" i="47"/>
  <c r="AQ136" i="47"/>
  <c r="M73" i="47"/>
  <c r="K73" i="47"/>
  <c r="A67" i="63"/>
  <c r="N73" i="47"/>
  <c r="F67" i="63" s="1"/>
  <c r="AN73" i="47"/>
  <c r="AU73" i="47"/>
  <c r="AT73" i="47" s="1"/>
  <c r="B253" i="61"/>
  <c r="AP94" i="47"/>
  <c r="Z94" i="47"/>
  <c r="F344" i="63" s="1"/>
  <c r="B339" i="61"/>
  <c r="Y94" i="47"/>
  <c r="E344" i="63" s="1"/>
  <c r="W94" i="47"/>
  <c r="A344" i="63"/>
  <c r="A12" i="63"/>
  <c r="AU18" i="47"/>
  <c r="AT18" i="47" s="1"/>
  <c r="L18" i="47"/>
  <c r="J18" i="47"/>
  <c r="B33" i="61"/>
  <c r="N18" i="47"/>
  <c r="F12" i="63" s="1"/>
  <c r="K18" i="47"/>
  <c r="AN18" i="47"/>
  <c r="M18" i="47"/>
  <c r="AO76" i="47"/>
  <c r="Q76" i="47"/>
  <c r="S76" i="47"/>
  <c r="E198" i="63" s="1"/>
  <c r="A198" i="63"/>
  <c r="T76" i="47"/>
  <c r="F198" i="63" s="1"/>
  <c r="B266" i="61"/>
  <c r="K86" i="47"/>
  <c r="AU86" i="47"/>
  <c r="AT86" i="47" s="1"/>
  <c r="AN86" i="47"/>
  <c r="M86" i="47"/>
  <c r="A80" i="63"/>
  <c r="B305" i="61"/>
  <c r="N86" i="47"/>
  <c r="F80" i="63" s="1"/>
  <c r="AQ20" i="47"/>
  <c r="AB20" i="47"/>
  <c r="AC20" i="47"/>
  <c r="B44" i="61"/>
  <c r="AF20" i="47"/>
  <c r="F398" i="63" s="1"/>
  <c r="A398" i="63"/>
  <c r="AD20" i="47"/>
  <c r="AE20" i="47"/>
  <c r="E398" i="63" s="1"/>
  <c r="AN88" i="47"/>
  <c r="AU88" i="47"/>
  <c r="AT88" i="47" s="1"/>
  <c r="M88" i="47"/>
  <c r="A82" i="63"/>
  <c r="N88" i="47"/>
  <c r="F82" i="63" s="1"/>
  <c r="B313" i="61"/>
  <c r="K88" i="47"/>
  <c r="A282" i="63"/>
  <c r="AP32" i="47"/>
  <c r="B91" i="61"/>
  <c r="Y32" i="47"/>
  <c r="E282" i="63" s="1"/>
  <c r="Z32" i="47"/>
  <c r="F282" i="63" s="1"/>
  <c r="W32" i="47"/>
  <c r="T78" i="47"/>
  <c r="F200" i="63" s="1"/>
  <c r="A200" i="63"/>
  <c r="Q78" i="47"/>
  <c r="B274" i="61"/>
  <c r="S78" i="47"/>
  <c r="E200" i="63" s="1"/>
  <c r="AO78" i="47"/>
  <c r="N118" i="47"/>
  <c r="F112" i="63" s="1"/>
  <c r="AN118" i="47"/>
  <c r="A112" i="63"/>
  <c r="K118" i="47"/>
  <c r="AU118" i="47"/>
  <c r="AT118" i="47" s="1"/>
  <c r="M118" i="47"/>
  <c r="B433" i="61"/>
  <c r="B228" i="61"/>
  <c r="AQ66" i="47"/>
  <c r="A444" i="63"/>
  <c r="AC66" i="47"/>
  <c r="AF66" i="47"/>
  <c r="F444" i="63" s="1"/>
  <c r="AB66" i="47"/>
  <c r="AE66" i="47"/>
  <c r="E444" i="63" s="1"/>
  <c r="AD66" i="47"/>
  <c r="AB30" i="47"/>
  <c r="A408" i="63"/>
  <c r="AQ30" i="47"/>
  <c r="AD30" i="47"/>
  <c r="AC30" i="47"/>
  <c r="B84" i="61"/>
  <c r="AE30" i="47"/>
  <c r="E408" i="63" s="1"/>
  <c r="AF30" i="47"/>
  <c r="F408" i="63" s="1"/>
  <c r="AU138" i="47"/>
  <c r="AT138" i="47" s="1"/>
  <c r="M138" i="47"/>
  <c r="B513" i="61"/>
  <c r="AN138" i="47"/>
  <c r="K138" i="47"/>
  <c r="A132" i="63"/>
  <c r="N138" i="47"/>
  <c r="F132" i="63" s="1"/>
  <c r="T104" i="47"/>
  <c r="F226" i="63" s="1"/>
  <c r="AO104" i="47"/>
  <c r="B378" i="61"/>
  <c r="Q104" i="47"/>
  <c r="A226" i="63"/>
  <c r="S104" i="47"/>
  <c r="E226" i="63" s="1"/>
  <c r="B123" i="61"/>
  <c r="Y40" i="47"/>
  <c r="E290" i="63" s="1"/>
  <c r="AP40" i="47"/>
  <c r="Z40" i="47"/>
  <c r="F290" i="63" s="1"/>
  <c r="W40" i="47"/>
  <c r="A290" i="63"/>
  <c r="A241" i="63"/>
  <c r="S119" i="47"/>
  <c r="E241" i="63" s="1"/>
  <c r="T119" i="47"/>
  <c r="F241" i="63" s="1"/>
  <c r="Q119" i="47"/>
  <c r="AO119" i="47"/>
  <c r="B438" i="61"/>
  <c r="Z95" i="47"/>
  <c r="F345" i="63" s="1"/>
  <c r="Y95" i="47"/>
  <c r="E345" i="63" s="1"/>
  <c r="W95" i="47"/>
  <c r="A345" i="63"/>
  <c r="AP95" i="47"/>
  <c r="B343" i="61"/>
  <c r="AF81" i="47"/>
  <c r="F459" i="63" s="1"/>
  <c r="AC81" i="47"/>
  <c r="AB81" i="47"/>
  <c r="AQ81" i="47"/>
  <c r="B288" i="61"/>
  <c r="A459" i="63"/>
  <c r="AE81" i="47"/>
  <c r="E459" i="63" s="1"/>
  <c r="AD81" i="47"/>
  <c r="A153" i="63"/>
  <c r="T31" i="47"/>
  <c r="F153" i="63" s="1"/>
  <c r="Q31" i="47"/>
  <c r="AO31" i="47"/>
  <c r="B86" i="61"/>
  <c r="S31" i="47"/>
  <c r="E153" i="63" s="1"/>
  <c r="B390" i="61"/>
  <c r="S107" i="47"/>
  <c r="E229" i="63" s="1"/>
  <c r="A229" i="63"/>
  <c r="Q107" i="47"/>
  <c r="AO107" i="47"/>
  <c r="T107" i="47"/>
  <c r="F229" i="63" s="1"/>
  <c r="W17" i="47"/>
  <c r="Y17" i="47"/>
  <c r="E267" i="63" s="1"/>
  <c r="Z17" i="47"/>
  <c r="F267" i="63" s="1"/>
  <c r="B31" i="61"/>
  <c r="AP17" i="47"/>
  <c r="A267" i="63"/>
  <c r="S113" i="47"/>
  <c r="E235" i="63" s="1"/>
  <c r="T113" i="47"/>
  <c r="F235" i="63" s="1"/>
  <c r="Q113" i="47"/>
  <c r="B414" i="61"/>
  <c r="A235" i="63"/>
  <c r="AO113" i="47"/>
  <c r="B435" i="61"/>
  <c r="AP118" i="47"/>
  <c r="A368" i="63"/>
  <c r="W118" i="47"/>
  <c r="Y118" i="47"/>
  <c r="E368" i="63" s="1"/>
  <c r="Z118" i="47"/>
  <c r="F368" i="63" s="1"/>
  <c r="Q118" i="47"/>
  <c r="T118" i="47"/>
  <c r="F240" i="63" s="1"/>
  <c r="AO118" i="47"/>
  <c r="B434" i="61"/>
  <c r="A240" i="63"/>
  <c r="S118" i="47"/>
  <c r="E240" i="63" s="1"/>
  <c r="A294" i="63"/>
  <c r="AP44" i="47"/>
  <c r="B139" i="61"/>
  <c r="Y44" i="47"/>
  <c r="E294" i="63" s="1"/>
  <c r="Z44" i="47"/>
  <c r="F294" i="63" s="1"/>
  <c r="W44" i="47"/>
  <c r="AU58" i="47"/>
  <c r="AT58" i="47" s="1"/>
  <c r="AN58" i="47"/>
  <c r="B193" i="61"/>
  <c r="A52" i="63"/>
  <c r="M58" i="47"/>
  <c r="N58" i="47"/>
  <c r="F52" i="63" s="1"/>
  <c r="K58" i="47"/>
  <c r="S91" i="47"/>
  <c r="E213" i="63" s="1"/>
  <c r="A213" i="63"/>
  <c r="T91" i="47"/>
  <c r="F213" i="63" s="1"/>
  <c r="AO91" i="47"/>
  <c r="B326" i="61"/>
  <c r="Q91" i="47"/>
  <c r="B16" i="61"/>
  <c r="AC13" i="47"/>
  <c r="AQ13" i="47"/>
  <c r="A391" i="63"/>
  <c r="AD13" i="47"/>
  <c r="AF13" i="47"/>
  <c r="F391" i="63" s="1"/>
  <c r="AE13" i="47"/>
  <c r="E391" i="63" s="1"/>
  <c r="AB13" i="47"/>
  <c r="AB89" i="47"/>
  <c r="AQ89" i="47"/>
  <c r="AC89" i="47"/>
  <c r="AD89" i="47"/>
  <c r="AF89" i="47"/>
  <c r="F467" i="63" s="1"/>
  <c r="A467" i="63"/>
  <c r="B320" i="61"/>
  <c r="AE89" i="47"/>
  <c r="E467" i="63" s="1"/>
  <c r="AQ102" i="47"/>
  <c r="AC102" i="47"/>
  <c r="B372" i="61"/>
  <c r="A480" i="63"/>
  <c r="AB102" i="47"/>
  <c r="AF102" i="47"/>
  <c r="F480" i="63" s="1"/>
  <c r="AD102" i="47"/>
  <c r="AE102" i="47"/>
  <c r="E480" i="63" s="1"/>
  <c r="N136" i="47"/>
  <c r="F130" i="63" s="1"/>
  <c r="AN136" i="47"/>
  <c r="AU136" i="47"/>
  <c r="AT136" i="47" s="1"/>
  <c r="B505" i="61"/>
  <c r="K136" i="47"/>
  <c r="A130" i="63"/>
  <c r="M136" i="47"/>
  <c r="A29" i="63"/>
  <c r="AU35" i="47"/>
  <c r="AT35" i="47" s="1"/>
  <c r="J35" i="47"/>
  <c r="K35" i="47"/>
  <c r="N35" i="47"/>
  <c r="F29" i="63" s="1"/>
  <c r="AN35" i="47"/>
  <c r="M35" i="47"/>
  <c r="L35" i="47"/>
  <c r="B101" i="61"/>
  <c r="A474" i="63"/>
  <c r="B348" i="61"/>
  <c r="AD96" i="47"/>
  <c r="AQ96" i="47"/>
  <c r="AF96" i="47"/>
  <c r="F474" i="63" s="1"/>
  <c r="AB96" i="47"/>
  <c r="AC96" i="47"/>
  <c r="AE96" i="47"/>
  <c r="E474" i="63" s="1"/>
  <c r="A21" i="63"/>
  <c r="L27" i="47"/>
  <c r="J27" i="47"/>
  <c r="AN27" i="47"/>
  <c r="M27" i="47"/>
  <c r="AU27" i="47"/>
  <c r="AT27" i="47" s="1"/>
  <c r="K27" i="47"/>
  <c r="N27" i="47"/>
  <c r="F21" i="63" s="1"/>
  <c r="B69" i="61"/>
  <c r="AO84" i="47"/>
  <c r="Q84" i="47"/>
  <c r="T84" i="47"/>
  <c r="F206" i="63" s="1"/>
  <c r="S84" i="47"/>
  <c r="E206" i="63" s="1"/>
  <c r="B298" i="61"/>
  <c r="A206" i="63"/>
  <c r="A442" i="63"/>
  <c r="B220" i="61"/>
  <c r="AF64" i="47"/>
  <c r="F442" i="63" s="1"/>
  <c r="AD64" i="47"/>
  <c r="AE64" i="47"/>
  <c r="E442" i="63" s="1"/>
  <c r="AB64" i="47"/>
  <c r="AC64" i="47"/>
  <c r="AQ64" i="47"/>
  <c r="K45" i="47"/>
  <c r="N45" i="47"/>
  <c r="F39" i="63" s="1"/>
  <c r="M45" i="47"/>
  <c r="AU45" i="47"/>
  <c r="AT45" i="47" s="1"/>
  <c r="L45" i="47"/>
  <c r="J45" i="47"/>
  <c r="AN45" i="47"/>
  <c r="A39" i="63"/>
  <c r="B141" i="61"/>
  <c r="K33" i="47"/>
  <c r="A27" i="63"/>
  <c r="B93" i="61"/>
  <c r="L33" i="47"/>
  <c r="M33" i="47"/>
  <c r="AU33" i="47"/>
  <c r="AT33" i="47" s="1"/>
  <c r="AN33" i="47"/>
  <c r="N33" i="47"/>
  <c r="F27" i="63" s="1"/>
  <c r="J33" i="47"/>
  <c r="B160" i="61"/>
  <c r="AD49" i="47"/>
  <c r="AB49" i="47"/>
  <c r="AC49" i="47"/>
  <c r="A427" i="63"/>
  <c r="AF49" i="47"/>
  <c r="F427" i="63" s="1"/>
  <c r="AE49" i="47"/>
  <c r="E427" i="63" s="1"/>
  <c r="AQ49" i="47"/>
  <c r="A65" i="63"/>
  <c r="N71" i="47"/>
  <c r="F65" i="63" s="1"/>
  <c r="AN71" i="47"/>
  <c r="K71" i="47"/>
  <c r="M71" i="47"/>
  <c r="B245" i="61"/>
  <c r="AU71" i="47"/>
  <c r="AT71" i="47" s="1"/>
  <c r="B226" i="61"/>
  <c r="T66" i="47"/>
  <c r="F188" i="63" s="1"/>
  <c r="S66" i="47"/>
  <c r="E188" i="63" s="1"/>
  <c r="A188" i="63"/>
  <c r="AO66" i="47"/>
  <c r="Q66" i="47"/>
  <c r="B450" i="61"/>
  <c r="AO122" i="47"/>
  <c r="Q122" i="47"/>
  <c r="A244" i="63"/>
  <c r="S122" i="47"/>
  <c r="E244" i="63" s="1"/>
  <c r="T122" i="47"/>
  <c r="F244" i="63" s="1"/>
  <c r="Q67" i="47"/>
  <c r="AO67" i="47"/>
  <c r="A189" i="63"/>
  <c r="B230" i="61"/>
  <c r="T67" i="47"/>
  <c r="F189" i="63" s="1"/>
  <c r="S67" i="47"/>
  <c r="E189" i="63" s="1"/>
  <c r="B75" i="61"/>
  <c r="Y28" i="47"/>
  <c r="E278" i="63" s="1"/>
  <c r="W28" i="47"/>
  <c r="AP28" i="47"/>
  <c r="Z28" i="47"/>
  <c r="F278" i="63" s="1"/>
  <c r="A278" i="63"/>
  <c r="B117" i="61"/>
  <c r="A33" i="63"/>
  <c r="AN39" i="47"/>
  <c r="M39" i="47"/>
  <c r="AU39" i="47"/>
  <c r="AT39" i="47" s="1"/>
  <c r="K39" i="47"/>
  <c r="L39" i="47"/>
  <c r="N39" i="47"/>
  <c r="F33" i="63" s="1"/>
  <c r="J39" i="47"/>
  <c r="W57" i="47"/>
  <c r="Z57" i="47"/>
  <c r="F307" i="63" s="1"/>
  <c r="B191" i="61"/>
  <c r="AP57" i="47"/>
  <c r="Y57" i="47"/>
  <c r="E307" i="63" s="1"/>
  <c r="A307" i="63"/>
  <c r="Q53" i="47"/>
  <c r="B174" i="61"/>
  <c r="S53" i="47"/>
  <c r="E175" i="63" s="1"/>
  <c r="A175" i="63"/>
  <c r="AO53" i="47"/>
  <c r="T53" i="47"/>
  <c r="F175" i="63" s="1"/>
  <c r="AE16" i="47"/>
  <c r="E394" i="63" s="1"/>
  <c r="AF16" i="47"/>
  <c r="F394" i="63" s="1"/>
  <c r="AD16" i="47"/>
  <c r="A394" i="63"/>
  <c r="AQ16" i="47"/>
  <c r="AB16" i="47"/>
  <c r="B28" i="61"/>
  <c r="AC16" i="47"/>
  <c r="K12" i="47"/>
  <c r="AU12" i="47"/>
  <c r="AT12" i="47" s="1"/>
  <c r="L12" i="47"/>
  <c r="AN12" i="47"/>
  <c r="A6" i="63"/>
  <c r="J12" i="47"/>
  <c r="M12" i="47"/>
  <c r="B9" i="61"/>
  <c r="N12" i="47"/>
  <c r="F6" i="63" s="1"/>
  <c r="AN133" i="47"/>
  <c r="AU133" i="47"/>
  <c r="AT133" i="47" s="1"/>
  <c r="K133" i="47"/>
  <c r="B493" i="61"/>
  <c r="M133" i="47"/>
  <c r="A127" i="63"/>
  <c r="N133" i="47"/>
  <c r="F127" i="63" s="1"/>
  <c r="S93" i="47"/>
  <c r="E215" i="63" s="1"/>
  <c r="B334" i="61"/>
  <c r="T93" i="47"/>
  <c r="F215" i="63" s="1"/>
  <c r="Q93" i="47"/>
  <c r="AO93" i="47"/>
  <c r="A215" i="63"/>
  <c r="A328" i="63"/>
  <c r="Z78" i="47"/>
  <c r="F328" i="63" s="1"/>
  <c r="AP78" i="47"/>
  <c r="Y78" i="47"/>
  <c r="E328" i="63" s="1"/>
  <c r="W78" i="47"/>
  <c r="B275" i="61"/>
  <c r="T102" i="47"/>
  <c r="F224" i="63" s="1"/>
  <c r="Q102" i="47"/>
  <c r="S102" i="47"/>
  <c r="E224" i="63" s="1"/>
  <c r="B370" i="61"/>
  <c r="A224" i="63"/>
  <c r="AO102" i="47"/>
  <c r="AQ36" i="47"/>
  <c r="AD36" i="47"/>
  <c r="A414" i="63"/>
  <c r="B108" i="61"/>
  <c r="AE36" i="47"/>
  <c r="E414" i="63" s="1"/>
  <c r="AC36" i="47"/>
  <c r="AB36" i="47"/>
  <c r="AF36" i="47"/>
  <c r="F414" i="63" s="1"/>
  <c r="B308" i="61"/>
  <c r="AQ86" i="47"/>
  <c r="AE86" i="47"/>
  <c r="E464" i="63" s="1"/>
  <c r="A464" i="63"/>
  <c r="AB86" i="47"/>
  <c r="AD86" i="47"/>
  <c r="AF86" i="47"/>
  <c r="F464" i="63" s="1"/>
  <c r="AC86" i="47"/>
  <c r="AU124" i="47"/>
  <c r="AT124" i="47" s="1"/>
  <c r="B457" i="61"/>
  <c r="A118" i="63"/>
  <c r="K124" i="47"/>
  <c r="M124" i="47"/>
  <c r="N124" i="47"/>
  <c r="F118" i="63" s="1"/>
  <c r="AN124" i="47"/>
  <c r="N80" i="47"/>
  <c r="F74" i="63" s="1"/>
  <c r="AN80" i="47"/>
  <c r="B281" i="61"/>
  <c r="M80" i="47"/>
  <c r="AU80" i="47"/>
  <c r="AT80" i="47" s="1"/>
  <c r="K80" i="47"/>
  <c r="A74" i="63"/>
  <c r="A295" i="63"/>
  <c r="B143" i="61"/>
  <c r="Y45" i="47"/>
  <c r="E295" i="63" s="1"/>
  <c r="AP45" i="47"/>
  <c r="Z45" i="47"/>
  <c r="F295" i="63" s="1"/>
  <c r="W45" i="47"/>
  <c r="AF51" i="47"/>
  <c r="F429" i="63" s="1"/>
  <c r="AB51" i="47"/>
  <c r="A429" i="63"/>
  <c r="B168" i="61"/>
  <c r="AQ51" i="47"/>
  <c r="AD51" i="47"/>
  <c r="AC51" i="47"/>
  <c r="AE51" i="47"/>
  <c r="E429" i="63" s="1"/>
  <c r="AE39" i="47"/>
  <c r="E417" i="63" s="1"/>
  <c r="B120" i="61"/>
  <c r="AQ39" i="47"/>
  <c r="A417" i="63"/>
  <c r="AC39" i="47"/>
  <c r="AB39" i="47"/>
  <c r="AF39" i="47"/>
  <c r="F417" i="63" s="1"/>
  <c r="AD39" i="47"/>
  <c r="AQ29" i="47"/>
  <c r="AF29" i="47"/>
  <c r="F407" i="63" s="1"/>
  <c r="AE29" i="47"/>
  <c r="E407" i="63" s="1"/>
  <c r="AD29" i="47"/>
  <c r="AB29" i="47"/>
  <c r="AC29" i="47"/>
  <c r="A407" i="63"/>
  <c r="B80" i="61"/>
  <c r="N29" i="47"/>
  <c r="F23" i="63" s="1"/>
  <c r="J29" i="47"/>
  <c r="K29" i="47"/>
  <c r="AN29" i="47"/>
  <c r="M29" i="47"/>
  <c r="AU29" i="47"/>
  <c r="AT29" i="47" s="1"/>
  <c r="A23" i="63"/>
  <c r="L29" i="47"/>
  <c r="B77" i="61"/>
  <c r="Q128" i="47"/>
  <c r="AO128" i="47"/>
  <c r="B474" i="61"/>
  <c r="S128" i="47"/>
  <c r="E250" i="63" s="1"/>
  <c r="T128" i="47"/>
  <c r="F250" i="63" s="1"/>
  <c r="A250" i="63"/>
  <c r="Y90" i="47"/>
  <c r="E340" i="63" s="1"/>
  <c r="Z90" i="47"/>
  <c r="F340" i="63" s="1"/>
  <c r="B323" i="61"/>
  <c r="A340" i="63"/>
  <c r="W90" i="47"/>
  <c r="AP90" i="47"/>
  <c r="AC98" i="47"/>
  <c r="AQ98" i="47"/>
  <c r="A476" i="63"/>
  <c r="AE98" i="47"/>
  <c r="E476" i="63" s="1"/>
  <c r="AB98" i="47"/>
  <c r="AF98" i="47"/>
  <c r="F476" i="63" s="1"/>
  <c r="B356" i="61"/>
  <c r="AD98" i="47"/>
  <c r="Y93" i="47"/>
  <c r="E343" i="63" s="1"/>
  <c r="Z93" i="47"/>
  <c r="F343" i="63" s="1"/>
  <c r="A343" i="63"/>
  <c r="AP93" i="47"/>
  <c r="W93" i="47"/>
  <c r="B335" i="61"/>
  <c r="A372" i="63"/>
  <c r="Y122" i="47"/>
  <c r="E372" i="63" s="1"/>
  <c r="W122" i="47"/>
  <c r="B451" i="61"/>
  <c r="Z122" i="47"/>
  <c r="F372" i="63" s="1"/>
  <c r="AP122" i="47"/>
  <c r="A150" i="63"/>
  <c r="Q28" i="47"/>
  <c r="AO28" i="47"/>
  <c r="T28" i="47"/>
  <c r="F150" i="63" s="1"/>
  <c r="S28" i="47"/>
  <c r="E150" i="63" s="1"/>
  <c r="B74" i="61"/>
  <c r="AU110" i="47"/>
  <c r="AT110" i="47" s="1"/>
  <c r="N110" i="47"/>
  <c r="F104" i="63" s="1"/>
  <c r="M110" i="47"/>
  <c r="AN110" i="47"/>
  <c r="K110" i="47"/>
  <c r="B401" i="61"/>
  <c r="A104" i="63"/>
  <c r="K116" i="47"/>
  <c r="M116" i="47"/>
  <c r="B425" i="61"/>
  <c r="N116" i="47"/>
  <c r="F110" i="63" s="1"/>
  <c r="AU116" i="47"/>
  <c r="AT116" i="47" s="1"/>
  <c r="AN116" i="47"/>
  <c r="A110" i="63"/>
  <c r="A89" i="63"/>
  <c r="M95" i="47"/>
  <c r="B341" i="61"/>
  <c r="N95" i="47"/>
  <c r="F89" i="63" s="1"/>
  <c r="AU95" i="47"/>
  <c r="AT95" i="47" s="1"/>
  <c r="AN95" i="47"/>
  <c r="K95" i="47"/>
  <c r="AF135" i="47"/>
  <c r="F513" i="63" s="1"/>
  <c r="B504" i="61"/>
  <c r="AQ135" i="47"/>
  <c r="AC135" i="47"/>
  <c r="AE135" i="47"/>
  <c r="E513" i="63" s="1"/>
  <c r="AB135" i="47"/>
  <c r="AD135" i="47"/>
  <c r="A513" i="63"/>
  <c r="J30" i="47"/>
  <c r="AN30" i="47"/>
  <c r="L30" i="47"/>
  <c r="K30" i="47"/>
  <c r="AU30" i="47"/>
  <c r="AT30" i="47" s="1"/>
  <c r="M30" i="47"/>
  <c r="N30" i="47"/>
  <c r="F24" i="63" s="1"/>
  <c r="B81" i="61"/>
  <c r="A24" i="63"/>
  <c r="A142" i="63"/>
  <c r="T20" i="47"/>
  <c r="F142" i="63" s="1"/>
  <c r="AO20" i="47"/>
  <c r="Q20" i="47"/>
  <c r="S20" i="47"/>
  <c r="E142" i="63" s="1"/>
  <c r="B42" i="61"/>
  <c r="A300" i="63"/>
  <c r="AP50" i="47"/>
  <c r="Z50" i="47"/>
  <c r="F300" i="63" s="1"/>
  <c r="B163" i="61"/>
  <c r="W50" i="47"/>
  <c r="Y50" i="47"/>
  <c r="E300" i="63" s="1"/>
  <c r="S96" i="47"/>
  <c r="E218" i="63" s="1"/>
  <c r="B346" i="61"/>
  <c r="A218" i="63"/>
  <c r="AO96" i="47"/>
  <c r="T96" i="47"/>
  <c r="F218" i="63" s="1"/>
  <c r="Q96" i="47"/>
  <c r="Q111" i="47"/>
  <c r="B406" i="61"/>
  <c r="S111" i="47"/>
  <c r="E233" i="63" s="1"/>
  <c r="AO111" i="47"/>
  <c r="A233" i="63"/>
  <c r="T111" i="47"/>
  <c r="F233" i="63" s="1"/>
  <c r="B515" i="61"/>
  <c r="Z138" i="47"/>
  <c r="F388" i="63" s="1"/>
  <c r="Y138" i="47"/>
  <c r="E388" i="63" s="1"/>
  <c r="AP138" i="47"/>
  <c r="A388" i="63"/>
  <c r="W138" i="47"/>
  <c r="A55" i="63"/>
  <c r="N61" i="47"/>
  <c r="F55" i="63" s="1"/>
  <c r="B205" i="61"/>
  <c r="AU61" i="47"/>
  <c r="AT61" i="47" s="1"/>
  <c r="AN61" i="47"/>
  <c r="M61" i="47"/>
  <c r="K61" i="47"/>
  <c r="AN126" i="47"/>
  <c r="AU126" i="47"/>
  <c r="AT126" i="47" s="1"/>
  <c r="K126" i="47"/>
  <c r="B465" i="61"/>
  <c r="N126" i="47"/>
  <c r="F120" i="63" s="1"/>
  <c r="M126" i="47"/>
  <c r="A120" i="63"/>
  <c r="Y101" i="47"/>
  <c r="E351" i="63" s="1"/>
  <c r="AP101" i="47"/>
  <c r="B367" i="61"/>
  <c r="A351" i="63"/>
  <c r="W101" i="47"/>
  <c r="Z101" i="47"/>
  <c r="F351" i="63" s="1"/>
  <c r="S71" i="47"/>
  <c r="E193" i="63" s="1"/>
  <c r="AO71" i="47"/>
  <c r="B246" i="61"/>
  <c r="T71" i="47"/>
  <c r="F193" i="63" s="1"/>
  <c r="A193" i="63"/>
  <c r="Q71" i="47"/>
  <c r="Z38" i="47"/>
  <c r="F288" i="63" s="1"/>
  <c r="AP38" i="47"/>
  <c r="W38" i="47"/>
  <c r="A288" i="63"/>
  <c r="B115" i="61"/>
  <c r="Y38" i="47"/>
  <c r="E288" i="63" s="1"/>
  <c r="A146" i="63"/>
  <c r="T24" i="47"/>
  <c r="F146" i="63" s="1"/>
  <c r="B58" i="61"/>
  <c r="Q24" i="47"/>
  <c r="S24" i="47"/>
  <c r="E146" i="63" s="1"/>
  <c r="AO24" i="47"/>
  <c r="AN56" i="47"/>
  <c r="B185" i="61"/>
  <c r="M56" i="47"/>
  <c r="K56" i="47"/>
  <c r="A50" i="63"/>
  <c r="N56" i="47"/>
  <c r="F50" i="63" s="1"/>
  <c r="AU56" i="47"/>
  <c r="AT56" i="47" s="1"/>
  <c r="A97" i="63"/>
  <c r="M103" i="47"/>
  <c r="N103" i="47"/>
  <c r="F97" i="63" s="1"/>
  <c r="K103" i="47"/>
  <c r="AN103" i="47"/>
  <c r="B373" i="61"/>
  <c r="AU103" i="47"/>
  <c r="AT103" i="47" s="1"/>
  <c r="AE70" i="47"/>
  <c r="E448" i="63" s="1"/>
  <c r="AC70" i="47"/>
  <c r="AF70" i="47"/>
  <c r="F448" i="63" s="1"/>
  <c r="AQ70" i="47"/>
  <c r="B244" i="61"/>
  <c r="A448" i="63"/>
  <c r="AB70" i="47"/>
  <c r="AD70" i="47"/>
  <c r="L14" i="47"/>
  <c r="N14" i="47"/>
  <c r="F8" i="63" s="1"/>
  <c r="B17" i="61"/>
  <c r="M14" i="47"/>
  <c r="AN14" i="47"/>
  <c r="K14" i="47"/>
  <c r="A8" i="63"/>
  <c r="AU14" i="47"/>
  <c r="AT14" i="47" s="1"/>
  <c r="J14" i="47"/>
  <c r="T29" i="47"/>
  <c r="F151" i="63" s="1"/>
  <c r="S29" i="47"/>
  <c r="E151" i="63" s="1"/>
  <c r="B78" i="61"/>
  <c r="AO29" i="47"/>
  <c r="A151" i="63"/>
  <c r="Q29" i="47"/>
  <c r="AO138" i="47"/>
  <c r="Q138" i="47"/>
  <c r="A260" i="63"/>
  <c r="B514" i="61"/>
  <c r="S138" i="47"/>
  <c r="E260" i="63" s="1"/>
  <c r="T138" i="47"/>
  <c r="F260" i="63" s="1"/>
  <c r="AB19" i="47"/>
  <c r="A397" i="63"/>
  <c r="AQ19" i="47"/>
  <c r="AC19" i="47"/>
  <c r="AD19" i="47"/>
  <c r="AE19" i="47"/>
  <c r="E397" i="63" s="1"/>
  <c r="B40" i="61"/>
  <c r="AF19" i="47"/>
  <c r="F397" i="63" s="1"/>
  <c r="W22" i="47"/>
  <c r="Y22" i="47"/>
  <c r="E272" i="63" s="1"/>
  <c r="Z22" i="47"/>
  <c r="F272" i="63" s="1"/>
  <c r="A272" i="63"/>
  <c r="AP22" i="47"/>
  <c r="B51" i="61"/>
  <c r="A393" i="63"/>
  <c r="AQ15" i="47"/>
  <c r="B24" i="61"/>
  <c r="AC15" i="47"/>
  <c r="AF15" i="47"/>
  <c r="F393" i="63" s="1"/>
  <c r="AB15" i="47"/>
  <c r="AE15" i="47"/>
  <c r="E393" i="63" s="1"/>
  <c r="AD15" i="47"/>
  <c r="Q12" i="47"/>
  <c r="B10" i="61"/>
  <c r="T12" i="47"/>
  <c r="F134" i="63" s="1"/>
  <c r="S12" i="47"/>
  <c r="E134" i="63" s="1"/>
  <c r="A134" i="63"/>
  <c r="AO12" i="47"/>
  <c r="AO125" i="47"/>
  <c r="A247" i="63"/>
  <c r="T125" i="47"/>
  <c r="F247" i="63" s="1"/>
  <c r="B462" i="61"/>
  <c r="S125" i="47"/>
  <c r="E247" i="63" s="1"/>
  <c r="Q125" i="47"/>
  <c r="B85" i="61"/>
  <c r="J31" i="47"/>
  <c r="N31" i="47"/>
  <c r="F25" i="63" s="1"/>
  <c r="L31" i="47"/>
  <c r="AN31" i="47"/>
  <c r="AU31" i="47"/>
  <c r="AT31" i="47" s="1"/>
  <c r="A25" i="63"/>
  <c r="M31" i="47"/>
  <c r="K31" i="47"/>
  <c r="B423" i="61"/>
  <c r="W115" i="47"/>
  <c r="A365" i="63"/>
  <c r="AP115" i="47"/>
  <c r="Y115" i="47"/>
  <c r="E365" i="63" s="1"/>
  <c r="Z115" i="47"/>
  <c r="F365" i="63" s="1"/>
  <c r="AO47" i="47"/>
  <c r="Q47" i="47"/>
  <c r="B150" i="61"/>
  <c r="A169" i="63"/>
  <c r="T47" i="47"/>
  <c r="F169" i="63" s="1"/>
  <c r="S47" i="47"/>
  <c r="E169" i="63" s="1"/>
  <c r="N51" i="47"/>
  <c r="F45" i="63" s="1"/>
  <c r="B165" i="61"/>
  <c r="M51" i="47"/>
  <c r="AN51" i="47"/>
  <c r="A45" i="63"/>
  <c r="AU51" i="47"/>
  <c r="AT51" i="47" s="1"/>
  <c r="J51" i="47"/>
  <c r="K51" i="47"/>
  <c r="L51" i="47"/>
  <c r="T98" i="47"/>
  <c r="F220" i="63" s="1"/>
  <c r="B354" i="61"/>
  <c r="AO98" i="47"/>
  <c r="S98" i="47"/>
  <c r="E220" i="63" s="1"/>
  <c r="A220" i="63"/>
  <c r="Q98" i="47"/>
  <c r="S13" i="47"/>
  <c r="E135" i="63" s="1"/>
  <c r="AO13" i="47"/>
  <c r="A135" i="63"/>
  <c r="Q13" i="47"/>
  <c r="B14" i="61"/>
  <c r="T13" i="47"/>
  <c r="F135" i="63" s="1"/>
  <c r="M52" i="47"/>
  <c r="B169" i="61"/>
  <c r="L52" i="47"/>
  <c r="K52" i="47"/>
  <c r="J52" i="47"/>
  <c r="A46" i="63"/>
  <c r="N52" i="47"/>
  <c r="F46" i="63" s="1"/>
  <c r="AU52" i="47"/>
  <c r="AT52" i="47" s="1"/>
  <c r="AN52" i="47"/>
  <c r="AN67" i="47"/>
  <c r="N67" i="47"/>
  <c r="F61" i="63" s="1"/>
  <c r="AU67" i="47"/>
  <c r="AT67" i="47" s="1"/>
  <c r="K67" i="47"/>
  <c r="A61" i="63"/>
  <c r="M67" i="47"/>
  <c r="B229" i="61"/>
  <c r="Y29" i="47"/>
  <c r="E279" i="63" s="1"/>
  <c r="Z29" i="47"/>
  <c r="F279" i="63" s="1"/>
  <c r="AP29" i="47"/>
  <c r="A279" i="63"/>
  <c r="W29" i="47"/>
  <c r="B79" i="61"/>
  <c r="AN34" i="47"/>
  <c r="AU34" i="47"/>
  <c r="AT34" i="47" s="1"/>
  <c r="K34" i="47"/>
  <c r="M34" i="47"/>
  <c r="B97" i="61"/>
  <c r="A28" i="63"/>
  <c r="N34" i="47"/>
  <c r="F28" i="63" s="1"/>
  <c r="J34" i="47"/>
  <c r="L34" i="47"/>
  <c r="S18" i="47"/>
  <c r="E140" i="63" s="1"/>
  <c r="Q18" i="47"/>
  <c r="A140" i="63"/>
  <c r="T18" i="47"/>
  <c r="F140" i="63" s="1"/>
  <c r="AO18" i="47"/>
  <c r="B34" i="61"/>
  <c r="Z91" i="47"/>
  <c r="F341" i="63" s="1"/>
  <c r="W91" i="47"/>
  <c r="AP91" i="47"/>
  <c r="A341" i="63"/>
  <c r="Y91" i="47"/>
  <c r="E341" i="63" s="1"/>
  <c r="B327" i="61"/>
  <c r="B498" i="61"/>
  <c r="Q134" i="47"/>
  <c r="S134" i="47"/>
  <c r="E256" i="63" s="1"/>
  <c r="T134" i="47"/>
  <c r="F256" i="63" s="1"/>
  <c r="A256" i="63"/>
  <c r="AO134" i="47"/>
  <c r="T48" i="47"/>
  <c r="F170" i="63" s="1"/>
  <c r="B154" i="61"/>
  <c r="S48" i="47"/>
  <c r="E170" i="63" s="1"/>
  <c r="A170" i="63"/>
  <c r="Q48" i="47"/>
  <c r="AO48" i="47"/>
  <c r="AE34" i="47"/>
  <c r="E412" i="63" s="1"/>
  <c r="AD34" i="47"/>
  <c r="AC34" i="47"/>
  <c r="B100" i="61"/>
  <c r="AF34" i="47"/>
  <c r="F412" i="63" s="1"/>
  <c r="AB34" i="47"/>
  <c r="A412" i="63"/>
  <c r="AQ34" i="47"/>
  <c r="W74" i="47"/>
  <c r="Y74" i="47"/>
  <c r="E324" i="63" s="1"/>
  <c r="A324" i="63"/>
  <c r="B259" i="61"/>
  <c r="Z74" i="47"/>
  <c r="F324" i="63" s="1"/>
  <c r="AP74" i="47"/>
  <c r="K79" i="47"/>
  <c r="N79" i="47"/>
  <c r="F73" i="63" s="1"/>
  <c r="AN79" i="47"/>
  <c r="AU79" i="47"/>
  <c r="AT79" i="47" s="1"/>
  <c r="A73" i="63"/>
  <c r="M79" i="47"/>
  <c r="B277" i="61"/>
  <c r="Q33" i="47"/>
  <c r="T33" i="47"/>
  <c r="F155" i="63" s="1"/>
  <c r="B94" i="61"/>
  <c r="AO33" i="47"/>
  <c r="S33" i="47"/>
  <c r="E155" i="63" s="1"/>
  <c r="A155" i="63"/>
  <c r="A102" i="63"/>
  <c r="K108" i="47"/>
  <c r="B393" i="61"/>
  <c r="M108" i="47"/>
  <c r="AN108" i="47"/>
  <c r="N108" i="47"/>
  <c r="F102" i="63" s="1"/>
  <c r="AU108" i="47"/>
  <c r="AT108" i="47" s="1"/>
  <c r="AP49" i="47"/>
  <c r="B159" i="61"/>
  <c r="Y49" i="47"/>
  <c r="E299" i="63" s="1"/>
  <c r="A299" i="63"/>
  <c r="Z49" i="47"/>
  <c r="F299" i="63" s="1"/>
  <c r="W49" i="47"/>
  <c r="M70" i="47"/>
  <c r="B241" i="61"/>
  <c r="A64" i="63"/>
  <c r="K70" i="47"/>
  <c r="N70" i="47"/>
  <c r="F64" i="63" s="1"/>
  <c r="AN70" i="47"/>
  <c r="AU70" i="47"/>
  <c r="AT70" i="47" s="1"/>
  <c r="T68" i="47"/>
  <c r="F190" i="63" s="1"/>
  <c r="AO68" i="47"/>
  <c r="A190" i="63"/>
  <c r="Q68" i="47"/>
  <c r="S68" i="47"/>
  <c r="E190" i="63" s="1"/>
  <c r="B234" i="61"/>
  <c r="AF26" i="47"/>
  <c r="F404" i="63" s="1"/>
  <c r="AQ26" i="47"/>
  <c r="AC26" i="47"/>
  <c r="AD26" i="47"/>
  <c r="A404" i="63"/>
  <c r="B68" i="61"/>
  <c r="AB26" i="47"/>
  <c r="AE26" i="47"/>
  <c r="E404" i="63" s="1"/>
  <c r="W24" i="47"/>
  <c r="AP24" i="47"/>
  <c r="Y24" i="47"/>
  <c r="E274" i="63" s="1"/>
  <c r="B59" i="61"/>
  <c r="A274" i="63"/>
  <c r="Z24" i="47"/>
  <c r="F274" i="63" s="1"/>
  <c r="AU81" i="47"/>
  <c r="AT81" i="47" s="1"/>
  <c r="N81" i="47"/>
  <c r="F75" i="63" s="1"/>
  <c r="M81" i="47"/>
  <c r="A75" i="63"/>
  <c r="B285" i="61"/>
  <c r="K81" i="47"/>
  <c r="AN81" i="47"/>
  <c r="B99" i="61"/>
  <c r="Z34" i="47"/>
  <c r="F284" i="63" s="1"/>
  <c r="Y34" i="47"/>
  <c r="E284" i="63" s="1"/>
  <c r="W34" i="47"/>
  <c r="A284" i="63"/>
  <c r="AP34" i="47"/>
  <c r="B426" i="61"/>
  <c r="A238" i="63"/>
  <c r="Q116" i="47"/>
  <c r="T116" i="47"/>
  <c r="F238" i="63" s="1"/>
  <c r="AO116" i="47"/>
  <c r="S116" i="47"/>
  <c r="E238" i="63" s="1"/>
  <c r="Z135" i="47"/>
  <c r="F385" i="63" s="1"/>
  <c r="W135" i="47"/>
  <c r="Y135" i="47"/>
  <c r="E385" i="63" s="1"/>
  <c r="A385" i="63"/>
  <c r="AP135" i="47"/>
  <c r="B503" i="61"/>
  <c r="A251" i="63"/>
  <c r="AO129" i="47"/>
  <c r="S129" i="47"/>
  <c r="E251" i="63" s="1"/>
  <c r="B478" i="61"/>
  <c r="T129" i="47"/>
  <c r="F251" i="63" s="1"/>
  <c r="Q129" i="47"/>
  <c r="W81" i="47"/>
  <c r="AP81" i="47"/>
  <c r="Z81" i="47"/>
  <c r="F331" i="63" s="1"/>
  <c r="B287" i="61"/>
  <c r="Y81" i="47"/>
  <c r="E331" i="63" s="1"/>
  <c r="A331" i="63"/>
  <c r="N100" i="47"/>
  <c r="F94" i="63" s="1"/>
  <c r="K100" i="47"/>
  <c r="B361" i="61"/>
  <c r="M100" i="47"/>
  <c r="AU100" i="47"/>
  <c r="AT100" i="47" s="1"/>
  <c r="AN100" i="47"/>
  <c r="A94" i="63"/>
  <c r="B173" i="61"/>
  <c r="K53" i="47"/>
  <c r="AU53" i="47"/>
  <c r="AT53" i="47" s="1"/>
  <c r="AN53" i="47"/>
  <c r="M53" i="47"/>
  <c r="N53" i="47"/>
  <c r="F47" i="63" s="1"/>
  <c r="A47" i="63"/>
  <c r="N134" i="47"/>
  <c r="F128" i="63" s="1"/>
  <c r="M134" i="47"/>
  <c r="A128" i="63"/>
  <c r="AU134" i="47"/>
  <c r="AT134" i="47" s="1"/>
  <c r="AN134" i="47"/>
  <c r="B497" i="61"/>
  <c r="K134" i="47"/>
  <c r="M97" i="47"/>
  <c r="AU97" i="47"/>
  <c r="AT97" i="47" s="1"/>
  <c r="N97" i="47"/>
  <c r="F91" i="63" s="1"/>
  <c r="A91" i="63"/>
  <c r="AN97" i="47"/>
  <c r="K97" i="47"/>
  <c r="B349" i="61"/>
  <c r="AP105" i="47"/>
  <c r="W105" i="47"/>
  <c r="Z105" i="47"/>
  <c r="F355" i="63" s="1"/>
  <c r="Y105" i="47"/>
  <c r="E355" i="63" s="1"/>
  <c r="B383" i="61"/>
  <c r="A355" i="63"/>
  <c r="Y20" i="47"/>
  <c r="E270" i="63" s="1"/>
  <c r="AP20" i="47"/>
  <c r="Z20" i="47"/>
  <c r="F270" i="63" s="1"/>
  <c r="W20" i="47"/>
  <c r="A270" i="63"/>
  <c r="B43" i="61"/>
  <c r="A237" i="63"/>
  <c r="AO115" i="47"/>
  <c r="S115" i="47"/>
  <c r="E237" i="63" s="1"/>
  <c r="Q115" i="47"/>
  <c r="T115" i="47"/>
  <c r="F237" i="63" s="1"/>
  <c r="B422" i="61"/>
  <c r="N109" i="47"/>
  <c r="F103" i="63" s="1"/>
  <c r="AN109" i="47"/>
  <c r="M109" i="47"/>
  <c r="AU109" i="47"/>
  <c r="AT109" i="47" s="1"/>
  <c r="B397" i="61"/>
  <c r="A103" i="63"/>
  <c r="K109" i="47"/>
  <c r="J26" i="47"/>
  <c r="A20" i="63"/>
  <c r="M26" i="47"/>
  <c r="AU26" i="47"/>
  <c r="AT26" i="47" s="1"/>
  <c r="AN26" i="47"/>
  <c r="B65" i="61"/>
  <c r="L26" i="47"/>
  <c r="N26" i="47"/>
  <c r="F20" i="63" s="1"/>
  <c r="K26" i="47"/>
  <c r="T72" i="47"/>
  <c r="F194" i="63" s="1"/>
  <c r="S72" i="47"/>
  <c r="E194" i="63" s="1"/>
  <c r="B250" i="61"/>
  <c r="AO72" i="47"/>
  <c r="Q72" i="47"/>
  <c r="A194" i="63"/>
  <c r="A48" i="63"/>
  <c r="AU54" i="47"/>
  <c r="AT54" i="47" s="1"/>
  <c r="M54" i="47"/>
  <c r="K54" i="47"/>
  <c r="AN54" i="47"/>
  <c r="B177" i="61"/>
  <c r="N54" i="47"/>
  <c r="F48" i="63" s="1"/>
  <c r="Y109" i="47"/>
  <c r="E359" i="63" s="1"/>
  <c r="W109" i="47"/>
  <c r="A359" i="63"/>
  <c r="Z109" i="47"/>
  <c r="F359" i="63" s="1"/>
  <c r="AP109" i="47"/>
  <c r="B399" i="61"/>
  <c r="Z92" i="47"/>
  <c r="F342" i="63" s="1"/>
  <c r="W92" i="47"/>
  <c r="AP92" i="47"/>
  <c r="Y92" i="47"/>
  <c r="E342" i="63" s="1"/>
  <c r="B331" i="61"/>
  <c r="A342" i="63"/>
  <c r="A306" i="63"/>
  <c r="W56" i="47"/>
  <c r="B187" i="61"/>
  <c r="Z56" i="47"/>
  <c r="F306" i="63" s="1"/>
  <c r="AP56" i="47"/>
  <c r="Y56" i="47"/>
  <c r="E306" i="63" s="1"/>
  <c r="W108" i="47"/>
  <c r="AP108" i="47"/>
  <c r="B395" i="61"/>
  <c r="Y108" i="47"/>
  <c r="E358" i="63" s="1"/>
  <c r="A358" i="63"/>
  <c r="Z108" i="47"/>
  <c r="F358" i="63" s="1"/>
  <c r="AP51" i="47"/>
  <c r="A301" i="63"/>
  <c r="W51" i="47"/>
  <c r="B167" i="61"/>
  <c r="Z51" i="47"/>
  <c r="F301" i="63" s="1"/>
  <c r="Y51" i="47"/>
  <c r="E301" i="63" s="1"/>
  <c r="A314" i="63"/>
  <c r="W64" i="47"/>
  <c r="Z64" i="47"/>
  <c r="F314" i="63" s="1"/>
  <c r="B219" i="61"/>
  <c r="Y64" i="47"/>
  <c r="E314" i="63" s="1"/>
  <c r="AP64" i="47"/>
  <c r="AF84" i="47"/>
  <c r="F462" i="63" s="1"/>
  <c r="AE84" i="47"/>
  <c r="E462" i="63" s="1"/>
  <c r="AD84" i="47"/>
  <c r="AQ84" i="47"/>
  <c r="A462" i="63"/>
  <c r="AC84" i="47"/>
  <c r="B300" i="61"/>
  <c r="AB84" i="47"/>
  <c r="B214" i="61"/>
  <c r="AO63" i="47"/>
  <c r="Q63" i="47"/>
  <c r="T63" i="47"/>
  <c r="F185" i="63" s="1"/>
  <c r="A185" i="63"/>
  <c r="S63" i="47"/>
  <c r="E185" i="63" s="1"/>
  <c r="L41" i="47"/>
  <c r="A35" i="63"/>
  <c r="AU41" i="47"/>
  <c r="AT41" i="47" s="1"/>
  <c r="N41" i="47"/>
  <c r="F35" i="63" s="1"/>
  <c r="B125" i="61"/>
  <c r="J41" i="47"/>
  <c r="AN41" i="47"/>
  <c r="K41" i="47"/>
  <c r="M41" i="47"/>
  <c r="AC77" i="47"/>
  <c r="AB77" i="47"/>
  <c r="AQ77" i="47"/>
  <c r="AE77" i="47"/>
  <c r="E455" i="63" s="1"/>
  <c r="A455" i="63"/>
  <c r="AF77" i="47"/>
  <c r="F455" i="63" s="1"/>
  <c r="AD77" i="47"/>
  <c r="B272" i="61"/>
  <c r="A485" i="63"/>
  <c r="B392" i="61"/>
  <c r="AD107" i="47"/>
  <c r="AF107" i="47"/>
  <c r="F485" i="63" s="1"/>
  <c r="AE107" i="47"/>
  <c r="E485" i="63" s="1"/>
  <c r="AC107" i="47"/>
  <c r="AQ107" i="47"/>
  <c r="AB107" i="47"/>
  <c r="B332" i="61"/>
  <c r="AE92" i="47"/>
  <c r="E470" i="63" s="1"/>
  <c r="AB92" i="47"/>
  <c r="AQ92" i="47"/>
  <c r="AC92" i="47"/>
  <c r="AD92" i="47"/>
  <c r="A470" i="63"/>
  <c r="AF92" i="47"/>
  <c r="F470" i="63" s="1"/>
  <c r="AO57" i="47"/>
  <c r="B190" i="61"/>
  <c r="Q57" i="47"/>
  <c r="A179" i="63"/>
  <c r="T57" i="47"/>
  <c r="F179" i="63" s="1"/>
  <c r="S57" i="47"/>
  <c r="E179" i="63" s="1"/>
  <c r="A115" i="63"/>
  <c r="AN121" i="47"/>
  <c r="B445" i="61"/>
  <c r="M121" i="47"/>
  <c r="AU121" i="47"/>
  <c r="AT121" i="47" s="1"/>
  <c r="N121" i="47"/>
  <c r="F115" i="63" s="1"/>
  <c r="K121" i="47"/>
  <c r="W76" i="47"/>
  <c r="Z76" i="47"/>
  <c r="F326" i="63" s="1"/>
  <c r="A326" i="63"/>
  <c r="AP76" i="47"/>
  <c r="Y76" i="47"/>
  <c r="E326" i="63" s="1"/>
  <c r="B267" i="61"/>
  <c r="AC52" i="47"/>
  <c r="AQ52" i="47"/>
  <c r="AF52" i="47"/>
  <c r="F430" i="63" s="1"/>
  <c r="AB52" i="47"/>
  <c r="B172" i="61"/>
  <c r="AD52" i="47"/>
  <c r="A430" i="63"/>
  <c r="AE52" i="47"/>
  <c r="E430" i="63" s="1"/>
  <c r="B184" i="61"/>
  <c r="AF55" i="47"/>
  <c r="F433" i="63" s="1"/>
  <c r="AB55" i="47"/>
  <c r="AE55" i="47"/>
  <c r="E433" i="63" s="1"/>
  <c r="AQ55" i="47"/>
  <c r="AC55" i="47"/>
  <c r="A433" i="63"/>
  <c r="AD55" i="47"/>
  <c r="B278" i="61"/>
  <c r="T79" i="47"/>
  <c r="F201" i="63" s="1"/>
  <c r="A201" i="63"/>
  <c r="AO79" i="47"/>
  <c r="S79" i="47"/>
  <c r="E201" i="63" s="1"/>
  <c r="Q79" i="47"/>
  <c r="B95" i="61"/>
  <c r="W33" i="47"/>
  <c r="Z33" i="47"/>
  <c r="F283" i="63" s="1"/>
  <c r="Y33" i="47"/>
  <c r="E283" i="63" s="1"/>
  <c r="AP33" i="47"/>
  <c r="A283" i="63"/>
  <c r="T137" i="47"/>
  <c r="F259" i="63" s="1"/>
  <c r="B510" i="61"/>
  <c r="Q137" i="47"/>
  <c r="A259" i="63"/>
  <c r="AO137" i="47"/>
  <c r="S137" i="47"/>
  <c r="E259" i="63" s="1"/>
  <c r="A154" i="63"/>
  <c r="AO32" i="47"/>
  <c r="T32" i="47"/>
  <c r="F154" i="63" s="1"/>
  <c r="B90" i="61"/>
  <c r="Q32" i="47"/>
  <c r="S32" i="47"/>
  <c r="E154" i="63" s="1"/>
  <c r="B416" i="61"/>
  <c r="AC113" i="47"/>
  <c r="AB113" i="47"/>
  <c r="A491" i="63"/>
  <c r="AD113" i="47"/>
  <c r="AQ113" i="47"/>
  <c r="AE113" i="47"/>
  <c r="E491" i="63" s="1"/>
  <c r="AF113" i="47"/>
  <c r="F491" i="63" s="1"/>
  <c r="Q97" i="47"/>
  <c r="B350" i="61"/>
  <c r="A219" i="63"/>
  <c r="AO97" i="47"/>
  <c r="T97" i="47"/>
  <c r="F219" i="63" s="1"/>
  <c r="S97" i="47"/>
  <c r="E219" i="63" s="1"/>
  <c r="AE46" i="47"/>
  <c r="E424" i="63" s="1"/>
  <c r="AQ46" i="47"/>
  <c r="AF46" i="47"/>
  <c r="F424" i="63" s="1"/>
  <c r="AD46" i="47"/>
  <c r="B148" i="61"/>
  <c r="AC46" i="47"/>
  <c r="AB46" i="47"/>
  <c r="A424" i="63"/>
  <c r="AD32" i="47"/>
  <c r="B92" i="61"/>
  <c r="AC32" i="47"/>
  <c r="A410" i="63"/>
  <c r="AB32" i="47"/>
  <c r="AF32" i="47"/>
  <c r="F410" i="63" s="1"/>
  <c r="AE32" i="47"/>
  <c r="E410" i="63" s="1"/>
  <c r="AQ32" i="47"/>
  <c r="A323" i="63"/>
  <c r="Z73" i="47"/>
  <c r="F323" i="63" s="1"/>
  <c r="B255" i="61"/>
  <c r="Y73" i="47"/>
  <c r="E323" i="63" s="1"/>
  <c r="AP73" i="47"/>
  <c r="W73" i="47"/>
  <c r="A174" i="63"/>
  <c r="S52" i="47"/>
  <c r="E174" i="63" s="1"/>
  <c r="Q52" i="47"/>
  <c r="B170" i="61"/>
  <c r="AO52" i="47"/>
  <c r="T52" i="47"/>
  <c r="F174" i="63" s="1"/>
  <c r="A286" i="63"/>
  <c r="AP36" i="47"/>
  <c r="W36" i="47"/>
  <c r="Y36" i="47"/>
  <c r="E286" i="63" s="1"/>
  <c r="B107" i="61"/>
  <c r="Z36" i="47"/>
  <c r="F286" i="63" s="1"/>
  <c r="B276" i="61"/>
  <c r="AQ78" i="47"/>
  <c r="AF78" i="47"/>
  <c r="F456" i="63" s="1"/>
  <c r="AD78" i="47"/>
  <c r="AC78" i="47"/>
  <c r="AB78" i="47"/>
  <c r="A456" i="63"/>
  <c r="AE78" i="47"/>
  <c r="E456" i="63" s="1"/>
  <c r="Q40" i="47"/>
  <c r="B122" i="61"/>
  <c r="AO40" i="47"/>
  <c r="T40" i="47"/>
  <c r="F162" i="63" s="1"/>
  <c r="S40" i="47"/>
  <c r="E162" i="63" s="1"/>
  <c r="A162" i="63"/>
  <c r="AQ53" i="47"/>
  <c r="A431" i="63"/>
  <c r="B176" i="61"/>
  <c r="AB53" i="47"/>
  <c r="AE53" i="47"/>
  <c r="E431" i="63" s="1"/>
  <c r="AC53" i="47"/>
  <c r="AF53" i="47"/>
  <c r="F431" i="63" s="1"/>
  <c r="AD53" i="47"/>
  <c r="AD87" i="47"/>
  <c r="B312" i="61"/>
  <c r="AE87" i="47"/>
  <c r="E465" i="63" s="1"/>
  <c r="AB87" i="47"/>
  <c r="AC87" i="47"/>
  <c r="AF87" i="47"/>
  <c r="F465" i="63" s="1"/>
  <c r="AQ87" i="47"/>
  <c r="A465" i="63"/>
  <c r="AN129" i="47"/>
  <c r="M129" i="47"/>
  <c r="B477" i="61"/>
  <c r="K129" i="47"/>
  <c r="N129" i="47"/>
  <c r="F123" i="63" s="1"/>
  <c r="AU129" i="47"/>
  <c r="AT129" i="47" s="1"/>
  <c r="A123" i="63"/>
  <c r="AB101" i="47"/>
  <c r="B368" i="61"/>
  <c r="AD101" i="47"/>
  <c r="AE101" i="47"/>
  <c r="E479" i="63" s="1"/>
  <c r="A479" i="63"/>
  <c r="AC101" i="47"/>
  <c r="AF101" i="47"/>
  <c r="F479" i="63" s="1"/>
  <c r="AQ101" i="47"/>
  <c r="W60" i="47"/>
  <c r="Y60" i="47"/>
  <c r="E310" i="63" s="1"/>
  <c r="B203" i="61"/>
  <c r="A310" i="63"/>
  <c r="Z60" i="47"/>
  <c r="F310" i="63" s="1"/>
  <c r="AP60" i="47"/>
  <c r="A375" i="63"/>
  <c r="Y125" i="47"/>
  <c r="E375" i="63" s="1"/>
  <c r="AP125" i="47"/>
  <c r="Z125" i="47"/>
  <c r="F375" i="63" s="1"/>
  <c r="W125" i="47"/>
  <c r="B463" i="61"/>
  <c r="AO94" i="47"/>
  <c r="S94" i="47"/>
  <c r="E216" i="63" s="1"/>
  <c r="T94" i="47"/>
  <c r="F216" i="63" s="1"/>
  <c r="Q94" i="47"/>
  <c r="A216" i="63"/>
  <c r="B338" i="61"/>
  <c r="AE18" i="47"/>
  <c r="E396" i="63" s="1"/>
  <c r="AC18" i="47"/>
  <c r="AQ18" i="47"/>
  <c r="A396" i="63"/>
  <c r="B36" i="61"/>
  <c r="AB18" i="47"/>
  <c r="AD18" i="47"/>
  <c r="AF18" i="47"/>
  <c r="F396" i="63" s="1"/>
  <c r="AD132" i="47"/>
  <c r="AB132" i="47"/>
  <c r="A510" i="63"/>
  <c r="AF132" i="47"/>
  <c r="F510" i="63" s="1"/>
  <c r="AC132" i="47"/>
  <c r="AQ132" i="47"/>
  <c r="B492" i="61"/>
  <c r="AE132" i="47"/>
  <c r="E510" i="63" s="1"/>
  <c r="Z39" i="47"/>
  <c r="F289" i="63" s="1"/>
  <c r="AP39" i="47"/>
  <c r="Y39" i="47"/>
  <c r="E289" i="63" s="1"/>
  <c r="A289" i="63"/>
  <c r="W39" i="47"/>
  <c r="B119" i="61"/>
  <c r="B208" i="61"/>
  <c r="AD61" i="47"/>
  <c r="AE61" i="47"/>
  <c r="E439" i="63" s="1"/>
  <c r="A439" i="63"/>
  <c r="AB61" i="47"/>
  <c r="AQ61" i="47"/>
  <c r="AC61" i="47"/>
  <c r="AF61" i="47"/>
  <c r="F439" i="63" s="1"/>
  <c r="L46" i="47"/>
  <c r="K46" i="47"/>
  <c r="B145" i="61"/>
  <c r="AU46" i="47"/>
  <c r="AT46" i="47" s="1"/>
  <c r="A40" i="63"/>
  <c r="AN46" i="47"/>
  <c r="J46" i="47"/>
  <c r="N46" i="47"/>
  <c r="F40" i="63" s="1"/>
  <c r="M46" i="47"/>
  <c r="Z85" i="47"/>
  <c r="F335" i="63" s="1"/>
  <c r="Y85" i="47"/>
  <c r="E335" i="63" s="1"/>
  <c r="A335" i="63"/>
  <c r="B303" i="61"/>
  <c r="AP85" i="47"/>
  <c r="W85" i="47"/>
  <c r="J20" i="47"/>
  <c r="AU20" i="47"/>
  <c r="AT20" i="47" s="1"/>
  <c r="N20" i="47"/>
  <c r="F14" i="63" s="1"/>
  <c r="AN20" i="47"/>
  <c r="A14" i="63"/>
  <c r="K20" i="47"/>
  <c r="B41" i="61"/>
  <c r="L20" i="47"/>
  <c r="M20" i="47"/>
  <c r="AF58" i="47"/>
  <c r="F436" i="63" s="1"/>
  <c r="AB58" i="47"/>
  <c r="AQ58" i="47"/>
  <c r="A436" i="63"/>
  <c r="AE58" i="47"/>
  <c r="E436" i="63" s="1"/>
  <c r="B196" i="61"/>
  <c r="AC58" i="47"/>
  <c r="AD58" i="47"/>
  <c r="N48" i="47"/>
  <c r="F42" i="63" s="1"/>
  <c r="M48" i="47"/>
  <c r="A42" i="63"/>
  <c r="K48" i="47"/>
  <c r="B153" i="61"/>
  <c r="AU48" i="47"/>
  <c r="AT48" i="47" s="1"/>
  <c r="AN48" i="47"/>
  <c r="L48" i="47"/>
  <c r="J48" i="47"/>
  <c r="AB106" i="47"/>
  <c r="AE106" i="47"/>
  <c r="E484" i="63" s="1"/>
  <c r="AD106" i="47"/>
  <c r="AF106" i="47"/>
  <c r="F484" i="63" s="1"/>
  <c r="AQ106" i="47"/>
  <c r="AC106" i="47"/>
  <c r="A484" i="63"/>
  <c r="B388" i="61"/>
  <c r="Z67" i="47"/>
  <c r="F317" i="63" s="1"/>
  <c r="B231" i="61"/>
  <c r="A317" i="63"/>
  <c r="AP67" i="47"/>
  <c r="Y67" i="47"/>
  <c r="E317" i="63" s="1"/>
  <c r="W67" i="47"/>
  <c r="AD103" i="47"/>
  <c r="AF103" i="47"/>
  <c r="F481" i="63" s="1"/>
  <c r="A481" i="63"/>
  <c r="AE103" i="47"/>
  <c r="E481" i="63" s="1"/>
  <c r="AQ103" i="47"/>
  <c r="AC103" i="47"/>
  <c r="B376" i="61"/>
  <c r="AB103" i="47"/>
  <c r="B204" i="61"/>
  <c r="AF60" i="47"/>
  <c r="F438" i="63" s="1"/>
  <c r="AQ60" i="47"/>
  <c r="A438" i="63"/>
  <c r="AB60" i="47"/>
  <c r="AC60" i="47"/>
  <c r="AE60" i="47"/>
  <c r="E438" i="63" s="1"/>
  <c r="AD60" i="47"/>
  <c r="AO95" i="47"/>
  <c r="Q95" i="47"/>
  <c r="S95" i="47"/>
  <c r="E217" i="63" s="1"/>
  <c r="B342" i="61"/>
  <c r="A217" i="63"/>
  <c r="T95" i="47"/>
  <c r="F217" i="63" s="1"/>
  <c r="W86" i="47"/>
  <c r="A336" i="63"/>
  <c r="Z86" i="47"/>
  <c r="F336" i="63" s="1"/>
  <c r="B307" i="61"/>
  <c r="AP86" i="47"/>
  <c r="Y86" i="47"/>
  <c r="E336" i="63" s="1"/>
  <c r="K59" i="47"/>
  <c r="AN59" i="47"/>
  <c r="A53" i="63"/>
  <c r="M59" i="47"/>
  <c r="N59" i="47"/>
  <c r="F53" i="63" s="1"/>
  <c r="B197" i="61"/>
  <c r="AU59" i="47"/>
  <c r="AT59" i="47" s="1"/>
  <c r="B210" i="61"/>
  <c r="A184" i="63"/>
  <c r="Q62" i="47"/>
  <c r="AO62" i="47"/>
  <c r="T62" i="47"/>
  <c r="F184" i="63" s="1"/>
  <c r="S62" i="47"/>
  <c r="E184" i="63" s="1"/>
  <c r="A322" i="63"/>
  <c r="AP72" i="47"/>
  <c r="Y72" i="47"/>
  <c r="E322" i="63" s="1"/>
  <c r="Z72" i="47"/>
  <c r="F322" i="63" s="1"/>
  <c r="W72" i="47"/>
  <c r="B251" i="61"/>
  <c r="AP37" i="47"/>
  <c r="Z37" i="47"/>
  <c r="F287" i="63" s="1"/>
  <c r="Y37" i="47"/>
  <c r="E287" i="63" s="1"/>
  <c r="A287" i="63"/>
  <c r="B111" i="61"/>
  <c r="W37" i="47"/>
  <c r="AP96" i="47"/>
  <c r="B347" i="61"/>
  <c r="Y96" i="47"/>
  <c r="E346" i="63" s="1"/>
  <c r="Z96" i="47"/>
  <c r="F346" i="63" s="1"/>
  <c r="W96" i="47"/>
  <c r="A346" i="63"/>
  <c r="N87" i="47"/>
  <c r="F81" i="63" s="1"/>
  <c r="AU87" i="47"/>
  <c r="AT87" i="47" s="1"/>
  <c r="AN87" i="47"/>
  <c r="M87" i="47"/>
  <c r="K87" i="47"/>
  <c r="B309" i="61"/>
  <c r="A81" i="63"/>
  <c r="AF33" i="47"/>
  <c r="F411" i="63" s="1"/>
  <c r="B96" i="61"/>
  <c r="AD33" i="47"/>
  <c r="AQ33" i="47"/>
  <c r="AC33" i="47"/>
  <c r="AE33" i="47"/>
  <c r="E411" i="63" s="1"/>
  <c r="AB33" i="47"/>
  <c r="A411" i="63"/>
  <c r="AU24" i="47"/>
  <c r="AT24" i="47" s="1"/>
  <c r="M24" i="47"/>
  <c r="B57" i="61"/>
  <c r="J24" i="47"/>
  <c r="N24" i="47"/>
  <c r="F18" i="63" s="1"/>
  <c r="L24" i="47"/>
  <c r="AN24" i="47"/>
  <c r="A18" i="63"/>
  <c r="K24" i="47"/>
  <c r="Q109" i="47"/>
  <c r="T109" i="47"/>
  <c r="F231" i="63" s="1"/>
  <c r="S109" i="47"/>
  <c r="E231" i="63" s="1"/>
  <c r="AO109" i="47"/>
  <c r="A231" i="63"/>
  <c r="B398" i="61"/>
  <c r="K117" i="47"/>
  <c r="AU117" i="47"/>
  <c r="AT117" i="47" s="1"/>
  <c r="N117" i="47"/>
  <c r="F111" i="63" s="1"/>
  <c r="M117" i="47"/>
  <c r="A111" i="63"/>
  <c r="AN117" i="47"/>
  <c r="B429" i="61"/>
  <c r="AO59" i="47"/>
  <c r="Q59" i="47"/>
  <c r="T59" i="47"/>
  <c r="F181" i="63" s="1"/>
  <c r="S59" i="47"/>
  <c r="E181" i="63" s="1"/>
  <c r="A181" i="63"/>
  <c r="B198" i="61"/>
  <c r="B455" i="61"/>
  <c r="A373" i="63"/>
  <c r="Z123" i="47"/>
  <c r="F373" i="63" s="1"/>
  <c r="AP123" i="47"/>
  <c r="Y123" i="47"/>
  <c r="E373" i="63" s="1"/>
  <c r="W123" i="47"/>
  <c r="B236" i="61"/>
  <c r="AB68" i="47"/>
  <c r="AC68" i="47"/>
  <c r="AQ68" i="47"/>
  <c r="AF68" i="47"/>
  <c r="F446" i="63" s="1"/>
  <c r="AE68" i="47"/>
  <c r="E446" i="63" s="1"/>
  <c r="AD68" i="47"/>
  <c r="A446" i="63"/>
  <c r="Y107" i="47"/>
  <c r="E357" i="63" s="1"/>
  <c r="W107" i="47"/>
  <c r="AP107" i="47"/>
  <c r="Z107" i="47"/>
  <c r="F357" i="63" s="1"/>
  <c r="A357" i="63"/>
  <c r="B391" i="61"/>
  <c r="A252" i="63"/>
  <c r="Q130" i="47"/>
  <c r="B482" i="61"/>
  <c r="AO130" i="47"/>
  <c r="T130" i="47"/>
  <c r="F252" i="63" s="1"/>
  <c r="S130" i="47"/>
  <c r="E252" i="63" s="1"/>
  <c r="A204" i="63"/>
  <c r="B290" i="61"/>
  <c r="S82" i="47"/>
  <c r="E204" i="63" s="1"/>
  <c r="Q82" i="47"/>
  <c r="T82" i="47"/>
  <c r="F204" i="63" s="1"/>
  <c r="AO82" i="47"/>
  <c r="AO23" i="47"/>
  <c r="B54" i="61"/>
  <c r="A145" i="63"/>
  <c r="Q23" i="47"/>
  <c r="S23" i="47"/>
  <c r="E145" i="63" s="1"/>
  <c r="T23" i="47"/>
  <c r="F145" i="63" s="1"/>
  <c r="AB85" i="47"/>
  <c r="AD85" i="47"/>
  <c r="B304" i="61"/>
  <c r="AF85" i="47"/>
  <c r="F463" i="63" s="1"/>
  <c r="AC85" i="47"/>
  <c r="AQ85" i="47"/>
  <c r="A463" i="63"/>
  <c r="AE85" i="47"/>
  <c r="E463" i="63" s="1"/>
  <c r="N76" i="47"/>
  <c r="F70" i="63" s="1"/>
  <c r="AU76" i="47"/>
  <c r="AT76" i="47" s="1"/>
  <c r="A70" i="63"/>
  <c r="AN76" i="47"/>
  <c r="M76" i="47"/>
  <c r="B265" i="61"/>
  <c r="K76" i="47"/>
  <c r="AU55" i="47"/>
  <c r="AT55" i="47" s="1"/>
  <c r="N55" i="47"/>
  <c r="F49" i="63" s="1"/>
  <c r="K55" i="47"/>
  <c r="M55" i="47"/>
  <c r="AN55" i="47"/>
  <c r="B181" i="61"/>
  <c r="A49" i="63"/>
  <c r="S132" i="47"/>
  <c r="E254" i="63" s="1"/>
  <c r="B490" i="61"/>
  <c r="AO132" i="47"/>
  <c r="Q132" i="47"/>
  <c r="A254" i="63"/>
  <c r="T132" i="47"/>
  <c r="F254" i="63" s="1"/>
  <c r="B129" i="61"/>
  <c r="A36" i="63"/>
  <c r="AN42" i="47"/>
  <c r="M42" i="47"/>
  <c r="K42" i="47"/>
  <c r="AU42" i="47"/>
  <c r="AT42" i="47" s="1"/>
  <c r="J42" i="47"/>
  <c r="L42" i="47"/>
  <c r="N42" i="47"/>
  <c r="F36" i="63" s="1"/>
  <c r="AO114" i="47"/>
  <c r="S114" i="47"/>
  <c r="E236" i="63" s="1"/>
  <c r="A236" i="63"/>
  <c r="Q114" i="47"/>
  <c r="T114" i="47"/>
  <c r="F236" i="63" s="1"/>
  <c r="B418" i="61"/>
  <c r="T38" i="47"/>
  <c r="F160" i="63" s="1"/>
  <c r="B114" i="61"/>
  <c r="S38" i="47"/>
  <c r="E160" i="63" s="1"/>
  <c r="AO38" i="47"/>
  <c r="Q38" i="47"/>
  <c r="A160" i="63"/>
  <c r="AN131" i="47"/>
  <c r="K131" i="47"/>
  <c r="AU131" i="47"/>
  <c r="AT131" i="47" s="1"/>
  <c r="N131" i="47"/>
  <c r="F125" i="63" s="1"/>
  <c r="A125" i="63"/>
  <c r="B485" i="61"/>
  <c r="M131" i="47"/>
  <c r="S19" i="47"/>
  <c r="E141" i="63" s="1"/>
  <c r="A141" i="63"/>
  <c r="B38" i="61"/>
  <c r="Q19" i="47"/>
  <c r="AO19" i="47"/>
  <c r="T19" i="47"/>
  <c r="F141" i="63" s="1"/>
  <c r="AB67" i="47"/>
  <c r="A445" i="63"/>
  <c r="B232" i="61"/>
  <c r="AC67" i="47"/>
  <c r="AE67" i="47"/>
  <c r="E445" i="63" s="1"/>
  <c r="AF67" i="47"/>
  <c r="F445" i="63" s="1"/>
  <c r="AQ67" i="47"/>
  <c r="AD67" i="47"/>
  <c r="Z16" i="47"/>
  <c r="F266" i="63" s="1"/>
  <c r="W16" i="47"/>
  <c r="AP16" i="47"/>
  <c r="A266" i="63"/>
  <c r="B27" i="61"/>
  <c r="Y16" i="47"/>
  <c r="E266" i="63" s="1"/>
  <c r="A387" i="63"/>
  <c r="B511" i="61"/>
  <c r="Z137" i="47"/>
  <c r="F387" i="63" s="1"/>
  <c r="AP137" i="47"/>
  <c r="W137" i="47"/>
  <c r="Y137" i="47"/>
  <c r="E387" i="63" s="1"/>
  <c r="AE108" i="47"/>
  <c r="E486" i="63" s="1"/>
  <c r="AB108" i="47"/>
  <c r="A486" i="63"/>
  <c r="AC108" i="47"/>
  <c r="AF108" i="47"/>
  <c r="F486" i="63" s="1"/>
  <c r="B396" i="61"/>
  <c r="AD108" i="47"/>
  <c r="AQ108" i="47"/>
  <c r="AQ130" i="47"/>
  <c r="AB130" i="47"/>
  <c r="AD130" i="47"/>
  <c r="AC130" i="47"/>
  <c r="B484" i="61"/>
  <c r="AF130" i="47"/>
  <c r="F508" i="63" s="1"/>
  <c r="A508" i="63"/>
  <c r="AE130" i="47"/>
  <c r="E508" i="63" s="1"/>
  <c r="AU62" i="47"/>
  <c r="AT62" i="47" s="1"/>
  <c r="K62" i="47"/>
  <c r="B209" i="61"/>
  <c r="M62" i="47"/>
  <c r="A56" i="63"/>
  <c r="N62" i="47"/>
  <c r="F56" i="63" s="1"/>
  <c r="AN62" i="47"/>
  <c r="AO34" i="47"/>
  <c r="T34" i="47"/>
  <c r="F156" i="63" s="1"/>
  <c r="S34" i="47"/>
  <c r="E156" i="63" s="1"/>
  <c r="A156" i="63"/>
  <c r="Q34" i="47"/>
  <c r="B98" i="61"/>
  <c r="AE104" i="47"/>
  <c r="E482" i="63" s="1"/>
  <c r="AD104" i="47"/>
  <c r="AC104" i="47"/>
  <c r="AQ104" i="47"/>
  <c r="AB104" i="47"/>
  <c r="B380" i="61"/>
  <c r="AF104" i="47"/>
  <c r="F482" i="63" s="1"/>
  <c r="A482" i="63"/>
  <c r="S105" i="47"/>
  <c r="E227" i="63" s="1"/>
  <c r="Q105" i="47"/>
  <c r="A227" i="63"/>
  <c r="AO105" i="47"/>
  <c r="B382" i="61"/>
  <c r="T105" i="47"/>
  <c r="F227" i="63" s="1"/>
  <c r="B387" i="61"/>
  <c r="Z106" i="47"/>
  <c r="F356" i="63" s="1"/>
  <c r="W106" i="47"/>
  <c r="AP106" i="47"/>
  <c r="Y106" i="47"/>
  <c r="E356" i="63" s="1"/>
  <c r="A356" i="63"/>
  <c r="AU94" i="47"/>
  <c r="AT94" i="47" s="1"/>
  <c r="N94" i="47"/>
  <c r="F88" i="63" s="1"/>
  <c r="AN94" i="47"/>
  <c r="M94" i="47"/>
  <c r="K94" i="47"/>
  <c r="A88" i="63"/>
  <c r="B337" i="61"/>
  <c r="A197" i="63"/>
  <c r="S75" i="47"/>
  <c r="E197" i="63" s="1"/>
  <c r="B262" i="61"/>
  <c r="T75" i="47"/>
  <c r="F197" i="63" s="1"/>
  <c r="Q75" i="47"/>
  <c r="AO75" i="47"/>
  <c r="Q45" i="47"/>
  <c r="AO45" i="47"/>
  <c r="T45" i="47"/>
  <c r="F167" i="63" s="1"/>
  <c r="A167" i="63"/>
  <c r="S45" i="47"/>
  <c r="E167" i="63" s="1"/>
  <c r="B142" i="61"/>
  <c r="AO51" i="47"/>
  <c r="Q51" i="47"/>
  <c r="T51" i="47"/>
  <c r="F173" i="63" s="1"/>
  <c r="A173" i="63"/>
  <c r="B166" i="61"/>
  <c r="S51" i="47"/>
  <c r="E173" i="63" s="1"/>
  <c r="B127" i="61"/>
  <c r="A291" i="63"/>
  <c r="Z41" i="47"/>
  <c r="F291" i="63" s="1"/>
  <c r="AP41" i="47"/>
  <c r="Y41" i="47"/>
  <c r="E291" i="63" s="1"/>
  <c r="W41" i="47"/>
  <c r="W83" i="47"/>
  <c r="B295" i="61"/>
  <c r="AP83" i="47"/>
  <c r="A333" i="63"/>
  <c r="Z83" i="47"/>
  <c r="F333" i="63" s="1"/>
  <c r="Y83" i="47"/>
  <c r="E333" i="63" s="1"/>
  <c r="W104" i="47"/>
  <c r="B379" i="61"/>
  <c r="A354" i="63"/>
  <c r="AP104" i="47"/>
  <c r="Y104" i="47"/>
  <c r="E354" i="63" s="1"/>
  <c r="Z104" i="47"/>
  <c r="F354" i="63" s="1"/>
  <c r="N91" i="47"/>
  <c r="F85" i="63" s="1"/>
  <c r="B325" i="61"/>
  <c r="A85" i="63"/>
  <c r="M91" i="47"/>
  <c r="AU91" i="47"/>
  <c r="AT91" i="47" s="1"/>
  <c r="K91" i="47"/>
  <c r="AN91" i="47"/>
  <c r="Y136" i="47"/>
  <c r="E386" i="63" s="1"/>
  <c r="Z136" i="47"/>
  <c r="F386" i="63" s="1"/>
  <c r="A386" i="63"/>
  <c r="AP136" i="47"/>
  <c r="B507" i="61"/>
  <c r="W136" i="47"/>
  <c r="M132" i="47"/>
  <c r="B489" i="61"/>
  <c r="K132" i="47"/>
  <c r="AU132" i="47"/>
  <c r="AT132" i="47" s="1"/>
  <c r="A126" i="63"/>
  <c r="AN132" i="47"/>
  <c r="N132" i="47"/>
  <c r="F126" i="63" s="1"/>
  <c r="B66" i="61"/>
  <c r="A148" i="63"/>
  <c r="Q26" i="47"/>
  <c r="AO26" i="47"/>
  <c r="S26" i="47"/>
  <c r="E148" i="63" s="1"/>
  <c r="T26" i="47"/>
  <c r="F148" i="63" s="1"/>
  <c r="N99" i="47"/>
  <c r="F93" i="63" s="1"/>
  <c r="A93" i="63"/>
  <c r="K99" i="47"/>
  <c r="B357" i="61"/>
  <c r="M99" i="47"/>
  <c r="AU99" i="47"/>
  <c r="AT99" i="47" s="1"/>
  <c r="AN99" i="47"/>
  <c r="AP53" i="47"/>
  <c r="Y53" i="47"/>
  <c r="E303" i="63" s="1"/>
  <c r="W53" i="47"/>
  <c r="Z53" i="47"/>
  <c r="F303" i="63" s="1"/>
  <c r="A303" i="63"/>
  <c r="B175" i="61"/>
  <c r="S80" i="47"/>
  <c r="E202" i="63" s="1"/>
  <c r="AO80" i="47"/>
  <c r="B282" i="61"/>
  <c r="T80" i="47"/>
  <c r="F202" i="63" s="1"/>
  <c r="A202" i="63"/>
  <c r="Q80" i="47"/>
  <c r="A490" i="63"/>
  <c r="AQ112" i="47"/>
  <c r="AD112" i="47"/>
  <c r="B412" i="61"/>
  <c r="AF112" i="47"/>
  <c r="F490" i="63" s="1"/>
  <c r="AC112" i="47"/>
  <c r="AE112" i="47"/>
  <c r="E490" i="63" s="1"/>
  <c r="AB112" i="47"/>
  <c r="AO74" i="47"/>
  <c r="Q74" i="47"/>
  <c r="A196" i="63"/>
  <c r="B258" i="61"/>
  <c r="S74" i="47"/>
  <c r="E196" i="63" s="1"/>
  <c r="T74" i="47"/>
  <c r="F196" i="63" s="1"/>
  <c r="A171" i="63"/>
  <c r="B158" i="61"/>
  <c r="S49" i="47"/>
  <c r="E171" i="63" s="1"/>
  <c r="Q49" i="47"/>
  <c r="AO49" i="47"/>
  <c r="T49" i="47"/>
  <c r="F171" i="63" s="1"/>
  <c r="B336" i="61"/>
  <c r="AB93" i="47"/>
  <c r="A471" i="63"/>
  <c r="AC93" i="47"/>
  <c r="AE93" i="47"/>
  <c r="E471" i="63" s="1"/>
  <c r="AQ93" i="47"/>
  <c r="AF93" i="47"/>
  <c r="F471" i="63" s="1"/>
  <c r="AD93" i="47"/>
  <c r="T37" i="47"/>
  <c r="F159" i="63" s="1"/>
  <c r="S37" i="47"/>
  <c r="E159" i="63" s="1"/>
  <c r="Q37" i="47"/>
  <c r="AO37" i="47"/>
  <c r="B110" i="61"/>
  <c r="A159" i="63"/>
  <c r="M44" i="47"/>
  <c r="N44" i="47"/>
  <c r="F38" i="63" s="1"/>
  <c r="AN44" i="47"/>
  <c r="B137" i="61"/>
  <c r="A38" i="63"/>
  <c r="AU44" i="47"/>
  <c r="AT44" i="47" s="1"/>
  <c r="K44" i="47"/>
  <c r="J44" i="47"/>
  <c r="L44" i="47"/>
  <c r="AN114" i="47"/>
  <c r="K114" i="47"/>
  <c r="B417" i="61"/>
  <c r="M114" i="47"/>
  <c r="A108" i="63"/>
  <c r="AU114" i="47"/>
  <c r="AT114" i="47" s="1"/>
  <c r="N114" i="47"/>
  <c r="F108" i="63" s="1"/>
  <c r="A478" i="63"/>
  <c r="AQ100" i="47"/>
  <c r="AF100" i="47"/>
  <c r="F478" i="63" s="1"/>
  <c r="AD100" i="47"/>
  <c r="B364" i="61"/>
  <c r="AC100" i="47"/>
  <c r="AE100" i="47"/>
  <c r="E478" i="63" s="1"/>
  <c r="AB100" i="47"/>
  <c r="AC14" i="47"/>
  <c r="AD14" i="47"/>
  <c r="AF14" i="47"/>
  <c r="F392" i="63" s="1"/>
  <c r="AB14" i="47"/>
  <c r="B20" i="61"/>
  <c r="AQ14" i="47"/>
  <c r="A392" i="63"/>
  <c r="AE14" i="47"/>
  <c r="E392" i="63" s="1"/>
  <c r="T133" i="47"/>
  <c r="F255" i="63" s="1"/>
  <c r="S133" i="47"/>
  <c r="E255" i="63" s="1"/>
  <c r="A255" i="63"/>
  <c r="B494" i="61"/>
  <c r="AO133" i="47"/>
  <c r="Q133" i="47"/>
  <c r="A380" i="63"/>
  <c r="W130" i="47"/>
  <c r="B483" i="61"/>
  <c r="AP130" i="47"/>
  <c r="Z130" i="47"/>
  <c r="F380" i="63" s="1"/>
  <c r="Y130" i="47"/>
  <c r="E380" i="63" s="1"/>
  <c r="A261" i="63"/>
  <c r="AP11" i="47"/>
  <c r="Z11" i="47"/>
  <c r="F261" i="63" s="1"/>
  <c r="Y11" i="47"/>
  <c r="E261" i="63" s="1"/>
  <c r="B7" i="61"/>
  <c r="W11" i="47"/>
  <c r="AQ23" i="47"/>
  <c r="B56" i="61"/>
  <c r="AC23" i="47"/>
  <c r="AB23" i="47"/>
  <c r="AF23" i="47"/>
  <c r="F401" i="63" s="1"/>
  <c r="AD23" i="47"/>
  <c r="A401" i="63"/>
  <c r="AE23" i="47"/>
  <c r="E401" i="63" s="1"/>
  <c r="AO21" i="47"/>
  <c r="B46" i="61"/>
  <c r="T21" i="47"/>
  <c r="F143" i="63" s="1"/>
  <c r="Q21" i="47"/>
  <c r="A143" i="63"/>
  <c r="S21" i="47"/>
  <c r="E143" i="63" s="1"/>
  <c r="W77" i="47"/>
  <c r="B271" i="61"/>
  <c r="A327" i="63"/>
  <c r="Z77" i="47"/>
  <c r="F327" i="63" s="1"/>
  <c r="Y77" i="47"/>
  <c r="E327" i="63" s="1"/>
  <c r="AP77" i="47"/>
  <c r="N15" i="47"/>
  <c r="F9" i="63" s="1"/>
  <c r="J15" i="47"/>
  <c r="A9" i="63"/>
  <c r="AU15" i="47"/>
  <c r="AT15" i="47" s="1"/>
  <c r="B21" i="61"/>
  <c r="K15" i="47"/>
  <c r="AN15" i="47"/>
  <c r="M15" i="47"/>
  <c r="L15" i="47"/>
  <c r="A466" i="63"/>
  <c r="AD88" i="47"/>
  <c r="B316" i="61"/>
  <c r="AC88" i="47"/>
  <c r="AF88" i="47"/>
  <c r="F466" i="63" s="1"/>
  <c r="AQ88" i="47"/>
  <c r="AE88" i="47"/>
  <c r="E466" i="63" s="1"/>
  <c r="AB88" i="47"/>
  <c r="AD35" i="47"/>
  <c r="B104" i="61"/>
  <c r="A413" i="63"/>
  <c r="AF35" i="47"/>
  <c r="F413" i="63" s="1"/>
  <c r="AB35" i="47"/>
  <c r="AC35" i="47"/>
  <c r="AE35" i="47"/>
  <c r="E413" i="63" s="1"/>
  <c r="AQ35" i="47"/>
  <c r="J28" i="47"/>
  <c r="B73" i="61"/>
  <c r="N28" i="47"/>
  <c r="F22" i="63" s="1"/>
  <c r="M28" i="47"/>
  <c r="AN28" i="47"/>
  <c r="AU28" i="47"/>
  <c r="AT28" i="47" s="1"/>
  <c r="L28" i="47"/>
  <c r="K28" i="47"/>
  <c r="A22" i="63"/>
  <c r="AD65" i="47"/>
  <c r="AF65" i="47"/>
  <c r="F443" i="63" s="1"/>
  <c r="A443" i="63"/>
  <c r="AB65" i="47"/>
  <c r="B224" i="61"/>
  <c r="AE65" i="47"/>
  <c r="E443" i="63" s="1"/>
  <c r="AQ65" i="47"/>
  <c r="AC65" i="47"/>
  <c r="AO131" i="47"/>
  <c r="Q131" i="47"/>
  <c r="S131" i="47"/>
  <c r="E253" i="63" s="1"/>
  <c r="A253" i="63"/>
  <c r="T131" i="47"/>
  <c r="F253" i="63" s="1"/>
  <c r="B486" i="61"/>
  <c r="B495" i="61"/>
  <c r="Y133" i="47"/>
  <c r="E383" i="63" s="1"/>
  <c r="A383" i="63"/>
  <c r="Z133" i="47"/>
  <c r="F383" i="63" s="1"/>
  <c r="AP133" i="47"/>
  <c r="W133" i="47"/>
  <c r="AQ37" i="47"/>
  <c r="AE37" i="47"/>
  <c r="E415" i="63" s="1"/>
  <c r="AF37" i="47"/>
  <c r="F415" i="63" s="1"/>
  <c r="A415" i="63"/>
  <c r="AD37" i="47"/>
  <c r="B112" i="61"/>
  <c r="AB37" i="47"/>
  <c r="AC37" i="47"/>
  <c r="A329" i="63"/>
  <c r="W79" i="47"/>
  <c r="B279" i="61"/>
  <c r="Z79" i="47"/>
  <c r="F329" i="63" s="1"/>
  <c r="AP79" i="47"/>
  <c r="Y79" i="47"/>
  <c r="E329" i="63" s="1"/>
  <c r="B45" i="61"/>
  <c r="A15" i="63"/>
  <c r="K21" i="47"/>
  <c r="N21" i="47"/>
  <c r="F15" i="63" s="1"/>
  <c r="AU21" i="47"/>
  <c r="AT21" i="47" s="1"/>
  <c r="M21" i="47"/>
  <c r="J21" i="47"/>
  <c r="L21" i="47"/>
  <c r="AN21" i="47"/>
  <c r="B447" i="61"/>
  <c r="Z121" i="47"/>
  <c r="F371" i="63" s="1"/>
  <c r="A371" i="63"/>
  <c r="AP121" i="47"/>
  <c r="W121" i="47"/>
  <c r="Y121" i="47"/>
  <c r="E371" i="63" s="1"/>
  <c r="S88" i="47"/>
  <c r="E210" i="63" s="1"/>
  <c r="Q88" i="47"/>
  <c r="A210" i="63"/>
  <c r="T88" i="47"/>
  <c r="F210" i="63" s="1"/>
  <c r="B314" i="61"/>
  <c r="AO88" i="47"/>
  <c r="N37" i="47"/>
  <c r="F31" i="63" s="1"/>
  <c r="M37" i="47"/>
  <c r="B109" i="61"/>
  <c r="J37" i="47"/>
  <c r="AU37" i="47"/>
  <c r="AT37" i="47" s="1"/>
  <c r="K37" i="47"/>
  <c r="A31" i="63"/>
  <c r="AN37" i="47"/>
  <c r="L37" i="47"/>
  <c r="AO73" i="47"/>
  <c r="Q73" i="47"/>
  <c r="T73" i="47"/>
  <c r="F195" i="63" s="1"/>
  <c r="A195" i="63"/>
  <c r="B254" i="61"/>
  <c r="S73" i="47"/>
  <c r="E195" i="63" s="1"/>
  <c r="AB79" i="47"/>
  <c r="AC79" i="47"/>
  <c r="AE79" i="47"/>
  <c r="E457" i="63" s="1"/>
  <c r="B280" i="61"/>
  <c r="AD79" i="47"/>
  <c r="AF79" i="47"/>
  <c r="F457" i="63" s="1"/>
  <c r="A457" i="63"/>
  <c r="AQ79" i="47"/>
  <c r="Z120" i="47"/>
  <c r="F370" i="63" s="1"/>
  <c r="W120" i="47"/>
  <c r="Y120" i="47"/>
  <c r="E370" i="63" s="1"/>
  <c r="B443" i="61"/>
  <c r="AP120" i="47"/>
  <c r="A370" i="63"/>
  <c r="AP124" i="47"/>
  <c r="A374" i="63"/>
  <c r="B459" i="61"/>
  <c r="Y124" i="47"/>
  <c r="E374" i="63" s="1"/>
  <c r="W124" i="47"/>
  <c r="Z124" i="47"/>
  <c r="F374" i="63" s="1"/>
  <c r="A191" i="63"/>
  <c r="S69" i="47"/>
  <c r="E191" i="63" s="1"/>
  <c r="AO69" i="47"/>
  <c r="B238" i="61"/>
  <c r="T69" i="47"/>
  <c r="F191" i="63" s="1"/>
  <c r="Q69" i="47"/>
  <c r="K47" i="47"/>
  <c r="L47" i="47"/>
  <c r="A41" i="63"/>
  <c r="B149" i="61"/>
  <c r="AN47" i="47"/>
  <c r="M47" i="47"/>
  <c r="AU47" i="47"/>
  <c r="AT47" i="47" s="1"/>
  <c r="J47" i="47"/>
  <c r="N47" i="47"/>
  <c r="F41" i="63" s="1"/>
  <c r="Y21" i="47"/>
  <c r="E271" i="63" s="1"/>
  <c r="W21" i="47"/>
  <c r="A271" i="63"/>
  <c r="B47" i="61"/>
  <c r="Z21" i="47"/>
  <c r="F271" i="63" s="1"/>
  <c r="AP21" i="47"/>
  <c r="M32" i="47"/>
  <c r="L32" i="47"/>
  <c r="AU32" i="47"/>
  <c r="AT32" i="47" s="1"/>
  <c r="N32" i="47"/>
  <c r="F26" i="63" s="1"/>
  <c r="K32" i="47"/>
  <c r="AN32" i="47"/>
  <c r="J32" i="47"/>
  <c r="B89" i="61"/>
  <c r="A26" i="63"/>
  <c r="B235" i="61"/>
  <c r="A318" i="63"/>
  <c r="Z68" i="47"/>
  <c r="F318" i="63" s="1"/>
  <c r="W68" i="47"/>
  <c r="Y68" i="47"/>
  <c r="E318" i="63" s="1"/>
  <c r="AP68" i="47"/>
  <c r="K74" i="47"/>
  <c r="M74" i="47"/>
  <c r="B257" i="61"/>
  <c r="N74" i="47"/>
  <c r="F68" i="63" s="1"/>
  <c r="A68" i="63"/>
  <c r="AU74" i="47"/>
  <c r="AT74" i="47" s="1"/>
  <c r="AN74" i="47"/>
  <c r="AO15" i="47"/>
  <c r="A137" i="63"/>
  <c r="T15" i="47"/>
  <c r="F137" i="63" s="1"/>
  <c r="B22" i="61"/>
  <c r="S15" i="47"/>
  <c r="E137" i="63" s="1"/>
  <c r="Q15" i="47"/>
  <c r="B25" i="61"/>
  <c r="L16" i="47"/>
  <c r="K16" i="47"/>
  <c r="M16" i="47"/>
  <c r="J16" i="47"/>
  <c r="N16" i="47"/>
  <c r="F10" i="63" s="1"/>
  <c r="AN16" i="47"/>
  <c r="AU16" i="47"/>
  <c r="AT16" i="47" s="1"/>
  <c r="A10" i="63"/>
  <c r="A402" i="63"/>
  <c r="B60" i="61"/>
  <c r="AF24" i="47"/>
  <c r="F402" i="63" s="1"/>
  <c r="AQ24" i="47"/>
  <c r="AD24" i="47"/>
  <c r="AC24" i="47"/>
  <c r="AB24" i="47"/>
  <c r="AE24" i="47"/>
  <c r="E402" i="63" s="1"/>
  <c r="AN90" i="47"/>
  <c r="N90" i="47"/>
  <c r="F84" i="63" s="1"/>
  <c r="B321" i="61"/>
  <c r="K90" i="47"/>
  <c r="A84" i="63"/>
  <c r="AU90" i="47"/>
  <c r="AT90" i="47" s="1"/>
  <c r="M90" i="47"/>
  <c r="Q127" i="47"/>
  <c r="AO127" i="47"/>
  <c r="T127" i="47"/>
  <c r="F249" i="63" s="1"/>
  <c r="B470" i="61"/>
  <c r="S127" i="47"/>
  <c r="E249" i="63" s="1"/>
  <c r="A249" i="63"/>
  <c r="Z84" i="47"/>
  <c r="F334" i="63" s="1"/>
  <c r="Y84" i="47"/>
  <c r="E334" i="63" s="1"/>
  <c r="B299" i="61"/>
  <c r="AP84" i="47"/>
  <c r="A334" i="63"/>
  <c r="W84" i="47"/>
  <c r="B291" i="61"/>
  <c r="Z82" i="47"/>
  <c r="F332" i="63" s="1"/>
  <c r="AP82" i="47"/>
  <c r="W82" i="47"/>
  <c r="Y82" i="47"/>
  <c r="E332" i="63" s="1"/>
  <c r="A332" i="63"/>
  <c r="A177" i="63"/>
  <c r="Q55" i="47"/>
  <c r="B182" i="61"/>
  <c r="T55" i="47"/>
  <c r="F177" i="63" s="1"/>
  <c r="AO55" i="47"/>
  <c r="S55" i="47"/>
  <c r="E177" i="63" s="1"/>
  <c r="AC114" i="47"/>
  <c r="AF114" i="47"/>
  <c r="F492" i="63" s="1"/>
  <c r="B420" i="61"/>
  <c r="AB114" i="47"/>
  <c r="AQ114" i="47"/>
  <c r="A492" i="63"/>
  <c r="AD114" i="47"/>
  <c r="AE114" i="47"/>
  <c r="E492" i="63" s="1"/>
  <c r="N107" i="47"/>
  <c r="F101" i="63" s="1"/>
  <c r="K107" i="47"/>
  <c r="A101" i="63"/>
  <c r="M107" i="47"/>
  <c r="AN107" i="47"/>
  <c r="B389" i="61"/>
  <c r="AU107" i="47"/>
  <c r="AT107" i="47" s="1"/>
  <c r="AN119" i="47"/>
  <c r="A113" i="63"/>
  <c r="AU119" i="47"/>
  <c r="AT119" i="47" s="1"/>
  <c r="B437" i="61"/>
  <c r="K119" i="47"/>
  <c r="N119" i="47"/>
  <c r="F113" i="63" s="1"/>
  <c r="M119" i="47"/>
  <c r="B452" i="61"/>
  <c r="AB122" i="47"/>
  <c r="AE122" i="47"/>
  <c r="E500" i="63" s="1"/>
  <c r="A500" i="63"/>
  <c r="AD122" i="47"/>
  <c r="AC122" i="47"/>
  <c r="AF122" i="47"/>
  <c r="F500" i="63" s="1"/>
  <c r="AQ122" i="47"/>
  <c r="B61" i="61"/>
  <c r="AU25" i="47"/>
  <c r="AT25" i="47" s="1"/>
  <c r="M25" i="47"/>
  <c r="L25" i="47"/>
  <c r="N25" i="47"/>
  <c r="F19" i="63" s="1"/>
  <c r="K25" i="47"/>
  <c r="J25" i="47"/>
  <c r="A19" i="63"/>
  <c r="AN25" i="47"/>
  <c r="B475" i="61"/>
  <c r="Y128" i="47"/>
  <c r="E378" i="63" s="1"/>
  <c r="Z128" i="47"/>
  <c r="F378" i="63" s="1"/>
  <c r="W128" i="47"/>
  <c r="AP128" i="47"/>
  <c r="A378" i="63"/>
  <c r="B294" i="61"/>
  <c r="A205" i="63"/>
  <c r="S83" i="47"/>
  <c r="E205" i="63" s="1"/>
  <c r="AO83" i="47"/>
  <c r="T83" i="47"/>
  <c r="F205" i="63" s="1"/>
  <c r="Q83" i="47"/>
  <c r="W13" i="47"/>
  <c r="B15" i="61"/>
  <c r="A263" i="63"/>
  <c r="Y13" i="47"/>
  <c r="E263" i="63" s="1"/>
  <c r="AP13" i="47"/>
  <c r="Z13" i="47"/>
  <c r="F263" i="63" s="1"/>
  <c r="AD82" i="47"/>
  <c r="AF82" i="47"/>
  <c r="F460" i="63" s="1"/>
  <c r="B292" i="61"/>
  <c r="AE82" i="47"/>
  <c r="E460" i="63" s="1"/>
  <c r="AB82" i="47"/>
  <c r="A460" i="63"/>
  <c r="AQ82" i="47"/>
  <c r="AC82" i="47"/>
  <c r="B289" i="61"/>
  <c r="A76" i="63"/>
  <c r="AN82" i="47"/>
  <c r="K82" i="47"/>
  <c r="AU82" i="47"/>
  <c r="AT82" i="47" s="1"/>
  <c r="N82" i="47"/>
  <c r="F76" i="63" s="1"/>
  <c r="M82" i="47"/>
  <c r="AN72" i="47"/>
  <c r="N72" i="47"/>
  <c r="F66" i="63" s="1"/>
  <c r="K72" i="47"/>
  <c r="AU72" i="47"/>
  <c r="AT72" i="47" s="1"/>
  <c r="B249" i="61"/>
  <c r="A66" i="63"/>
  <c r="M72" i="47"/>
  <c r="AB131" i="47"/>
  <c r="A509" i="63"/>
  <c r="B488" i="61"/>
  <c r="AE131" i="47"/>
  <c r="E509" i="63" s="1"/>
  <c r="AC131" i="47"/>
  <c r="AF131" i="47"/>
  <c r="F509" i="63" s="1"/>
  <c r="AD131" i="47"/>
  <c r="AQ131" i="47"/>
  <c r="A245" i="63"/>
  <c r="B454" i="61"/>
  <c r="S123" i="47"/>
  <c r="E245" i="63" s="1"/>
  <c r="Q123" i="47"/>
  <c r="AO123" i="47"/>
  <c r="T123" i="47"/>
  <c r="F245" i="63" s="1"/>
  <c r="N112" i="47"/>
  <c r="F106" i="63" s="1"/>
  <c r="A106" i="63"/>
  <c r="K112" i="47"/>
  <c r="B409" i="61"/>
  <c r="M112" i="47"/>
  <c r="AU112" i="47"/>
  <c r="AT112" i="47" s="1"/>
  <c r="AN112" i="47"/>
  <c r="A276" i="63"/>
  <c r="B67" i="61"/>
  <c r="W26" i="47"/>
  <c r="Y26" i="47"/>
  <c r="E276" i="63" s="1"/>
  <c r="AP26" i="47"/>
  <c r="Z26" i="47"/>
  <c r="F276" i="63" s="1"/>
  <c r="W119" i="47"/>
  <c r="A369" i="63"/>
  <c r="B439" i="61"/>
  <c r="Y119" i="47"/>
  <c r="E369" i="63" s="1"/>
  <c r="AP119" i="47"/>
  <c r="Z119" i="47"/>
  <c r="F369" i="63" s="1"/>
  <c r="B315" i="61"/>
  <c r="Y88" i="47"/>
  <c r="E338" i="63" s="1"/>
  <c r="W88" i="47"/>
  <c r="AP88" i="47"/>
  <c r="Z88" i="47"/>
  <c r="F338" i="63" s="1"/>
  <c r="A338" i="63"/>
  <c r="T120" i="47"/>
  <c r="F242" i="63" s="1"/>
  <c r="B442" i="61"/>
  <c r="Q120" i="47"/>
  <c r="S120" i="47"/>
  <c r="E242" i="63" s="1"/>
  <c r="AO120" i="47"/>
  <c r="A242" i="63"/>
  <c r="A152" i="63"/>
  <c r="B82" i="61"/>
  <c r="Q30" i="47"/>
  <c r="AO30" i="47"/>
  <c r="S30" i="47"/>
  <c r="E152" i="63" s="1"/>
  <c r="T30" i="47"/>
  <c r="F152" i="63" s="1"/>
  <c r="AO44" i="47"/>
  <c r="T44" i="47"/>
  <c r="F166" i="63" s="1"/>
  <c r="A166" i="63"/>
  <c r="Q44" i="47"/>
  <c r="S44" i="47"/>
  <c r="E166" i="63" s="1"/>
  <c r="B138" i="61"/>
  <c r="B302" i="61"/>
  <c r="Q85" i="47"/>
  <c r="S85" i="47"/>
  <c r="E207" i="63" s="1"/>
  <c r="T85" i="47"/>
  <c r="F207" i="63" s="1"/>
  <c r="AO85" i="47"/>
  <c r="A207" i="63"/>
  <c r="B189" i="61"/>
  <c r="AN57" i="47"/>
  <c r="M57" i="47"/>
  <c r="A51" i="63"/>
  <c r="K57" i="47"/>
  <c r="N57" i="47"/>
  <c r="F51" i="63" s="1"/>
  <c r="AU57" i="47"/>
  <c r="AT57" i="47" s="1"/>
  <c r="S42" i="47"/>
  <c r="E164" i="63" s="1"/>
  <c r="AO42" i="47"/>
  <c r="T42" i="47"/>
  <c r="F164" i="63" s="1"/>
  <c r="A164" i="63"/>
  <c r="B130" i="61"/>
  <c r="Q42" i="47"/>
  <c r="A468" i="63"/>
  <c r="AB90" i="47"/>
  <c r="AQ90" i="47"/>
  <c r="AF90" i="47"/>
  <c r="F468" i="63" s="1"/>
  <c r="AD90" i="47"/>
  <c r="AE90" i="47"/>
  <c r="E468" i="63" s="1"/>
  <c r="AC90" i="47"/>
  <c r="B324" i="61"/>
  <c r="AP18" i="47"/>
  <c r="B35" i="61"/>
  <c r="A268" i="63"/>
  <c r="W18" i="47"/>
  <c r="Z18" i="47"/>
  <c r="F268" i="63" s="1"/>
  <c r="Y18" i="47"/>
  <c r="E268" i="63" s="1"/>
  <c r="B201" i="61"/>
  <c r="AN60" i="47"/>
  <c r="N60" i="47"/>
  <c r="F54" i="63" s="1"/>
  <c r="AU60" i="47"/>
  <c r="AT60" i="47" s="1"/>
  <c r="K60" i="47"/>
  <c r="M60" i="47"/>
  <c r="A54" i="63"/>
  <c r="K122" i="47"/>
  <c r="M122" i="47"/>
  <c r="B449" i="61"/>
  <c r="AN122" i="47"/>
  <c r="AU122" i="47"/>
  <c r="AT122" i="47" s="1"/>
  <c r="A116" i="63"/>
  <c r="N122" i="47"/>
  <c r="F116" i="63" s="1"/>
  <c r="AP113" i="47"/>
  <c r="B415" i="61"/>
  <c r="Y113" i="47"/>
  <c r="E363" i="63" s="1"/>
  <c r="W113" i="47"/>
  <c r="A363" i="63"/>
  <c r="Z113" i="47"/>
  <c r="F363" i="63" s="1"/>
  <c r="B453" i="61"/>
  <c r="N123" i="47"/>
  <c r="F117" i="63" s="1"/>
  <c r="A117" i="63"/>
  <c r="M123" i="47"/>
  <c r="AN123" i="47"/>
  <c r="K123" i="47"/>
  <c r="AU123" i="47"/>
  <c r="AT123" i="47" s="1"/>
  <c r="AN84" i="47"/>
  <c r="B297" i="61"/>
  <c r="K84" i="47"/>
  <c r="AU84" i="47"/>
  <c r="AT84" i="47" s="1"/>
  <c r="A78" i="63"/>
  <c r="N84" i="47"/>
  <c r="F78" i="63" s="1"/>
  <c r="M84" i="47"/>
  <c r="Y48" i="47"/>
  <c r="E298" i="63" s="1"/>
  <c r="B155" i="61"/>
  <c r="AP48" i="47"/>
  <c r="W48" i="47"/>
  <c r="Z48" i="47"/>
  <c r="F298" i="63" s="1"/>
  <c r="A298" i="63"/>
  <c r="M127" i="47"/>
  <c r="AU127" i="47"/>
  <c r="AT127" i="47" s="1"/>
  <c r="N127" i="47"/>
  <c r="F121" i="63" s="1"/>
  <c r="A121" i="63"/>
  <c r="B469" i="61"/>
  <c r="K127" i="47"/>
  <c r="AN127" i="47"/>
  <c r="B260" i="61"/>
  <c r="AF74" i="47"/>
  <c r="F452" i="63" s="1"/>
  <c r="AB74" i="47"/>
  <c r="AC74" i="47"/>
  <c r="AQ74" i="47"/>
  <c r="AE74" i="47"/>
  <c r="E452" i="63" s="1"/>
  <c r="AD74" i="47"/>
  <c r="A452" i="63"/>
  <c r="M137" i="47"/>
  <c r="A131" i="63"/>
  <c r="AU137" i="47"/>
  <c r="AT137" i="47" s="1"/>
  <c r="B509" i="61"/>
  <c r="N137" i="47"/>
  <c r="F131" i="63" s="1"/>
  <c r="AN137" i="47"/>
  <c r="K137" i="47"/>
  <c r="A389" i="63"/>
  <c r="AB11" i="47"/>
  <c r="AE11" i="47"/>
  <c r="E389" i="63" s="1"/>
  <c r="AC11" i="47"/>
  <c r="AQ11" i="47"/>
  <c r="B8" i="61"/>
  <c r="AF11" i="47"/>
  <c r="F389" i="63" s="1"/>
  <c r="AD11" i="47"/>
  <c r="Q65" i="47"/>
  <c r="B222" i="61"/>
  <c r="T65" i="47"/>
  <c r="F187" i="63" s="1"/>
  <c r="AO65" i="47"/>
  <c r="A187" i="63"/>
  <c r="S65" i="47"/>
  <c r="E187" i="63" s="1"/>
  <c r="B286" i="61"/>
  <c r="AO81" i="47"/>
  <c r="T81" i="47"/>
  <c r="F203" i="63" s="1"/>
  <c r="S81" i="47"/>
  <c r="E203" i="63" s="1"/>
  <c r="A203" i="63"/>
  <c r="Q81" i="47"/>
  <c r="A501" i="63"/>
  <c r="AQ123" i="47"/>
  <c r="AE123" i="47"/>
  <c r="E501" i="63" s="1"/>
  <c r="B456" i="61"/>
  <c r="AC123" i="47"/>
  <c r="AB123" i="47"/>
  <c r="AF123" i="47"/>
  <c r="F501" i="63" s="1"/>
  <c r="AD123" i="47"/>
  <c r="AD133" i="47"/>
  <c r="AF133" i="47"/>
  <c r="F511" i="63" s="1"/>
  <c r="AC133" i="47"/>
  <c r="AB133" i="47"/>
  <c r="AQ133" i="47"/>
  <c r="B496" i="61"/>
  <c r="A511" i="63"/>
  <c r="AE133" i="47"/>
  <c r="E511" i="63" s="1"/>
  <c r="Z97" i="47"/>
  <c r="F347" i="63" s="1"/>
  <c r="A347" i="63"/>
  <c r="B351" i="61"/>
  <c r="Y97" i="47"/>
  <c r="E347" i="63" s="1"/>
  <c r="W97" i="47"/>
  <c r="AP97" i="47"/>
  <c r="B318" i="61"/>
  <c r="S89" i="47"/>
  <c r="E211" i="63" s="1"/>
  <c r="Q89" i="47"/>
  <c r="T89" i="47"/>
  <c r="F211" i="63" s="1"/>
  <c r="AO89" i="47"/>
  <c r="A211" i="63"/>
  <c r="AC62" i="47"/>
  <c r="B212" i="61"/>
  <c r="AF62" i="47"/>
  <c r="F440" i="63" s="1"/>
  <c r="AD62" i="47"/>
  <c r="AB62" i="47"/>
  <c r="AE62" i="47"/>
  <c r="E440" i="63" s="1"/>
  <c r="A440" i="63"/>
  <c r="AQ62" i="47"/>
  <c r="AB105" i="47"/>
  <c r="B384" i="61"/>
  <c r="AQ105" i="47"/>
  <c r="AF105" i="47"/>
  <c r="F483" i="63" s="1"/>
  <c r="AD105" i="47"/>
  <c r="A483" i="63"/>
  <c r="AE105" i="47"/>
  <c r="E483" i="63" s="1"/>
  <c r="AC105" i="47"/>
  <c r="A168" i="63"/>
  <c r="B146" i="61"/>
  <c r="AO46" i="47"/>
  <c r="Q46" i="47"/>
  <c r="T46" i="47"/>
  <c r="F168" i="63" s="1"/>
  <c r="S46" i="47"/>
  <c r="E168" i="63" s="1"/>
  <c r="A114" i="63"/>
  <c r="K120" i="47"/>
  <c r="B441" i="61"/>
  <c r="AN120" i="47"/>
  <c r="N120" i="47"/>
  <c r="F114" i="63" s="1"/>
  <c r="M120" i="47"/>
  <c r="AU120" i="47"/>
  <c r="AT120" i="47" s="1"/>
  <c r="A320" i="63"/>
  <c r="W70" i="47"/>
  <c r="Y70" i="47"/>
  <c r="E320" i="63" s="1"/>
  <c r="AP70" i="47"/>
  <c r="B243" i="61"/>
  <c r="Z70" i="47"/>
  <c r="F320" i="63" s="1"/>
  <c r="B131" i="61"/>
  <c r="W42" i="47"/>
  <c r="AP42" i="47"/>
  <c r="A292" i="63"/>
  <c r="Z42" i="47"/>
  <c r="F292" i="63" s="1"/>
  <c r="Y42" i="47"/>
  <c r="E292" i="63" s="1"/>
  <c r="B330" i="61"/>
  <c r="AO92" i="47"/>
  <c r="A214" i="63"/>
  <c r="T92" i="47"/>
  <c r="F214" i="63" s="1"/>
  <c r="Q92" i="47"/>
  <c r="S92" i="47"/>
  <c r="E214" i="63" s="1"/>
  <c r="B72" i="61"/>
  <c r="AE27" i="47"/>
  <c r="E405" i="63" s="1"/>
  <c r="AQ27" i="47"/>
  <c r="AD27" i="47"/>
  <c r="AB27" i="47"/>
  <c r="AC27" i="47"/>
  <c r="A405" i="63"/>
  <c r="AF27" i="47"/>
  <c r="F405" i="63" s="1"/>
  <c r="B240" i="61"/>
  <c r="AE69" i="47"/>
  <c r="E447" i="63" s="1"/>
  <c r="AQ69" i="47"/>
  <c r="AB69" i="47"/>
  <c r="AF69" i="47"/>
  <c r="F447" i="63" s="1"/>
  <c r="AC69" i="47"/>
  <c r="A447" i="63"/>
  <c r="AD69" i="47"/>
  <c r="T99" i="47"/>
  <c r="F221" i="63" s="1"/>
  <c r="B358" i="61"/>
  <c r="Q99" i="47"/>
  <c r="A221" i="63"/>
  <c r="S99" i="47"/>
  <c r="E221" i="63" s="1"/>
  <c r="AO99" i="47"/>
  <c r="B227" i="61"/>
  <c r="Z66" i="47"/>
  <c r="F316" i="63" s="1"/>
  <c r="AP66" i="47"/>
  <c r="A316" i="63"/>
  <c r="Y66" i="47"/>
  <c r="E316" i="63" s="1"/>
  <c r="W66" i="47"/>
  <c r="B365" i="61"/>
  <c r="AN101" i="47"/>
  <c r="AU101" i="47"/>
  <c r="AT101" i="47" s="1"/>
  <c r="A95" i="63"/>
  <c r="N101" i="47"/>
  <c r="F95" i="63" s="1"/>
  <c r="K101" i="47"/>
  <c r="M101" i="47"/>
  <c r="AD97" i="47"/>
  <c r="A475" i="63"/>
  <c r="AC97" i="47"/>
  <c r="AQ97" i="47"/>
  <c r="AE97" i="47"/>
  <c r="E475" i="63" s="1"/>
  <c r="AB97" i="47"/>
  <c r="AF97" i="47"/>
  <c r="F475" i="63" s="1"/>
  <c r="B352" i="61"/>
  <c r="Z25" i="47"/>
  <c r="F275" i="63" s="1"/>
  <c r="A275" i="63"/>
  <c r="Y25" i="47"/>
  <c r="E275" i="63" s="1"/>
  <c r="W25" i="47"/>
  <c r="AP25" i="47"/>
  <c r="B63" i="61"/>
  <c r="W54" i="47"/>
  <c r="Z54" i="47"/>
  <c r="F304" i="63" s="1"/>
  <c r="AP54" i="47"/>
  <c r="Y54" i="47"/>
  <c r="E304" i="63" s="1"/>
  <c r="A304" i="63"/>
  <c r="B179" i="61"/>
  <c r="A212" i="63"/>
  <c r="S90" i="47"/>
  <c r="E212" i="63" s="1"/>
  <c r="B322" i="61"/>
  <c r="Q90" i="47"/>
  <c r="AO90" i="47"/>
  <c r="T90" i="47"/>
  <c r="F212" i="63" s="1"/>
  <c r="B237" i="61"/>
  <c r="AN69" i="47"/>
  <c r="M69" i="47"/>
  <c r="AU69" i="47"/>
  <c r="AT69" i="47" s="1"/>
  <c r="A63" i="63"/>
  <c r="N69" i="47"/>
  <c r="F63" i="63" s="1"/>
  <c r="K69" i="47"/>
  <c r="W59" i="47"/>
  <c r="AP59" i="47"/>
  <c r="B199" i="61"/>
  <c r="A309" i="63"/>
  <c r="Z59" i="47"/>
  <c r="F309" i="63" s="1"/>
  <c r="Y59" i="47"/>
  <c r="E309" i="63" s="1"/>
  <c r="AQ83" i="47"/>
  <c r="AB83" i="47"/>
  <c r="AF83" i="47"/>
  <c r="F461" i="63" s="1"/>
  <c r="A461" i="63"/>
  <c r="AC83" i="47"/>
  <c r="AE83" i="47"/>
  <c r="E461" i="63" s="1"/>
  <c r="B296" i="61"/>
  <c r="AD83" i="47"/>
  <c r="W58" i="47"/>
  <c r="B195" i="61"/>
  <c r="Z58" i="47"/>
  <c r="F308" i="63" s="1"/>
  <c r="Y58" i="47"/>
  <c r="E308" i="63" s="1"/>
  <c r="AP58" i="47"/>
  <c r="A308" i="63"/>
  <c r="B458" i="61"/>
  <c r="T124" i="47"/>
  <c r="F246" i="63" s="1"/>
  <c r="AO124" i="47"/>
  <c r="S124" i="47"/>
  <c r="E246" i="63" s="1"/>
  <c r="A246" i="63"/>
  <c r="Q124" i="47"/>
  <c r="B476" i="61"/>
  <c r="AB128" i="47"/>
  <c r="AC128" i="47"/>
  <c r="A506" i="63"/>
  <c r="AE128" i="47"/>
  <c r="E506" i="63" s="1"/>
  <c r="AF128" i="47"/>
  <c r="F506" i="63" s="1"/>
  <c r="AQ128" i="47"/>
  <c r="AD128" i="47"/>
  <c r="A248" i="63"/>
  <c r="B466" i="61"/>
  <c r="Q126" i="47"/>
  <c r="S126" i="47"/>
  <c r="E248" i="63" s="1"/>
  <c r="AO126" i="47"/>
  <c r="T126" i="47"/>
  <c r="F248" i="63" s="1"/>
  <c r="AD120" i="47"/>
  <c r="B444" i="61"/>
  <c r="AB120" i="47"/>
  <c r="AE120" i="47"/>
  <c r="E498" i="63" s="1"/>
  <c r="A498" i="63"/>
  <c r="AQ120" i="47"/>
  <c r="AC120" i="47"/>
  <c r="AF120" i="47"/>
  <c r="F498" i="63" s="1"/>
  <c r="A423" i="63"/>
  <c r="B144" i="61"/>
  <c r="AF45" i="47"/>
  <c r="F423" i="63" s="1"/>
  <c r="AQ45" i="47"/>
  <c r="AE45" i="47"/>
  <c r="E423" i="63" s="1"/>
  <c r="AB45" i="47"/>
  <c r="AC45" i="47"/>
  <c r="AD45" i="47"/>
  <c r="Y89" i="47"/>
  <c r="E339" i="63" s="1"/>
  <c r="W89" i="47"/>
  <c r="A339" i="63"/>
  <c r="AP89" i="47"/>
  <c r="B319" i="61"/>
  <c r="Z89" i="47"/>
  <c r="F339" i="63" s="1"/>
  <c r="A7" i="63"/>
  <c r="M13" i="47"/>
  <c r="AN13" i="47"/>
  <c r="J13" i="47"/>
  <c r="L13" i="47"/>
  <c r="AU13" i="47"/>
  <c r="AT13" i="47" s="1"/>
  <c r="B13" i="61"/>
  <c r="K13" i="47"/>
  <c r="N13" i="47"/>
  <c r="F7" i="63" s="1"/>
  <c r="AF71" i="47"/>
  <c r="F449" i="63" s="1"/>
  <c r="AD71" i="47"/>
  <c r="AE71" i="47"/>
  <c r="E449" i="63" s="1"/>
  <c r="B248" i="61"/>
  <c r="AB71" i="47"/>
  <c r="A449" i="63"/>
  <c r="AC71" i="47"/>
  <c r="AQ71" i="47"/>
  <c r="Z103" i="47"/>
  <c r="F353" i="63" s="1"/>
  <c r="B375" i="61"/>
  <c r="W103" i="47"/>
  <c r="A353" i="63"/>
  <c r="AP103" i="47"/>
  <c r="Y103" i="47"/>
  <c r="E353" i="63" s="1"/>
  <c r="AU96" i="47"/>
  <c r="AT96" i="47" s="1"/>
  <c r="A90" i="63"/>
  <c r="B345" i="61"/>
  <c r="AN96" i="47"/>
  <c r="N96" i="47"/>
  <c r="F90" i="63" s="1"/>
  <c r="M96" i="47"/>
  <c r="K96" i="47"/>
  <c r="AO136" i="47"/>
  <c r="Q136" i="47"/>
  <c r="B506" i="61"/>
  <c r="S136" i="47"/>
  <c r="E258" i="63" s="1"/>
  <c r="T136" i="47"/>
  <c r="F258" i="63" s="1"/>
  <c r="A258" i="63"/>
  <c r="A377" i="63"/>
  <c r="B471" i="61"/>
  <c r="Y127" i="47"/>
  <c r="E377" i="63" s="1"/>
  <c r="AP127" i="47"/>
  <c r="Z127" i="47"/>
  <c r="F377" i="63" s="1"/>
  <c r="W127" i="47"/>
  <c r="B19" i="61"/>
  <c r="Y14" i="47"/>
  <c r="E264" i="63" s="1"/>
  <c r="AP14" i="47"/>
  <c r="Z14" i="47"/>
  <c r="F264" i="63" s="1"/>
  <c r="W14" i="47"/>
  <c r="A264" i="63"/>
  <c r="AB40" i="47"/>
  <c r="AD40" i="47"/>
  <c r="A418" i="63"/>
  <c r="AQ40" i="47"/>
  <c r="AC40" i="47"/>
  <c r="AF40" i="47"/>
  <c r="F418" i="63" s="1"/>
  <c r="B124" i="61"/>
  <c r="AE40" i="47"/>
  <c r="E418" i="63" s="1"/>
  <c r="AC137" i="47"/>
  <c r="B512" i="61"/>
  <c r="AF137" i="47"/>
  <c r="F515" i="63" s="1"/>
  <c r="AD137" i="47"/>
  <c r="AB137" i="47"/>
  <c r="AE137" i="47"/>
  <c r="E515" i="63" s="1"/>
  <c r="AQ137" i="47"/>
  <c r="A515" i="63"/>
  <c r="AQ76" i="47"/>
  <c r="B268" i="61"/>
  <c r="AE76" i="47"/>
  <c r="E454" i="63" s="1"/>
  <c r="A454" i="63"/>
  <c r="AD76" i="47"/>
  <c r="AF76" i="47"/>
  <c r="F454" i="63" s="1"/>
  <c r="AC76" i="47"/>
  <c r="AB76" i="47"/>
  <c r="N75" i="47"/>
  <c r="F69" i="63" s="1"/>
  <c r="AN75" i="47"/>
  <c r="AU75" i="47"/>
  <c r="AT75" i="47" s="1"/>
  <c r="B261" i="61"/>
  <c r="A69" i="63"/>
  <c r="K75" i="47"/>
  <c r="M75" i="47"/>
  <c r="AD91" i="47"/>
  <c r="AC91" i="47"/>
  <c r="AQ91" i="47"/>
  <c r="B328" i="61"/>
  <c r="AF91" i="47"/>
  <c r="F469" i="63" s="1"/>
  <c r="AB91" i="47"/>
  <c r="A469" i="63"/>
  <c r="AE91" i="47"/>
  <c r="E469" i="63" s="1"/>
  <c r="AB25" i="47"/>
  <c r="AF25" i="47"/>
  <c r="F403" i="63" s="1"/>
  <c r="B64" i="61"/>
  <c r="AQ25" i="47"/>
  <c r="AC25" i="47"/>
  <c r="A403" i="63"/>
  <c r="AD25" i="47"/>
  <c r="AE25" i="47"/>
  <c r="E403" i="63" s="1"/>
  <c r="AN23" i="47"/>
  <c r="M23" i="47"/>
  <c r="N23" i="47"/>
  <c r="F17" i="63" s="1"/>
  <c r="L23" i="47"/>
  <c r="AU23" i="47"/>
  <c r="AT23" i="47" s="1"/>
  <c r="B53" i="61"/>
  <c r="J23" i="47"/>
  <c r="A17" i="63"/>
  <c r="K23" i="47"/>
  <c r="AN98" i="47"/>
  <c r="A92" i="63"/>
  <c r="B353" i="61"/>
  <c r="M98" i="47"/>
  <c r="K98" i="47"/>
  <c r="N98" i="47"/>
  <c r="F92" i="63" s="1"/>
  <c r="AU98" i="47"/>
  <c r="AT98" i="47" s="1"/>
  <c r="AN36" i="47"/>
  <c r="A30" i="63"/>
  <c r="J36" i="47"/>
  <c r="L36" i="47"/>
  <c r="AU36" i="47"/>
  <c r="AT36" i="47" s="1"/>
  <c r="K36" i="47"/>
  <c r="N36" i="47"/>
  <c r="F30" i="63" s="1"/>
  <c r="B105" i="61"/>
  <c r="M36" i="47"/>
  <c r="W31" i="47"/>
  <c r="A281" i="63"/>
  <c r="Z31" i="47"/>
  <c r="F281" i="63" s="1"/>
  <c r="B87" i="61"/>
  <c r="Y31" i="47"/>
  <c r="E281" i="63" s="1"/>
  <c r="AP31" i="47"/>
  <c r="A5" i="63"/>
  <c r="M11" i="47"/>
  <c r="L11" i="47"/>
  <c r="AU11" i="47"/>
  <c r="N11" i="47"/>
  <c r="F5" i="63" s="1"/>
  <c r="K11" i="47"/>
  <c r="J11" i="47"/>
  <c r="AN11" i="47"/>
  <c r="B5" i="61"/>
  <c r="Z27" i="47"/>
  <c r="F277" i="63" s="1"/>
  <c r="B71" i="61"/>
  <c r="W27" i="47"/>
  <c r="AP27" i="47"/>
  <c r="A277" i="63"/>
  <c r="Y27" i="47"/>
  <c r="E277" i="63" s="1"/>
  <c r="B431" i="61"/>
  <c r="W117" i="47"/>
  <c r="A367" i="63"/>
  <c r="Z117" i="47"/>
  <c r="F367" i="63" s="1"/>
  <c r="AP117" i="47"/>
  <c r="Y117" i="47"/>
  <c r="E367" i="63" s="1"/>
  <c r="AF59" i="47"/>
  <c r="F437" i="63" s="1"/>
  <c r="A437" i="63"/>
  <c r="B200" i="61"/>
  <c r="AE59" i="47"/>
  <c r="E437" i="63" s="1"/>
  <c r="AC59" i="47"/>
  <c r="AQ59" i="47"/>
  <c r="AD59" i="47"/>
  <c r="AB59" i="47"/>
  <c r="T56" i="47"/>
  <c r="F178" i="63" s="1"/>
  <c r="A178" i="63"/>
  <c r="AO56" i="47"/>
  <c r="S56" i="47"/>
  <c r="E178" i="63" s="1"/>
  <c r="B186" i="61"/>
  <c r="Q56" i="47"/>
  <c r="S110" i="47"/>
  <c r="E232" i="63" s="1"/>
  <c r="B402" i="61"/>
  <c r="Q110" i="47"/>
  <c r="A232" i="63"/>
  <c r="AO110" i="47"/>
  <c r="T110" i="47"/>
  <c r="F232" i="63" s="1"/>
  <c r="M78" i="47"/>
  <c r="AU78" i="47"/>
  <c r="AT78" i="47" s="1"/>
  <c r="N78" i="47"/>
  <c r="F72" i="63" s="1"/>
  <c r="A72" i="63"/>
  <c r="AN78" i="47"/>
  <c r="B273" i="61"/>
  <c r="K78" i="47"/>
  <c r="W100" i="47"/>
  <c r="AP100" i="47"/>
  <c r="Z100" i="47"/>
  <c r="F350" i="63" s="1"/>
  <c r="B363" i="61"/>
  <c r="Y100" i="47"/>
  <c r="E350" i="63" s="1"/>
  <c r="A350" i="63"/>
  <c r="A319" i="63"/>
  <c r="AP69" i="47"/>
  <c r="Z69" i="47"/>
  <c r="F319" i="63" s="1"/>
  <c r="Y69" i="47"/>
  <c r="E319" i="63" s="1"/>
  <c r="B239" i="61"/>
  <c r="W69" i="47"/>
  <c r="B333" i="61"/>
  <c r="AN93" i="47"/>
  <c r="M93" i="47"/>
  <c r="AU93" i="47"/>
  <c r="AT93" i="47" s="1"/>
  <c r="K93" i="47"/>
  <c r="A87" i="63"/>
  <c r="N93" i="47"/>
  <c r="F87" i="63" s="1"/>
  <c r="AO87" i="47"/>
  <c r="B310" i="61"/>
  <c r="S87" i="47"/>
  <c r="E209" i="63" s="1"/>
  <c r="T87" i="47"/>
  <c r="F209" i="63" s="1"/>
  <c r="Q87" i="47"/>
  <c r="A209" i="63"/>
  <c r="B162" i="61"/>
  <c r="S50" i="47"/>
  <c r="E172" i="63" s="1"/>
  <c r="A172" i="63"/>
  <c r="AO50" i="47"/>
  <c r="T50" i="47"/>
  <c r="F172" i="63" s="1"/>
  <c r="Q50" i="47"/>
  <c r="Q61" i="47"/>
  <c r="AO61" i="47"/>
  <c r="B206" i="61"/>
  <c r="A183" i="63"/>
  <c r="S61" i="47"/>
  <c r="E183" i="63" s="1"/>
  <c r="T61" i="47"/>
  <c r="F183" i="63" s="1"/>
  <c r="AN115" i="47"/>
  <c r="K115" i="47"/>
  <c r="A109" i="63"/>
  <c r="M115" i="47"/>
  <c r="AU115" i="47"/>
  <c r="AT115" i="47" s="1"/>
  <c r="B421" i="61"/>
  <c r="N115" i="47"/>
  <c r="F109" i="63" s="1"/>
  <c r="W129" i="47"/>
  <c r="A379" i="63"/>
  <c r="AP129" i="47"/>
  <c r="B479" i="61"/>
  <c r="Y129" i="47"/>
  <c r="E379" i="63" s="1"/>
  <c r="Z129" i="47"/>
  <c r="F379" i="63" s="1"/>
  <c r="A349" i="63"/>
  <c r="Y99" i="47"/>
  <c r="E349" i="63" s="1"/>
  <c r="B359" i="61"/>
  <c r="Z99" i="47"/>
  <c r="F349" i="63" s="1"/>
  <c r="AP99" i="47"/>
  <c r="W99" i="47"/>
  <c r="AD80" i="47"/>
  <c r="B284" i="61"/>
  <c r="AC80" i="47"/>
  <c r="AQ80" i="47"/>
  <c r="AE80" i="47"/>
  <c r="E458" i="63" s="1"/>
  <c r="AF80" i="47"/>
  <c r="F458" i="63" s="1"/>
  <c r="A458" i="63"/>
  <c r="AB80" i="47"/>
  <c r="A186" i="63"/>
  <c r="B218" i="61"/>
  <c r="S64" i="47"/>
  <c r="E186" i="63" s="1"/>
  <c r="Q64" i="47"/>
  <c r="AO64" i="47"/>
  <c r="T64" i="47"/>
  <c r="F186" i="63" s="1"/>
  <c r="M65" i="47"/>
  <c r="K65" i="47"/>
  <c r="AU65" i="47"/>
  <c r="AT65" i="47" s="1"/>
  <c r="AN65" i="47"/>
  <c r="A59" i="63"/>
  <c r="B221" i="61"/>
  <c r="N65" i="47"/>
  <c r="F59" i="63" s="1"/>
  <c r="B180" i="61"/>
  <c r="AD54" i="47"/>
  <c r="AB54" i="47"/>
  <c r="AE54" i="47"/>
  <c r="E432" i="63" s="1"/>
  <c r="AC54" i="47"/>
  <c r="AF54" i="47"/>
  <c r="F432" i="63" s="1"/>
  <c r="A432" i="63"/>
  <c r="AQ54" i="47"/>
  <c r="M83" i="47"/>
  <c r="K83" i="47"/>
  <c r="A77" i="63"/>
  <c r="B293" i="61"/>
  <c r="AU83" i="47"/>
  <c r="AT83" i="47" s="1"/>
  <c r="N83" i="47"/>
  <c r="F77" i="63" s="1"/>
  <c r="AN83" i="47"/>
  <c r="AQ17" i="47"/>
  <c r="AC17" i="47"/>
  <c r="AB17" i="47"/>
  <c r="B32" i="61"/>
  <c r="AE17" i="47"/>
  <c r="E395" i="63" s="1"/>
  <c r="AF17" i="47"/>
  <c r="F395" i="63" s="1"/>
  <c r="AD17" i="47"/>
  <c r="A395" i="63"/>
  <c r="B136" i="61"/>
  <c r="AC43" i="47"/>
  <c r="AF43" i="47"/>
  <c r="F421" i="63" s="1"/>
  <c r="A421" i="63"/>
  <c r="AE43" i="47"/>
  <c r="E421" i="63" s="1"/>
  <c r="AD43" i="47"/>
  <c r="AQ43" i="47"/>
  <c r="AB43" i="47"/>
  <c r="AF110" i="47"/>
  <c r="F488" i="63" s="1"/>
  <c r="A488" i="63"/>
  <c r="AB110" i="47"/>
  <c r="AE110" i="47"/>
  <c r="E488" i="63" s="1"/>
  <c r="B404" i="61"/>
  <c r="AQ110" i="47"/>
  <c r="AC110" i="47"/>
  <c r="AD110" i="47"/>
  <c r="B283" i="61"/>
  <c r="Z80" i="47"/>
  <c r="F330" i="63" s="1"/>
  <c r="A330" i="63"/>
  <c r="Y80" i="47"/>
  <c r="E330" i="63" s="1"/>
  <c r="AP80" i="47"/>
  <c r="W80" i="47"/>
  <c r="Q11" i="47"/>
  <c r="A133" i="63"/>
  <c r="S11" i="47"/>
  <c r="E133" i="63" s="1"/>
  <c r="AO11" i="47"/>
  <c r="T11" i="47"/>
  <c r="F133" i="63" s="1"/>
  <c r="B6" i="61"/>
  <c r="AB99" i="47"/>
  <c r="AF99" i="47"/>
  <c r="F477" i="63" s="1"/>
  <c r="AE99" i="47"/>
  <c r="E477" i="63" s="1"/>
  <c r="AQ99" i="47"/>
  <c r="B360" i="61"/>
  <c r="AD99" i="47"/>
  <c r="AC99" i="47"/>
  <c r="A477" i="63"/>
  <c r="AP62" i="47"/>
  <c r="Z62" i="47"/>
  <c r="F312" i="63" s="1"/>
  <c r="Y62" i="47"/>
  <c r="E312" i="63" s="1"/>
  <c r="W62" i="47"/>
  <c r="B211" i="61"/>
  <c r="A312" i="63"/>
  <c r="M113" i="47"/>
  <c r="AU113" i="47"/>
  <c r="AT113" i="47" s="1"/>
  <c r="B413" i="61"/>
  <c r="AN113" i="47"/>
  <c r="AR113" i="47" s="1"/>
  <c r="N113" i="47"/>
  <c r="F107" i="63" s="1"/>
  <c r="K113" i="47"/>
  <c r="A107" i="63"/>
  <c r="AU92" i="47"/>
  <c r="AT92" i="47" s="1"/>
  <c r="AN92" i="47"/>
  <c r="N92" i="47"/>
  <c r="F86" i="63" s="1"/>
  <c r="K92" i="47"/>
  <c r="A86" i="63"/>
  <c r="B329" i="61"/>
  <c r="M92" i="47"/>
  <c r="AC48" i="47"/>
  <c r="AQ48" i="47"/>
  <c r="AB48" i="47"/>
  <c r="AD48" i="47"/>
  <c r="AE48" i="47"/>
  <c r="E426" i="63" s="1"/>
  <c r="A426" i="63"/>
  <c r="B156" i="61"/>
  <c r="AF48" i="47"/>
  <c r="F426" i="63" s="1"/>
  <c r="L17" i="47"/>
  <c r="AU17" i="47"/>
  <c r="AT17" i="47" s="1"/>
  <c r="K17" i="47"/>
  <c r="N17" i="47"/>
  <c r="F11" i="63" s="1"/>
  <c r="M17" i="47"/>
  <c r="AN17" i="47"/>
  <c r="J17" i="47"/>
  <c r="A11" i="63"/>
  <c r="B29" i="61"/>
  <c r="Z111" i="47"/>
  <c r="F361" i="63" s="1"/>
  <c r="AP111" i="47"/>
  <c r="Y111" i="47"/>
  <c r="E361" i="63" s="1"/>
  <c r="B407" i="61"/>
  <c r="A361" i="63"/>
  <c r="W111" i="47"/>
  <c r="K105" i="47"/>
  <c r="AU105" i="47"/>
  <c r="AT105" i="47" s="1"/>
  <c r="N105" i="47"/>
  <c r="F99" i="63" s="1"/>
  <c r="AN105" i="47"/>
  <c r="B381" i="61"/>
  <c r="A99" i="63"/>
  <c r="M105" i="47"/>
  <c r="AC129" i="47"/>
  <c r="AE129" i="47"/>
  <c r="E507" i="63" s="1"/>
  <c r="AD129" i="47"/>
  <c r="B480" i="61"/>
  <c r="AQ129" i="47"/>
  <c r="AB129" i="47"/>
  <c r="AF129" i="47"/>
  <c r="F507" i="63" s="1"/>
  <c r="A507" i="63"/>
  <c r="A199" i="63"/>
  <c r="T77" i="47"/>
  <c r="F199" i="63" s="1"/>
  <c r="B270" i="61"/>
  <c r="Q77" i="47"/>
  <c r="S77" i="47"/>
  <c r="E199" i="63" s="1"/>
  <c r="AO77" i="47"/>
  <c r="Y87" i="47"/>
  <c r="E337" i="63" s="1"/>
  <c r="AP87" i="47"/>
  <c r="Z87" i="47"/>
  <c r="F337" i="63" s="1"/>
  <c r="A337" i="63"/>
  <c r="B311" i="61"/>
  <c r="W87" i="47"/>
  <c r="A450" i="63"/>
  <c r="AC72" i="47"/>
  <c r="AD72" i="47"/>
  <c r="AB72" i="47"/>
  <c r="AF72" i="47"/>
  <c r="F450" i="63" s="1"/>
  <c r="AE72" i="47"/>
  <c r="E450" i="63" s="1"/>
  <c r="B252" i="61"/>
  <c r="AQ72" i="47"/>
  <c r="A352" i="63"/>
  <c r="Y102" i="47"/>
  <c r="E352" i="63" s="1"/>
  <c r="B371" i="61"/>
  <c r="W102" i="47"/>
  <c r="AP102" i="47"/>
  <c r="Z102" i="47"/>
  <c r="F352" i="63" s="1"/>
  <c r="B301" i="61"/>
  <c r="AU85" i="47"/>
  <c r="AT85" i="47" s="1"/>
  <c r="AN85" i="47"/>
  <c r="K85" i="47"/>
  <c r="A79" i="63"/>
  <c r="M85" i="47"/>
  <c r="N85" i="47"/>
  <c r="F79" i="63" s="1"/>
  <c r="B344" i="61"/>
  <c r="AC95" i="47"/>
  <c r="AB95" i="47"/>
  <c r="AF95" i="47"/>
  <c r="F473" i="63" s="1"/>
  <c r="AD95" i="47"/>
  <c r="AE95" i="47"/>
  <c r="E473" i="63" s="1"/>
  <c r="A473" i="63"/>
  <c r="AQ95" i="47"/>
  <c r="B269" i="61"/>
  <c r="A71" i="63"/>
  <c r="K77" i="47"/>
  <c r="AN77" i="47"/>
  <c r="AU77" i="47"/>
  <c r="AT77" i="47" s="1"/>
  <c r="M77" i="47"/>
  <c r="N77" i="47"/>
  <c r="F71" i="63" s="1"/>
  <c r="L22" i="47"/>
  <c r="AN22" i="47"/>
  <c r="A16" i="63"/>
  <c r="N22" i="47"/>
  <c r="F16" i="63" s="1"/>
  <c r="M22" i="47"/>
  <c r="AU22" i="47"/>
  <c r="AT22" i="47" s="1"/>
  <c r="B49" i="61"/>
  <c r="K22" i="47"/>
  <c r="J22" i="47"/>
  <c r="AE118" i="47"/>
  <c r="E496" i="63" s="1"/>
  <c r="AB118" i="47"/>
  <c r="AF118" i="47"/>
  <c r="F496" i="63" s="1"/>
  <c r="AC118" i="47"/>
  <c r="AQ118" i="47"/>
  <c r="AD118" i="47"/>
  <c r="A496" i="63"/>
  <c r="B436" i="61"/>
  <c r="B427" i="61"/>
  <c r="W116" i="47"/>
  <c r="Z116" i="47"/>
  <c r="F366" i="63" s="1"/>
  <c r="A366" i="63"/>
  <c r="Y116" i="47"/>
  <c r="E366" i="63" s="1"/>
  <c r="AP116" i="47"/>
  <c r="AE22" i="47"/>
  <c r="E400" i="63" s="1"/>
  <c r="A400" i="63"/>
  <c r="AC22" i="47"/>
  <c r="AD22" i="47"/>
  <c r="B52" i="61"/>
  <c r="AB22" i="47"/>
  <c r="AF22" i="47"/>
  <c r="F400" i="63" s="1"/>
  <c r="AQ22" i="47"/>
  <c r="AO60" i="47"/>
  <c r="Q60" i="47"/>
  <c r="A182" i="63"/>
  <c r="B202" i="61"/>
  <c r="S60" i="47"/>
  <c r="E182" i="63" s="1"/>
  <c r="T60" i="47"/>
  <c r="F182" i="63" s="1"/>
  <c r="AO36" i="47"/>
  <c r="B106" i="61"/>
  <c r="Q36" i="47"/>
  <c r="A158" i="63"/>
  <c r="T36" i="47"/>
  <c r="F158" i="63" s="1"/>
  <c r="S36" i="47"/>
  <c r="E158" i="63" s="1"/>
  <c r="AB121" i="47"/>
  <c r="AQ121" i="47"/>
  <c r="AC121" i="47"/>
  <c r="AF121" i="47"/>
  <c r="F499" i="63" s="1"/>
  <c r="B448" i="61"/>
  <c r="AE121" i="47"/>
  <c r="E499" i="63" s="1"/>
  <c r="A499" i="63"/>
  <c r="AD121" i="47"/>
  <c r="K135" i="47"/>
  <c r="AU135" i="47"/>
  <c r="AT135" i="47" s="1"/>
  <c r="N135" i="47"/>
  <c r="F129" i="63" s="1"/>
  <c r="M135" i="47"/>
  <c r="A129" i="63"/>
  <c r="AN135" i="47"/>
  <c r="B501" i="61"/>
  <c r="AN19" i="47"/>
  <c r="M19" i="47"/>
  <c r="J19" i="47"/>
  <c r="L19" i="47"/>
  <c r="A13" i="63"/>
  <c r="K19" i="47"/>
  <c r="AU19" i="47"/>
  <c r="AT19" i="47" s="1"/>
  <c r="N19" i="47"/>
  <c r="F13" i="63" s="1"/>
  <c r="B37" i="61"/>
  <c r="AE38" i="47"/>
  <c r="E416" i="63" s="1"/>
  <c r="AD38" i="47"/>
  <c r="AF38" i="47"/>
  <c r="F416" i="63" s="1"/>
  <c r="A416" i="63"/>
  <c r="B116" i="61"/>
  <c r="AB38" i="47"/>
  <c r="AC38" i="47"/>
  <c r="AQ38" i="47"/>
  <c r="A305" i="63"/>
  <c r="AP55" i="47"/>
  <c r="Z55" i="47"/>
  <c r="F305" i="63" s="1"/>
  <c r="Y55" i="47"/>
  <c r="E305" i="63" s="1"/>
  <c r="W55" i="47"/>
  <c r="B183" i="61"/>
  <c r="AP19" i="47"/>
  <c r="Z19" i="47"/>
  <c r="F269" i="63" s="1"/>
  <c r="B39" i="61"/>
  <c r="Y19" i="47"/>
  <c r="E269" i="63" s="1"/>
  <c r="A269" i="63"/>
  <c r="W19" i="47"/>
  <c r="B12" i="61"/>
  <c r="AE12" i="47"/>
  <c r="E390" i="63" s="1"/>
  <c r="AC12" i="47"/>
  <c r="A390" i="63"/>
  <c r="AB12" i="47"/>
  <c r="AF12" i="47"/>
  <c r="F390" i="63" s="1"/>
  <c r="AD12" i="47"/>
  <c r="AQ12" i="47"/>
  <c r="AE21" i="47"/>
  <c r="E399" i="63" s="1"/>
  <c r="B48" i="61"/>
  <c r="A399" i="63"/>
  <c r="AF21" i="47"/>
  <c r="F399" i="63" s="1"/>
  <c r="AC21" i="47"/>
  <c r="AD21" i="47"/>
  <c r="AB21" i="47"/>
  <c r="AQ21" i="47"/>
  <c r="A180" i="63"/>
  <c r="Q58" i="47"/>
  <c r="B194" i="61"/>
  <c r="S58" i="47"/>
  <c r="E180" i="63" s="1"/>
  <c r="AO58" i="47"/>
  <c r="T58" i="47"/>
  <c r="F180" i="63" s="1"/>
  <c r="A321" i="63"/>
  <c r="B247" i="61"/>
  <c r="Z71" i="47"/>
  <c r="F321" i="63" s="1"/>
  <c r="W71" i="47"/>
  <c r="AP71" i="47"/>
  <c r="Y71" i="47"/>
  <c r="E321" i="63" s="1"/>
  <c r="N43" i="47"/>
  <c r="F37" i="63" s="1"/>
  <c r="B133" i="61"/>
  <c r="A37" i="63"/>
  <c r="AN43" i="47"/>
  <c r="K43" i="47"/>
  <c r="L43" i="47"/>
  <c r="J43" i="47"/>
  <c r="AU43" i="47"/>
  <c r="AT43" i="47" s="1"/>
  <c r="M43" i="47"/>
  <c r="B430" i="61"/>
  <c r="T117" i="47"/>
  <c r="F239" i="63" s="1"/>
  <c r="S117" i="47"/>
  <c r="E239" i="63" s="1"/>
  <c r="AO117" i="47"/>
  <c r="Q117" i="47"/>
  <c r="A239" i="63"/>
  <c r="AE125" i="47"/>
  <c r="E503" i="63" s="1"/>
  <c r="AC125" i="47"/>
  <c r="AD125" i="47"/>
  <c r="AF125" i="47"/>
  <c r="F503" i="63" s="1"/>
  <c r="A503" i="63"/>
  <c r="AQ125" i="47"/>
  <c r="AB125" i="47"/>
  <c r="B464" i="61"/>
  <c r="Y114" i="47"/>
  <c r="E364" i="63" s="1"/>
  <c r="Z114" i="47"/>
  <c r="F364" i="63" s="1"/>
  <c r="AP114" i="47"/>
  <c r="W114" i="47"/>
  <c r="A364" i="63"/>
  <c r="B419" i="61"/>
  <c r="T22" i="47"/>
  <c r="F144" i="63" s="1"/>
  <c r="B50" i="61"/>
  <c r="AO22" i="47"/>
  <c r="S22" i="47"/>
  <c r="E144" i="63" s="1"/>
  <c r="A144" i="63"/>
  <c r="Q22" i="47"/>
  <c r="B369" i="61"/>
  <c r="N102" i="47"/>
  <c r="F96" i="63" s="1"/>
  <c r="A96" i="63"/>
  <c r="AU102" i="47"/>
  <c r="AT102" i="47" s="1"/>
  <c r="M102" i="47"/>
  <c r="K102" i="47"/>
  <c r="AN102" i="47"/>
  <c r="A296" i="63"/>
  <c r="B147" i="61"/>
  <c r="Y46" i="47"/>
  <c r="E296" i="63" s="1"/>
  <c r="W46" i="47"/>
  <c r="AP46" i="47"/>
  <c r="Z46" i="47"/>
  <c r="F296" i="63" s="1"/>
  <c r="B126" i="61"/>
  <c r="T41" i="47"/>
  <c r="F163" i="63" s="1"/>
  <c r="AO41" i="47"/>
  <c r="S41" i="47"/>
  <c r="E163" i="63" s="1"/>
  <c r="Q41" i="47"/>
  <c r="A163" i="63"/>
  <c r="Q14" i="47"/>
  <c r="B18" i="61"/>
  <c r="T14" i="47"/>
  <c r="F136" i="63" s="1"/>
  <c r="A136" i="63"/>
  <c r="S14" i="47"/>
  <c r="E136" i="63" s="1"/>
  <c r="AO14" i="47"/>
  <c r="AB56" i="47"/>
  <c r="AE56" i="47"/>
  <c r="E434" i="63" s="1"/>
  <c r="AQ56" i="47"/>
  <c r="AD56" i="47"/>
  <c r="B188" i="61"/>
  <c r="AF56" i="47"/>
  <c r="F434" i="63" s="1"/>
  <c r="A434" i="63"/>
  <c r="AC56" i="47"/>
  <c r="K66" i="47"/>
  <c r="A60" i="63"/>
  <c r="AN66" i="47"/>
  <c r="AU66" i="47"/>
  <c r="AT66" i="47" s="1"/>
  <c r="M66" i="47"/>
  <c r="N66" i="47"/>
  <c r="F60" i="63" s="1"/>
  <c r="B225" i="61"/>
  <c r="Z30" i="47"/>
  <c r="F280" i="63" s="1"/>
  <c r="B83" i="61"/>
  <c r="Y30" i="47"/>
  <c r="E280" i="63" s="1"/>
  <c r="A280" i="63"/>
  <c r="AP30" i="47"/>
  <c r="W30" i="47"/>
  <c r="B408" i="61"/>
  <c r="AE111" i="47"/>
  <c r="E489" i="63" s="1"/>
  <c r="AC111" i="47"/>
  <c r="AF111" i="47"/>
  <c r="F489" i="63" s="1"/>
  <c r="A489" i="63"/>
  <c r="AD111" i="47"/>
  <c r="AQ111" i="47"/>
  <c r="AB111" i="47"/>
  <c r="AB73" i="47"/>
  <c r="B256" i="61"/>
  <c r="AQ73" i="47"/>
  <c r="AC73" i="47"/>
  <c r="AF73" i="47"/>
  <c r="F451" i="63" s="1"/>
  <c r="AE73" i="47"/>
  <c r="E451" i="63" s="1"/>
  <c r="A451" i="63"/>
  <c r="AD73" i="47"/>
  <c r="S27" i="47"/>
  <c r="E149" i="63" s="1"/>
  <c r="T27" i="47"/>
  <c r="F149" i="63" s="1"/>
  <c r="AO27" i="47"/>
  <c r="B70" i="61"/>
  <c r="Q27" i="47"/>
  <c r="A149" i="63"/>
  <c r="T108" i="47"/>
  <c r="F230" i="63" s="1"/>
  <c r="Q108" i="47"/>
  <c r="B394" i="61"/>
  <c r="AO108" i="47"/>
  <c r="A230" i="63"/>
  <c r="S108" i="47"/>
  <c r="E230" i="63" s="1"/>
  <c r="A234" i="63"/>
  <c r="B410" i="61"/>
  <c r="Q112" i="47"/>
  <c r="S112" i="47"/>
  <c r="E234" i="63" s="1"/>
  <c r="AO112" i="47"/>
  <c r="T112" i="47"/>
  <c r="F234" i="63" s="1"/>
  <c r="A257" i="63"/>
  <c r="S135" i="47"/>
  <c r="E257" i="63" s="1"/>
  <c r="T135" i="47"/>
  <c r="F257" i="63" s="1"/>
  <c r="B502" i="61"/>
  <c r="Q135" i="47"/>
  <c r="AO135" i="47"/>
  <c r="A176" i="63"/>
  <c r="T54" i="47"/>
  <c r="F176" i="63" s="1"/>
  <c r="S54" i="47"/>
  <c r="E176" i="63" s="1"/>
  <c r="AO54" i="47"/>
  <c r="B178" i="61"/>
  <c r="Q54" i="47"/>
  <c r="AB47" i="47"/>
  <c r="AQ47" i="47"/>
  <c r="AC47" i="47"/>
  <c r="B152" i="61"/>
  <c r="A425" i="63"/>
  <c r="AD47" i="47"/>
  <c r="AE47" i="47"/>
  <c r="E425" i="63" s="1"/>
  <c r="AF47" i="47"/>
  <c r="F425" i="63" s="1"/>
  <c r="AU128" i="47"/>
  <c r="AT128" i="47" s="1"/>
  <c r="K128" i="47"/>
  <c r="A122" i="63"/>
  <c r="B473" i="61"/>
  <c r="N128" i="47"/>
  <c r="F122" i="63" s="1"/>
  <c r="AN128" i="47"/>
  <c r="M128" i="47"/>
  <c r="B386" i="61"/>
  <c r="Q106" i="47"/>
  <c r="A228" i="63"/>
  <c r="S106" i="47"/>
  <c r="E228" i="63" s="1"/>
  <c r="AO106" i="47"/>
  <c r="T106" i="47"/>
  <c r="F228" i="63" s="1"/>
  <c r="T25" i="47"/>
  <c r="F147" i="63" s="1"/>
  <c r="AO25" i="47"/>
  <c r="Q25" i="47"/>
  <c r="A147" i="63"/>
  <c r="B62" i="61"/>
  <c r="S25" i="47"/>
  <c r="E147" i="63" s="1"/>
  <c r="AN63" i="47"/>
  <c r="A57" i="63"/>
  <c r="N63" i="47"/>
  <c r="F57" i="63" s="1"/>
  <c r="AU63" i="47"/>
  <c r="AT63" i="47" s="1"/>
  <c r="B213" i="61"/>
  <c r="K63" i="47"/>
  <c r="M63" i="47"/>
  <c r="A265" i="63"/>
  <c r="AP15" i="47"/>
  <c r="W15" i="47"/>
  <c r="Z15" i="47"/>
  <c r="F265" i="63" s="1"/>
  <c r="Y15" i="47"/>
  <c r="E265" i="63" s="1"/>
  <c r="B23" i="61"/>
  <c r="T101" i="47"/>
  <c r="F223" i="63" s="1"/>
  <c r="Q101" i="47"/>
  <c r="S101" i="47"/>
  <c r="E223" i="63" s="1"/>
  <c r="B366" i="61"/>
  <c r="AO101" i="47"/>
  <c r="A223" i="63"/>
  <c r="A494" i="63"/>
  <c r="B428" i="61"/>
  <c r="AF116" i="47"/>
  <c r="F494" i="63" s="1"/>
  <c r="AQ116" i="47"/>
  <c r="AC116" i="47"/>
  <c r="AE116" i="47"/>
  <c r="E494" i="63" s="1"/>
  <c r="AD116" i="47"/>
  <c r="AB116" i="47"/>
  <c r="A504" i="63"/>
  <c r="AB126" i="47"/>
  <c r="AD126" i="47"/>
  <c r="AF126" i="47"/>
  <c r="F504" i="63" s="1"/>
  <c r="B468" i="61"/>
  <c r="AE126" i="47"/>
  <c r="E504" i="63" s="1"/>
  <c r="AC126" i="47"/>
  <c r="AQ126" i="47"/>
  <c r="B118" i="61"/>
  <c r="AO39" i="47"/>
  <c r="T39" i="47"/>
  <c r="F161" i="63" s="1"/>
  <c r="S39" i="47"/>
  <c r="E161" i="63" s="1"/>
  <c r="Q39" i="47"/>
  <c r="A161" i="63"/>
  <c r="B263" i="61"/>
  <c r="W75" i="47"/>
  <c r="A325" i="63"/>
  <c r="Y75" i="47"/>
  <c r="E325" i="63" s="1"/>
  <c r="Z75" i="47"/>
  <c r="F325" i="63" s="1"/>
  <c r="AP75" i="47"/>
  <c r="Y52" i="47"/>
  <c r="E302" i="63" s="1"/>
  <c r="B171" i="61"/>
  <c r="A302" i="63"/>
  <c r="Z52" i="47"/>
  <c r="F302" i="63" s="1"/>
  <c r="AP52" i="47"/>
  <c r="W52" i="47"/>
  <c r="AN68" i="47"/>
  <c r="B233" i="61"/>
  <c r="AU68" i="47"/>
  <c r="AT68" i="47" s="1"/>
  <c r="N68" i="47"/>
  <c r="F62" i="63" s="1"/>
  <c r="M68" i="47"/>
  <c r="A62" i="63"/>
  <c r="K68" i="47"/>
  <c r="A273" i="63"/>
  <c r="AP23" i="47"/>
  <c r="W23" i="47"/>
  <c r="Z23" i="47"/>
  <c r="F273" i="63" s="1"/>
  <c r="Y23" i="47"/>
  <c r="E273" i="63" s="1"/>
  <c r="B55" i="61"/>
  <c r="M38" i="47"/>
  <c r="N38" i="47"/>
  <c r="F32" i="63" s="1"/>
  <c r="J38" i="47"/>
  <c r="AN38" i="47"/>
  <c r="L38" i="47"/>
  <c r="B113" i="61"/>
  <c r="AU38" i="47"/>
  <c r="AT38" i="47" s="1"/>
  <c r="K38" i="47"/>
  <c r="A32" i="63"/>
  <c r="AD134" i="47"/>
  <c r="AQ134" i="47"/>
  <c r="A512" i="63"/>
  <c r="AC134" i="47"/>
  <c r="AF134" i="47"/>
  <c r="F512" i="63" s="1"/>
  <c r="AE134" i="47"/>
  <c r="E512" i="63" s="1"/>
  <c r="B500" i="61"/>
  <c r="AB134" i="47"/>
  <c r="N64" i="47"/>
  <c r="F58" i="63" s="1"/>
  <c r="B217" i="61"/>
  <c r="A58" i="63"/>
  <c r="AU64" i="47"/>
  <c r="AT64" i="47" s="1"/>
  <c r="AN64" i="47"/>
  <c r="M64" i="47"/>
  <c r="K64" i="47"/>
  <c r="AC41" i="47"/>
  <c r="AF41" i="47"/>
  <c r="F419" i="63" s="1"/>
  <c r="AD41" i="47"/>
  <c r="AE41" i="47"/>
  <c r="E419" i="63" s="1"/>
  <c r="AB41" i="47"/>
  <c r="AQ41" i="47"/>
  <c r="B128" i="61"/>
  <c r="A419" i="63"/>
  <c r="A165" i="63"/>
  <c r="B134" i="61"/>
  <c r="AO43" i="47"/>
  <c r="T43" i="47"/>
  <c r="F165" i="63" s="1"/>
  <c r="S43" i="47"/>
  <c r="E165" i="63" s="1"/>
  <c r="Q43" i="47"/>
  <c r="AB119" i="47"/>
  <c r="B440" i="61"/>
  <c r="AD119" i="47"/>
  <c r="AQ119" i="47"/>
  <c r="AC119" i="47"/>
  <c r="AE119" i="47"/>
  <c r="E497" i="63" s="1"/>
  <c r="AF119" i="47"/>
  <c r="F497" i="63" s="1"/>
  <c r="A497" i="63"/>
  <c r="A422" i="63"/>
  <c r="AD44" i="47"/>
  <c r="B140" i="61"/>
  <c r="AC44" i="47"/>
  <c r="AF44" i="47"/>
  <c r="F422" i="63" s="1"/>
  <c r="AE44" i="47"/>
  <c r="E422" i="63" s="1"/>
  <c r="AQ44" i="47"/>
  <c r="AB44" i="47"/>
  <c r="W35" i="47"/>
  <c r="Z35" i="47"/>
  <c r="F285" i="63" s="1"/>
  <c r="AP35" i="47"/>
  <c r="B103" i="61"/>
  <c r="A285" i="63"/>
  <c r="Y35" i="47"/>
  <c r="E285" i="63" s="1"/>
  <c r="Z131" i="47"/>
  <c r="F381" i="63" s="1"/>
  <c r="Y131" i="47"/>
  <c r="E381" i="63" s="1"/>
  <c r="B487" i="61"/>
  <c r="AP131" i="47"/>
  <c r="W131" i="47"/>
  <c r="A381" i="63"/>
  <c r="A124" i="63"/>
  <c r="AU130" i="47"/>
  <c r="AT130" i="47" s="1"/>
  <c r="B481" i="61"/>
  <c r="M130" i="47"/>
  <c r="AN130" i="47"/>
  <c r="N130" i="47"/>
  <c r="F124" i="63" s="1"/>
  <c r="K130" i="47"/>
  <c r="T103" i="47"/>
  <c r="F225" i="63" s="1"/>
  <c r="A225" i="63"/>
  <c r="B374" i="61"/>
  <c r="AO103" i="47"/>
  <c r="S103" i="47"/>
  <c r="E225" i="63" s="1"/>
  <c r="Q103" i="47"/>
  <c r="AQ28" i="47"/>
  <c r="AD28" i="47"/>
  <c r="A406" i="63"/>
  <c r="B76" i="61"/>
  <c r="AB28" i="47"/>
  <c r="AC28" i="47"/>
  <c r="AE28" i="47"/>
  <c r="E406" i="63" s="1"/>
  <c r="AF28" i="47"/>
  <c r="F406" i="63" s="1"/>
  <c r="AD117" i="47"/>
  <c r="A495" i="63"/>
  <c r="AC117" i="47"/>
  <c r="B432" i="61"/>
  <c r="AE117" i="47"/>
  <c r="E495" i="63" s="1"/>
  <c r="AB117" i="47"/>
  <c r="AQ117" i="47"/>
  <c r="AF117" i="47"/>
  <c r="F495" i="63" s="1"/>
  <c r="AC57" i="47"/>
  <c r="AD57" i="47"/>
  <c r="A435" i="63"/>
  <c r="AB57" i="47"/>
  <c r="B192" i="61"/>
  <c r="AE57" i="47"/>
  <c r="E435" i="63" s="1"/>
  <c r="AQ57" i="47"/>
  <c r="AF57" i="47"/>
  <c r="F435" i="63" s="1"/>
  <c r="T16" i="47"/>
  <c r="F138" i="63" s="1"/>
  <c r="S16" i="47"/>
  <c r="E138" i="63" s="1"/>
  <c r="AO16" i="47"/>
  <c r="Q16" i="47"/>
  <c r="B26" i="61"/>
  <c r="A138" i="63"/>
  <c r="A34" i="63"/>
  <c r="AU40" i="47"/>
  <c r="AT40" i="47" s="1"/>
  <c r="L40" i="47"/>
  <c r="J40" i="47"/>
  <c r="B121" i="61"/>
  <c r="N40" i="47"/>
  <c r="F34" i="63" s="1"/>
  <c r="AN40" i="47"/>
  <c r="K40" i="47"/>
  <c r="M40" i="47"/>
  <c r="AC127" i="47"/>
  <c r="AQ127" i="47"/>
  <c r="AF127" i="47"/>
  <c r="F505" i="63" s="1"/>
  <c r="AD127" i="47"/>
  <c r="AB127" i="47"/>
  <c r="B472" i="61"/>
  <c r="A505" i="63"/>
  <c r="AE127" i="47"/>
  <c r="E505" i="63" s="1"/>
  <c r="B215" i="61"/>
  <c r="W63" i="47"/>
  <c r="A313" i="63"/>
  <c r="Z63" i="47"/>
  <c r="F313" i="63" s="1"/>
  <c r="AP63" i="47"/>
  <c r="Y63" i="47"/>
  <c r="E313" i="63" s="1"/>
  <c r="Y132" i="47"/>
  <c r="E382" i="63" s="1"/>
  <c r="B491" i="61"/>
  <c r="Z132" i="47"/>
  <c r="F382" i="63" s="1"/>
  <c r="AP132" i="47"/>
  <c r="A382" i="63"/>
  <c r="W132" i="47"/>
  <c r="AE94" i="47"/>
  <c r="E472" i="63" s="1"/>
  <c r="AB94" i="47"/>
  <c r="AF94" i="47"/>
  <c r="F472" i="63" s="1"/>
  <c r="B340" i="61"/>
  <c r="AQ94" i="47"/>
  <c r="A472" i="63"/>
  <c r="AD94" i="47"/>
  <c r="AC94" i="47"/>
  <c r="AF31" i="47"/>
  <c r="F409" i="63" s="1"/>
  <c r="AE31" i="47"/>
  <c r="E409" i="63" s="1"/>
  <c r="AQ31" i="47"/>
  <c r="B88" i="61"/>
  <c r="A409" i="63"/>
  <c r="AD31" i="47"/>
  <c r="AC31" i="47"/>
  <c r="AB31" i="47"/>
  <c r="AE109" i="47"/>
  <c r="E487" i="63" s="1"/>
  <c r="AC109" i="47"/>
  <c r="A487" i="63"/>
  <c r="AQ109" i="47"/>
  <c r="AF109" i="47"/>
  <c r="F487" i="63" s="1"/>
  <c r="AD109" i="47"/>
  <c r="AB109" i="47"/>
  <c r="B400" i="61"/>
  <c r="T70" i="47"/>
  <c r="F192" i="63" s="1"/>
  <c r="Q70" i="47"/>
  <c r="B242" i="61"/>
  <c r="A192" i="63"/>
  <c r="S70" i="47"/>
  <c r="E192" i="63" s="1"/>
  <c r="AO70" i="47"/>
  <c r="A157" i="63"/>
  <c r="B102" i="61"/>
  <c r="S35" i="47"/>
  <c r="E157" i="63" s="1"/>
  <c r="AO35" i="47"/>
  <c r="T35" i="47"/>
  <c r="F157" i="63" s="1"/>
  <c r="Q35" i="47"/>
  <c r="K111" i="47"/>
  <c r="B405" i="61"/>
  <c r="A105" i="63"/>
  <c r="N111" i="47"/>
  <c r="F105" i="63" s="1"/>
  <c r="AN111" i="47"/>
  <c r="AU111" i="47"/>
  <c r="AT111" i="47" s="1"/>
  <c r="M111" i="47"/>
  <c r="Z65" i="47"/>
  <c r="F315" i="63" s="1"/>
  <c r="B223" i="61"/>
  <c r="W65" i="47"/>
  <c r="A315" i="63"/>
  <c r="AP65" i="47"/>
  <c r="Y65" i="47"/>
  <c r="E315" i="63" s="1"/>
  <c r="K125" i="47"/>
  <c r="N125" i="47"/>
  <c r="F119" i="63" s="1"/>
  <c r="AU125" i="47"/>
  <c r="AT125" i="47" s="1"/>
  <c r="AN125" i="47"/>
  <c r="M125" i="47"/>
  <c r="B461" i="61"/>
  <c r="A119" i="63"/>
  <c r="S121" i="47"/>
  <c r="E243" i="63" s="1"/>
  <c r="A243" i="63"/>
  <c r="AO121" i="47"/>
  <c r="T121" i="47"/>
  <c r="F243" i="63" s="1"/>
  <c r="Q121" i="47"/>
  <c r="B446" i="61"/>
  <c r="K106" i="47"/>
  <c r="AN106" i="47"/>
  <c r="AU106" i="47"/>
  <c r="AT106" i="47" s="1"/>
  <c r="N106" i="47"/>
  <c r="F100" i="63" s="1"/>
  <c r="A100" i="63"/>
  <c r="M106" i="47"/>
  <c r="B385" i="61"/>
  <c r="AP110" i="47"/>
  <c r="B403" i="61"/>
  <c r="W110" i="47"/>
  <c r="Z110" i="47"/>
  <c r="F360" i="63" s="1"/>
  <c r="Y110" i="47"/>
  <c r="E360" i="63" s="1"/>
  <c r="A360" i="63"/>
  <c r="Q17" i="47"/>
  <c r="S17" i="47"/>
  <c r="E139" i="63" s="1"/>
  <c r="T17" i="47"/>
  <c r="F139" i="63" s="1"/>
  <c r="B30" i="61"/>
  <c r="A139" i="63"/>
  <c r="AO17" i="47"/>
  <c r="L50" i="47"/>
  <c r="AU50" i="47"/>
  <c r="AT50" i="47" s="1"/>
  <c r="N50" i="47"/>
  <c r="F44" i="63" s="1"/>
  <c r="AN50" i="47"/>
  <c r="B161" i="61"/>
  <c r="A44" i="63"/>
  <c r="J50" i="47"/>
  <c r="K50" i="47"/>
  <c r="M50" i="47"/>
  <c r="B207" i="61"/>
  <c r="Z61" i="47"/>
  <c r="F311" i="63" s="1"/>
  <c r="A311" i="63"/>
  <c r="W61" i="47"/>
  <c r="Y61" i="47"/>
  <c r="E311" i="63" s="1"/>
  <c r="AP61" i="47"/>
  <c r="N49" i="47"/>
  <c r="F43" i="63" s="1"/>
  <c r="AU49" i="47"/>
  <c r="AT49" i="47" s="1"/>
  <c r="J49" i="47"/>
  <c r="L49" i="47"/>
  <c r="AN49" i="47"/>
  <c r="B157" i="61"/>
  <c r="A43" i="63"/>
  <c r="M49" i="47"/>
  <c r="K49" i="47"/>
  <c r="A208" i="63"/>
  <c r="AO86" i="47"/>
  <c r="T86" i="47"/>
  <c r="F208" i="63" s="1"/>
  <c r="Q86" i="47"/>
  <c r="B306" i="61"/>
  <c r="S86" i="47"/>
  <c r="E208" i="63" s="1"/>
  <c r="Z126" i="47"/>
  <c r="F376" i="63" s="1"/>
  <c r="W126" i="47"/>
  <c r="A376" i="63"/>
  <c r="B467" i="61"/>
  <c r="AP126" i="47"/>
  <c r="Y126" i="47"/>
  <c r="E376" i="63" s="1"/>
  <c r="AU89" i="47"/>
  <c r="AT89" i="47" s="1"/>
  <c r="AN89" i="47"/>
  <c r="K89" i="47"/>
  <c r="A83" i="63"/>
  <c r="M89" i="47"/>
  <c r="N89" i="47"/>
  <c r="F83" i="63" s="1"/>
  <c r="B317" i="61"/>
  <c r="AC42" i="47"/>
  <c r="AF42" i="47"/>
  <c r="F420" i="63" s="1"/>
  <c r="AD42" i="47"/>
  <c r="A420" i="63"/>
  <c r="AQ42" i="47"/>
  <c r="B132" i="61"/>
  <c r="AE42" i="47"/>
  <c r="E420" i="63" s="1"/>
  <c r="AB42" i="47"/>
  <c r="A453" i="63"/>
  <c r="B264" i="61"/>
  <c r="AE75" i="47"/>
  <c r="E453" i="63" s="1"/>
  <c r="AB75" i="47"/>
  <c r="AD75" i="47"/>
  <c r="AC75" i="47"/>
  <c r="AQ75" i="47"/>
  <c r="AF75" i="47"/>
  <c r="F453" i="63" s="1"/>
  <c r="AF63" i="47"/>
  <c r="F441" i="63" s="1"/>
  <c r="AD63" i="47"/>
  <c r="AQ63" i="47"/>
  <c r="AB63" i="47"/>
  <c r="AE63" i="47"/>
  <c r="E441" i="63" s="1"/>
  <c r="A441" i="63"/>
  <c r="AC63" i="47"/>
  <c r="B216" i="61"/>
  <c r="A362" i="63"/>
  <c r="W112" i="47"/>
  <c r="AP112" i="47"/>
  <c r="B411" i="61"/>
  <c r="Z112" i="47"/>
  <c r="F362" i="63" s="1"/>
  <c r="Y112" i="47"/>
  <c r="E362" i="63" s="1"/>
  <c r="A297" i="63"/>
  <c r="AP47" i="47"/>
  <c r="B151" i="61"/>
  <c r="Z47" i="47"/>
  <c r="F297" i="63" s="1"/>
  <c r="W47" i="47"/>
  <c r="Y47" i="47"/>
  <c r="E297" i="63" s="1"/>
  <c r="AC115" i="47"/>
  <c r="B424" i="61"/>
  <c r="AE115" i="47"/>
  <c r="E493" i="63" s="1"/>
  <c r="AD115" i="47"/>
  <c r="AQ115" i="47"/>
  <c r="AF115" i="47"/>
  <c r="F493" i="63" s="1"/>
  <c r="A493" i="63"/>
  <c r="AB115" i="47"/>
  <c r="Y43" i="47"/>
  <c r="E293" i="63" s="1"/>
  <c r="B135" i="61"/>
  <c r="AP43" i="47"/>
  <c r="A293" i="63"/>
  <c r="W43" i="47"/>
  <c r="Z43" i="47"/>
  <c r="F293" i="63" s="1"/>
  <c r="P26" i="47"/>
  <c r="X108" i="47"/>
  <c r="V47" i="47"/>
  <c r="V43" i="47"/>
  <c r="V129" i="47"/>
  <c r="P77" i="47"/>
  <c r="X54" i="47"/>
  <c r="P120" i="47"/>
  <c r="P117" i="47"/>
  <c r="R106" i="47"/>
  <c r="P81" i="47"/>
  <c r="P133" i="47"/>
  <c r="V105" i="47"/>
  <c r="L108" i="47"/>
  <c r="R44" i="47"/>
  <c r="L137" i="47"/>
  <c r="J103" i="47"/>
  <c r="R138" i="47"/>
  <c r="P112" i="47"/>
  <c r="P52" i="47"/>
  <c r="R36" i="47"/>
  <c r="J105" i="47"/>
  <c r="P46" i="47"/>
  <c r="R93" i="47"/>
  <c r="L126" i="47"/>
  <c r="L121" i="47"/>
  <c r="L115" i="47"/>
  <c r="J73" i="47"/>
  <c r="R114" i="47"/>
  <c r="V91" i="47"/>
  <c r="R51" i="47"/>
  <c r="R103" i="47"/>
  <c r="R23" i="47"/>
  <c r="X138" i="47"/>
  <c r="V113" i="47"/>
  <c r="L58" i="47"/>
  <c r="X37" i="47"/>
  <c r="V70" i="47"/>
  <c r="J90" i="47"/>
  <c r="P72" i="47"/>
  <c r="L61" i="47"/>
  <c r="X129" i="47"/>
  <c r="V42" i="47"/>
  <c r="L78" i="47"/>
  <c r="P130" i="47"/>
  <c r="R61" i="47"/>
  <c r="V49" i="47"/>
  <c r="P128" i="47"/>
  <c r="J58" i="47"/>
  <c r="X102" i="47"/>
  <c r="J61" i="47"/>
  <c r="V107" i="47"/>
  <c r="X109" i="47"/>
  <c r="P73" i="47"/>
  <c r="R126" i="47"/>
  <c r="X67" i="47"/>
  <c r="J114" i="47"/>
  <c r="R29" i="47"/>
  <c r="L69" i="47"/>
  <c r="P13" i="47"/>
  <c r="X53" i="47"/>
  <c r="L82" i="47"/>
  <c r="V136" i="47"/>
  <c r="X98" i="47"/>
  <c r="J70" i="47"/>
  <c r="R110" i="47"/>
  <c r="J95" i="47"/>
  <c r="R135" i="47"/>
  <c r="X132" i="47"/>
  <c r="R70" i="47"/>
  <c r="J89" i="47"/>
  <c r="X43" i="47"/>
  <c r="R90" i="47"/>
  <c r="X11" i="47"/>
  <c r="X35" i="47"/>
  <c r="X127" i="47"/>
  <c r="P87" i="47"/>
  <c r="R88" i="47"/>
  <c r="V18" i="47"/>
  <c r="X92" i="47"/>
  <c r="V68" i="47"/>
  <c r="X27" i="47"/>
  <c r="V36" i="47"/>
  <c r="L117" i="47"/>
  <c r="V128" i="47"/>
  <c r="L104" i="47"/>
  <c r="R82" i="47"/>
  <c r="L98" i="47"/>
  <c r="P69" i="47"/>
  <c r="X120" i="47"/>
  <c r="X23" i="47"/>
  <c r="X16" i="47"/>
  <c r="V53" i="47"/>
  <c r="V103" i="47"/>
  <c r="R19" i="47"/>
  <c r="R133" i="47"/>
  <c r="X60" i="47"/>
  <c r="L73" i="47"/>
  <c r="L109" i="47"/>
  <c r="L133" i="47"/>
  <c r="R111" i="47"/>
  <c r="R32" i="47"/>
  <c r="R85" i="47"/>
  <c r="R129" i="47"/>
  <c r="L119" i="47"/>
  <c r="L75" i="47"/>
  <c r="J96" i="47"/>
  <c r="R65" i="47"/>
  <c r="X85" i="47"/>
  <c r="X82" i="47"/>
  <c r="P21" i="47"/>
  <c r="R99" i="47"/>
  <c r="P41" i="47"/>
  <c r="V44" i="47"/>
  <c r="V95" i="47"/>
  <c r="V26" i="47"/>
  <c r="X74" i="47"/>
  <c r="V88" i="47"/>
  <c r="R104" i="47"/>
  <c r="V61" i="47"/>
  <c r="V133" i="47"/>
  <c r="X33" i="47"/>
  <c r="V23" i="47"/>
  <c r="R41" i="47"/>
  <c r="V86" i="47"/>
  <c r="X63" i="47"/>
  <c r="L60" i="47"/>
  <c r="L128" i="47"/>
  <c r="X114" i="47"/>
  <c r="P25" i="47"/>
  <c r="L63" i="47"/>
  <c r="V27" i="47"/>
  <c r="P40" i="47"/>
  <c r="V15" i="47"/>
  <c r="J78" i="47"/>
  <c r="P65" i="47"/>
  <c r="P56" i="47"/>
  <c r="R34" i="47"/>
  <c r="V24" i="47"/>
  <c r="X124" i="47"/>
  <c r="P32" i="47"/>
  <c r="R63" i="47"/>
  <c r="J123" i="47"/>
  <c r="X19" i="47"/>
  <c r="J81" i="47"/>
  <c r="J104" i="47"/>
  <c r="J118" i="47"/>
  <c r="X69" i="47"/>
  <c r="V54" i="47"/>
  <c r="R80" i="47"/>
  <c r="V97" i="47"/>
  <c r="P76" i="47"/>
  <c r="V55" i="47"/>
  <c r="V78" i="47"/>
  <c r="L125" i="47"/>
  <c r="J108" i="47"/>
  <c r="V33" i="47"/>
  <c r="V72" i="47"/>
  <c r="J80" i="47"/>
  <c r="R125" i="47"/>
  <c r="J137" i="47"/>
  <c r="R123" i="47"/>
  <c r="R37" i="47"/>
  <c r="X72" i="47"/>
  <c r="J84" i="47"/>
  <c r="R28" i="47"/>
  <c r="J110" i="47"/>
  <c r="V20" i="47"/>
  <c r="J93" i="47"/>
  <c r="V121" i="47"/>
  <c r="P64" i="47"/>
  <c r="P106" i="47"/>
  <c r="V81" i="47"/>
  <c r="X134" i="47"/>
  <c r="V134" i="47"/>
  <c r="X25" i="47"/>
  <c r="V51" i="47"/>
  <c r="P60" i="47"/>
  <c r="V82" i="47"/>
  <c r="R62" i="47"/>
  <c r="X38" i="47"/>
  <c r="L111" i="47"/>
  <c r="X36" i="47"/>
  <c r="R128" i="47"/>
  <c r="X61" i="47"/>
  <c r="P79" i="47"/>
  <c r="L86" i="47"/>
  <c r="X42" i="47"/>
  <c r="P35" i="47"/>
  <c r="X112" i="47"/>
  <c r="V93" i="47"/>
  <c r="X17" i="47"/>
  <c r="L96" i="47"/>
  <c r="V122" i="47"/>
  <c r="J102" i="47"/>
  <c r="X88" i="47"/>
  <c r="R48" i="47"/>
  <c r="R52" i="47"/>
  <c r="R16" i="47"/>
  <c r="V59" i="47"/>
  <c r="V29" i="47"/>
  <c r="V63" i="47"/>
  <c r="X117" i="47"/>
  <c r="X13" i="47"/>
  <c r="X90" i="47"/>
  <c r="X66" i="47"/>
  <c r="R53" i="47"/>
  <c r="P135" i="47"/>
  <c r="X111" i="47"/>
  <c r="V71" i="47"/>
  <c r="P95" i="47"/>
  <c r="L100" i="47"/>
  <c r="P96" i="47"/>
  <c r="X26" i="47"/>
  <c r="L114" i="47"/>
  <c r="X62" i="47"/>
  <c r="R17" i="47"/>
  <c r="R21" i="47"/>
  <c r="X47" i="47"/>
  <c r="P66" i="47"/>
  <c r="X125" i="47"/>
  <c r="L107" i="47"/>
  <c r="L103" i="47"/>
  <c r="P115" i="47"/>
  <c r="X34" i="47"/>
  <c r="L102" i="47"/>
  <c r="X59" i="47"/>
  <c r="J71" i="47"/>
  <c r="P99" i="47"/>
  <c r="P107" i="47"/>
  <c r="P15" i="47"/>
  <c r="R42" i="47"/>
  <c r="V117" i="47"/>
  <c r="J107" i="47"/>
  <c r="X107" i="47"/>
  <c r="P122" i="47"/>
  <c r="X12" i="47"/>
  <c r="X123" i="47"/>
  <c r="R116" i="47"/>
  <c r="L67" i="47"/>
  <c r="X57" i="47"/>
  <c r="V87" i="47"/>
  <c r="J126" i="47"/>
  <c r="R73" i="47"/>
  <c r="V46" i="47"/>
  <c r="J91" i="47"/>
  <c r="P94" i="47"/>
  <c r="V22" i="47"/>
  <c r="R39" i="47"/>
  <c r="V14" i="47"/>
  <c r="P57" i="47"/>
  <c r="R71" i="47"/>
  <c r="X137" i="47"/>
  <c r="V52" i="47"/>
  <c r="V112" i="47"/>
  <c r="V79" i="47"/>
  <c r="P98" i="47"/>
  <c r="R102" i="47"/>
  <c r="X136" i="47"/>
  <c r="L124" i="47"/>
  <c r="L110" i="47"/>
  <c r="P103" i="47"/>
  <c r="V119" i="47"/>
  <c r="P54" i="47"/>
  <c r="V83" i="47"/>
  <c r="V19" i="47"/>
  <c r="X86" i="47"/>
  <c r="L56" i="47"/>
  <c r="L72" i="47"/>
  <c r="X39" i="47"/>
  <c r="X100" i="47"/>
  <c r="V118" i="47"/>
  <c r="V109" i="47"/>
  <c r="P61" i="47"/>
  <c r="P86" i="47"/>
  <c r="V30" i="47"/>
  <c r="R58" i="47"/>
  <c r="R67" i="47"/>
  <c r="V62" i="47"/>
  <c r="L66" i="47"/>
  <c r="L85" i="47"/>
  <c r="R31" i="47"/>
  <c r="P93" i="47"/>
  <c r="V132" i="47"/>
  <c r="R121" i="47"/>
  <c r="R59" i="47"/>
  <c r="R43" i="47"/>
  <c r="V28" i="47"/>
  <c r="P14" i="47"/>
  <c r="P80" i="47"/>
  <c r="L77" i="47"/>
  <c r="X116" i="47"/>
  <c r="V74" i="47"/>
  <c r="J76" i="47"/>
  <c r="J109" i="47"/>
  <c r="P89" i="47"/>
  <c r="X133" i="47"/>
  <c r="J129" i="47"/>
  <c r="P78" i="47"/>
  <c r="V76" i="47"/>
  <c r="P132" i="47"/>
  <c r="V35" i="47"/>
  <c r="L59" i="47"/>
  <c r="R91" i="47"/>
  <c r="X21" i="47"/>
  <c r="J83" i="47"/>
  <c r="P31" i="47"/>
  <c r="P102" i="47"/>
  <c r="V37" i="47"/>
  <c r="P16" i="47"/>
  <c r="J67" i="47"/>
  <c r="V50" i="47"/>
  <c r="L135" i="47"/>
  <c r="X31" i="47"/>
  <c r="V104" i="47"/>
  <c r="V67" i="47"/>
  <c r="J136" i="47"/>
  <c r="R115" i="47"/>
  <c r="J130" i="47"/>
  <c r="P138" i="47"/>
  <c r="R75" i="47"/>
  <c r="R64" i="47"/>
  <c r="J131" i="47"/>
  <c r="X81" i="47"/>
  <c r="J60" i="47"/>
  <c r="P88" i="47"/>
  <c r="X87" i="47"/>
  <c r="R49" i="47"/>
  <c r="J135" i="47"/>
  <c r="L134" i="47"/>
  <c r="R101" i="47"/>
  <c r="V41" i="47"/>
  <c r="R45" i="47"/>
  <c r="P11" i="47"/>
  <c r="P126" i="47"/>
  <c r="X48" i="47"/>
  <c r="X51" i="47"/>
  <c r="L81" i="47"/>
  <c r="L89" i="47"/>
  <c r="J64" i="47"/>
  <c r="P134" i="47"/>
  <c r="J53" i="47"/>
  <c r="R14" i="47"/>
  <c r="V116" i="47"/>
  <c r="V131" i="47"/>
  <c r="V126" i="47"/>
  <c r="P42" i="47"/>
  <c r="J117" i="47"/>
  <c r="V65" i="47"/>
  <c r="J82" i="47"/>
  <c r="L97" i="47"/>
  <c r="R55" i="47"/>
  <c r="V90" i="47"/>
  <c r="V32" i="47"/>
  <c r="R87" i="47"/>
  <c r="R124" i="47"/>
  <c r="L118" i="47"/>
  <c r="L93" i="47"/>
  <c r="V25" i="47"/>
  <c r="P50" i="47"/>
  <c r="R137" i="47"/>
  <c r="V56" i="47"/>
  <c r="J121" i="47"/>
  <c r="P24" i="47"/>
  <c r="P48" i="47"/>
  <c r="L53" i="47"/>
  <c r="X44" i="47"/>
  <c r="J79" i="47"/>
  <c r="P123" i="47"/>
  <c r="R24" i="47"/>
  <c r="J87" i="47"/>
  <c r="V123" i="47"/>
  <c r="P75" i="47"/>
  <c r="P29" i="47"/>
  <c r="X70" i="47"/>
  <c r="P38" i="47"/>
  <c r="J132" i="47"/>
  <c r="R136" i="47"/>
  <c r="P100" i="47"/>
  <c r="X113" i="47"/>
  <c r="V58" i="47"/>
  <c r="X45" i="47"/>
  <c r="V38" i="47"/>
  <c r="L94" i="47"/>
  <c r="L92" i="47"/>
  <c r="V39" i="47"/>
  <c r="L70" i="47"/>
  <c r="V77" i="47"/>
  <c r="V31" i="47"/>
  <c r="R26" i="47"/>
  <c r="R22" i="47"/>
  <c r="P116" i="47"/>
  <c r="X126" i="47"/>
  <c r="R134" i="47"/>
  <c r="P101" i="47"/>
  <c r="J97" i="47"/>
  <c r="X68" i="47"/>
  <c r="V92" i="47"/>
  <c r="P62" i="47"/>
  <c r="J65" i="47"/>
  <c r="R98" i="47"/>
  <c r="R117" i="47"/>
  <c r="R40" i="47"/>
  <c r="X65" i="47"/>
  <c r="P82" i="47"/>
  <c r="J59" i="47"/>
  <c r="X95" i="47"/>
  <c r="P121" i="47"/>
  <c r="V11" i="47"/>
  <c r="X56" i="47"/>
  <c r="R119" i="47"/>
  <c r="L136" i="47"/>
  <c r="P129" i="47"/>
  <c r="X28" i="47"/>
  <c r="P30" i="47"/>
  <c r="P127" i="47"/>
  <c r="P108" i="47"/>
  <c r="X131" i="47"/>
  <c r="X22" i="47"/>
  <c r="V89" i="47"/>
  <c r="L95" i="47"/>
  <c r="V13" i="47"/>
  <c r="X118" i="47"/>
  <c r="V137" i="47"/>
  <c r="P27" i="47"/>
  <c r="R20" i="47"/>
  <c r="X29" i="47"/>
  <c r="L120" i="47"/>
  <c r="V99" i="47"/>
  <c r="P83" i="47"/>
  <c r="V124" i="47"/>
  <c r="X71" i="47"/>
  <c r="L54" i="47"/>
  <c r="J88" i="47"/>
  <c r="V75" i="47"/>
  <c r="P125" i="47"/>
  <c r="J113" i="47"/>
  <c r="R66" i="47"/>
  <c r="P90" i="47"/>
  <c r="R89" i="47"/>
  <c r="P110" i="47"/>
  <c r="J106" i="47"/>
  <c r="V111" i="47"/>
  <c r="P45" i="47"/>
  <c r="X97" i="47"/>
  <c r="V100" i="47"/>
  <c r="L91" i="47"/>
  <c r="R74" i="47"/>
  <c r="P131" i="47"/>
  <c r="X76" i="47"/>
  <c r="P109" i="47"/>
  <c r="X99" i="47"/>
  <c r="J77" i="47"/>
  <c r="L87" i="47"/>
  <c r="P111" i="47"/>
  <c r="V115" i="47"/>
  <c r="L127" i="47"/>
  <c r="V94" i="47"/>
  <c r="L76" i="47"/>
  <c r="J128" i="47"/>
  <c r="R76" i="47"/>
  <c r="J125" i="47"/>
  <c r="R81" i="47"/>
  <c r="R109" i="47"/>
  <c r="R15" i="47"/>
  <c r="X14" i="47"/>
  <c r="X91" i="47"/>
  <c r="V69" i="47"/>
  <c r="P74" i="47"/>
  <c r="P84" i="47"/>
  <c r="V80" i="47"/>
  <c r="V135" i="47"/>
  <c r="X64" i="47"/>
  <c r="L131" i="47"/>
  <c r="P70" i="47"/>
  <c r="R130" i="47"/>
  <c r="X89" i="47"/>
  <c r="P119" i="47"/>
  <c r="P28" i="47"/>
  <c r="R127" i="47"/>
  <c r="R30" i="47"/>
  <c r="P43" i="47"/>
  <c r="V40" i="47"/>
  <c r="P85" i="47"/>
  <c r="X20" i="47"/>
  <c r="P34" i="47"/>
  <c r="J122" i="47"/>
  <c r="J54" i="47"/>
  <c r="X55" i="47"/>
  <c r="X121" i="47"/>
  <c r="L106" i="47"/>
  <c r="V45" i="47"/>
  <c r="L138" i="47"/>
  <c r="X83" i="47"/>
  <c r="V106" i="47"/>
  <c r="P12" i="47"/>
  <c r="L90" i="47"/>
  <c r="P58" i="47"/>
  <c r="R60" i="47"/>
  <c r="P71" i="47"/>
  <c r="J66" i="47"/>
  <c r="P59" i="47"/>
  <c r="X110" i="47"/>
  <c r="R47" i="47"/>
  <c r="V96" i="47"/>
  <c r="R120" i="47"/>
  <c r="L74" i="47"/>
  <c r="J119" i="47"/>
  <c r="J57" i="47"/>
  <c r="R94" i="47"/>
  <c r="X105" i="47"/>
  <c r="X106" i="47"/>
  <c r="V102" i="47"/>
  <c r="X80" i="47"/>
  <c r="J85" i="47"/>
  <c r="X77" i="47"/>
  <c r="L122" i="47"/>
  <c r="X78" i="47"/>
  <c r="P44" i="47"/>
  <c r="X32" i="47"/>
  <c r="L79" i="47"/>
  <c r="R132" i="47"/>
  <c r="R27" i="47"/>
  <c r="R56" i="47"/>
  <c r="J112" i="47"/>
  <c r="V17" i="47"/>
  <c r="X18" i="47"/>
  <c r="L64" i="47"/>
  <c r="J55" i="47"/>
  <c r="R12" i="47"/>
  <c r="X46" i="47"/>
  <c r="R84" i="47"/>
  <c r="P39" i="47"/>
  <c r="L62" i="47"/>
  <c r="X84" i="47"/>
  <c r="L55" i="47"/>
  <c r="V16" i="47"/>
  <c r="P114" i="47"/>
  <c r="X128" i="47"/>
  <c r="L101" i="47"/>
  <c r="R113" i="47"/>
  <c r="V114" i="47"/>
  <c r="R50" i="47"/>
  <c r="R92" i="47"/>
  <c r="J75" i="47"/>
  <c r="J127" i="47"/>
  <c r="J68" i="47"/>
  <c r="J63" i="47"/>
  <c r="V21" i="47"/>
  <c r="R95" i="47"/>
  <c r="L132" i="47"/>
  <c r="J115" i="47"/>
  <c r="R25" i="47"/>
  <c r="P53" i="47"/>
  <c r="J99" i="47"/>
  <c r="J92" i="47"/>
  <c r="P67" i="47"/>
  <c r="R68" i="47"/>
  <c r="R97" i="47"/>
  <c r="R57" i="47"/>
  <c r="P18" i="47"/>
  <c r="P105" i="47"/>
  <c r="L130" i="47"/>
  <c r="R131" i="47"/>
  <c r="L84" i="47"/>
  <c r="L116" i="47"/>
  <c r="R105" i="47"/>
  <c r="J124" i="47"/>
  <c r="V125" i="47"/>
  <c r="J98" i="47"/>
  <c r="V66" i="47"/>
  <c r="P33" i="47"/>
  <c r="P124" i="47"/>
  <c r="R79" i="47"/>
  <c r="J100" i="47"/>
  <c r="P113" i="47"/>
  <c r="P20" i="47"/>
  <c r="V98" i="47"/>
  <c r="L80" i="47"/>
  <c r="X52" i="47"/>
  <c r="P49" i="47"/>
  <c r="X79" i="47"/>
  <c r="X94" i="47"/>
  <c r="L88" i="47"/>
  <c r="L57" i="47"/>
  <c r="X104" i="47"/>
  <c r="P63" i="47"/>
  <c r="J138" i="47"/>
  <c r="X119" i="47"/>
  <c r="V48" i="47"/>
  <c r="P22" i="47"/>
  <c r="R13" i="47"/>
  <c r="R108" i="47"/>
  <c r="R78" i="47"/>
  <c r="L129" i="47"/>
  <c r="L105" i="47"/>
  <c r="R46" i="47"/>
  <c r="L112" i="47"/>
  <c r="P68" i="47"/>
  <c r="P17" i="47"/>
  <c r="J101" i="47"/>
  <c r="R96" i="47"/>
  <c r="R35" i="47"/>
  <c r="R118" i="47"/>
  <c r="R54" i="47"/>
  <c r="R83" i="47"/>
  <c r="J94" i="47"/>
  <c r="P51" i="47"/>
  <c r="V101" i="47"/>
  <c r="R77" i="47"/>
  <c r="L68" i="47"/>
  <c r="V57" i="47"/>
  <c r="X58" i="47"/>
  <c r="X15" i="47"/>
  <c r="P91" i="47"/>
  <c r="L123" i="47"/>
  <c r="V85" i="47"/>
  <c r="P104" i="47"/>
  <c r="R122" i="47"/>
  <c r="P92" i="47"/>
  <c r="V84" i="47"/>
  <c r="P136" i="47"/>
  <c r="V64" i="47"/>
  <c r="X73" i="47"/>
  <c r="J133" i="47"/>
  <c r="X41" i="47"/>
  <c r="P37" i="47"/>
  <c r="P137" i="47"/>
  <c r="X96" i="47"/>
  <c r="R72" i="47"/>
  <c r="P55" i="47"/>
  <c r="L83" i="47"/>
  <c r="V127" i="47"/>
  <c r="X130" i="47"/>
  <c r="X101" i="47"/>
  <c r="V138" i="47"/>
  <c r="V110" i="47"/>
  <c r="X135" i="47"/>
  <c r="V130" i="47"/>
  <c r="P19" i="47"/>
  <c r="X49" i="47"/>
  <c r="P97" i="47"/>
  <c r="J86" i="47"/>
  <c r="V120" i="47"/>
  <c r="J134" i="47"/>
  <c r="V108" i="47"/>
  <c r="X75" i="47"/>
  <c r="V34" i="47"/>
  <c r="P23" i="47"/>
  <c r="R33" i="47"/>
  <c r="X103" i="47"/>
  <c r="X40" i="47"/>
  <c r="R112" i="47"/>
  <c r="V73" i="47"/>
  <c r="J74" i="47"/>
  <c r="R38" i="47"/>
  <c r="P47" i="47"/>
  <c r="L65" i="47"/>
  <c r="R69" i="47"/>
  <c r="J72" i="47"/>
  <c r="X24" i="47"/>
  <c r="X93" i="47"/>
  <c r="R107" i="47"/>
  <c r="L99" i="47"/>
  <c r="P36" i="47"/>
  <c r="R86" i="47"/>
  <c r="R11" i="47"/>
  <c r="L113" i="47"/>
  <c r="J56" i="47"/>
  <c r="R100" i="47"/>
  <c r="V60" i="47"/>
  <c r="L71" i="47"/>
  <c r="V12" i="47"/>
  <c r="J116" i="47"/>
  <c r="J69" i="47"/>
  <c r="J62" i="47"/>
  <c r="X50" i="47"/>
  <c r="X30" i="47"/>
  <c r="X122" i="47"/>
  <c r="R18" i="47"/>
  <c r="P118" i="47"/>
  <c r="J120" i="47"/>
  <c r="X115" i="47"/>
  <c r="J111" i="47"/>
  <c r="AR49" i="47" l="1"/>
  <c r="AR38" i="47"/>
  <c r="AR96" i="47"/>
  <c r="AR40" i="47"/>
  <c r="AC5" i="115"/>
  <c r="AA5" i="115"/>
  <c r="L16" i="118"/>
  <c r="P5" i="115" s="1"/>
  <c r="I5" i="115" s="1"/>
  <c r="B4" i="116" s="1"/>
  <c r="L17" i="118"/>
  <c r="P6" i="115" s="1"/>
  <c r="I6" i="115" s="1"/>
  <c r="B5" i="116" s="1"/>
  <c r="AA6" i="115"/>
  <c r="AC6" i="115"/>
  <c r="AR98" i="47"/>
  <c r="AR78" i="47"/>
  <c r="AR93" i="47"/>
  <c r="AR125" i="47"/>
  <c r="AR85" i="47"/>
  <c r="AR50" i="47"/>
  <c r="AR111" i="47"/>
  <c r="AR74" i="47"/>
  <c r="AR19" i="47"/>
  <c r="AR22" i="47"/>
  <c r="AR47" i="47"/>
  <c r="AR131" i="47"/>
  <c r="AR87" i="47"/>
  <c r="AR53" i="47"/>
  <c r="AR56" i="47"/>
  <c r="AR106" i="47"/>
  <c r="AR77" i="47"/>
  <c r="AR23" i="47"/>
  <c r="AR101" i="47"/>
  <c r="AR122" i="47"/>
  <c r="AR57" i="47"/>
  <c r="AR37" i="47"/>
  <c r="AR76" i="47"/>
  <c r="AR29" i="47"/>
  <c r="C135" i="61"/>
  <c r="B293" i="63"/>
  <c r="C151" i="61"/>
  <c r="B297" i="63"/>
  <c r="C411" i="61"/>
  <c r="B362" i="63"/>
  <c r="E446" i="61"/>
  <c r="D243" i="63"/>
  <c r="B285" i="63"/>
  <c r="C103" i="61"/>
  <c r="E62" i="61"/>
  <c r="D147" i="63"/>
  <c r="B228" i="63"/>
  <c r="C386" i="61"/>
  <c r="E473" i="61"/>
  <c r="D122" i="63"/>
  <c r="D176" i="63"/>
  <c r="E178" i="61"/>
  <c r="B257" i="63"/>
  <c r="C502" i="61"/>
  <c r="B234" i="63"/>
  <c r="C410" i="61"/>
  <c r="D230" i="63"/>
  <c r="E394" i="61"/>
  <c r="C70" i="61"/>
  <c r="B149" i="63"/>
  <c r="E83" i="61"/>
  <c r="D280" i="63"/>
  <c r="E225" i="61"/>
  <c r="D60" i="63"/>
  <c r="E194" i="61"/>
  <c r="D180" i="63"/>
  <c r="D305" i="63"/>
  <c r="E183" i="61"/>
  <c r="D129" i="63"/>
  <c r="E501" i="61"/>
  <c r="A85" i="47"/>
  <c r="B79" i="63"/>
  <c r="C301" i="61"/>
  <c r="D352" i="63"/>
  <c r="E371" i="61"/>
  <c r="B337" i="63"/>
  <c r="C311" i="61"/>
  <c r="D199" i="63"/>
  <c r="E270" i="61"/>
  <c r="A113" i="47"/>
  <c r="G113" i="47" s="1"/>
  <c r="B113" i="47" s="1"/>
  <c r="B107" i="63"/>
  <c r="C413" i="61"/>
  <c r="C211" i="61"/>
  <c r="B312" i="63"/>
  <c r="D133" i="63"/>
  <c r="E6" i="61"/>
  <c r="C283" i="61"/>
  <c r="B330" i="63"/>
  <c r="B172" i="63"/>
  <c r="C162" i="61"/>
  <c r="D209" i="63"/>
  <c r="E310" i="61"/>
  <c r="E333" i="61"/>
  <c r="D87" i="63"/>
  <c r="E239" i="61"/>
  <c r="D319" i="63"/>
  <c r="B350" i="63"/>
  <c r="C363" i="61"/>
  <c r="B248" i="63"/>
  <c r="C466" i="61"/>
  <c r="C458" i="61"/>
  <c r="B246" i="63"/>
  <c r="E195" i="61"/>
  <c r="D308" i="63"/>
  <c r="D63" i="63"/>
  <c r="E237" i="61"/>
  <c r="D347" i="63"/>
  <c r="E351" i="61"/>
  <c r="D203" i="63"/>
  <c r="E286" i="61"/>
  <c r="A82" i="47"/>
  <c r="C289" i="61"/>
  <c r="B76" i="63"/>
  <c r="D101" i="63"/>
  <c r="E389" i="61"/>
  <c r="C182" i="61"/>
  <c r="B177" i="63"/>
  <c r="D332" i="63"/>
  <c r="E291" i="61"/>
  <c r="C299" i="61"/>
  <c r="B334" i="63"/>
  <c r="E235" i="61"/>
  <c r="D318" i="63"/>
  <c r="C47" i="61"/>
  <c r="B271" i="63"/>
  <c r="C175" i="61"/>
  <c r="B303" i="63"/>
  <c r="E66" i="61"/>
  <c r="D148" i="63"/>
  <c r="D356" i="63"/>
  <c r="E387" i="61"/>
  <c r="C382" i="61"/>
  <c r="B227" i="63"/>
  <c r="B387" i="63"/>
  <c r="C511" i="61"/>
  <c r="E38" i="61"/>
  <c r="D141" i="63"/>
  <c r="D357" i="63"/>
  <c r="E391" i="61"/>
  <c r="D111" i="63"/>
  <c r="E429" i="61"/>
  <c r="B346" i="63"/>
  <c r="C347" i="61"/>
  <c r="B53" i="63"/>
  <c r="C197" i="61"/>
  <c r="A59" i="47"/>
  <c r="B336" i="63"/>
  <c r="C307" i="61"/>
  <c r="E342" i="61"/>
  <c r="D217" i="63"/>
  <c r="B317" i="63"/>
  <c r="C231" i="61"/>
  <c r="D289" i="63"/>
  <c r="E119" i="61"/>
  <c r="D216" i="63"/>
  <c r="E338" i="61"/>
  <c r="D375" i="63"/>
  <c r="E463" i="61"/>
  <c r="D310" i="63"/>
  <c r="E203" i="61"/>
  <c r="D162" i="63"/>
  <c r="E122" i="61"/>
  <c r="C510" i="61"/>
  <c r="B259" i="63"/>
  <c r="C250" i="61"/>
  <c r="B194" i="63"/>
  <c r="C397" i="61"/>
  <c r="B103" i="63"/>
  <c r="A109" i="47"/>
  <c r="E159" i="61"/>
  <c r="D299" i="63"/>
  <c r="B102" i="63"/>
  <c r="A108" i="47"/>
  <c r="C393" i="61"/>
  <c r="E94" i="61"/>
  <c r="D155" i="63"/>
  <c r="C185" i="61"/>
  <c r="A56" i="47"/>
  <c r="B50" i="63"/>
  <c r="D388" i="63"/>
  <c r="E515" i="61"/>
  <c r="D300" i="63"/>
  <c r="E163" i="61"/>
  <c r="D142" i="63"/>
  <c r="E42" i="61"/>
  <c r="E341" i="61"/>
  <c r="D89" i="63"/>
  <c r="D150" i="63"/>
  <c r="E74" i="61"/>
  <c r="B372" i="63"/>
  <c r="C451" i="61"/>
  <c r="B343" i="63"/>
  <c r="C335" i="61"/>
  <c r="B340" i="63"/>
  <c r="C323" i="61"/>
  <c r="E474" i="61"/>
  <c r="D250" i="63"/>
  <c r="D295" i="63"/>
  <c r="E143" i="61"/>
  <c r="D74" i="63"/>
  <c r="E281" i="61"/>
  <c r="C326" i="61"/>
  <c r="B213" i="63"/>
  <c r="A58" i="47"/>
  <c r="B52" i="63"/>
  <c r="C193" i="61"/>
  <c r="C414" i="61"/>
  <c r="B235" i="63"/>
  <c r="B229" i="63"/>
  <c r="C390" i="61"/>
  <c r="D153" i="63"/>
  <c r="E86" i="61"/>
  <c r="D241" i="63"/>
  <c r="E438" i="61"/>
  <c r="D198" i="63"/>
  <c r="E266" i="61"/>
  <c r="C467" i="61"/>
  <c r="B376" i="63"/>
  <c r="E223" i="61"/>
  <c r="D315" i="63"/>
  <c r="B105" i="63"/>
  <c r="C405" i="61"/>
  <c r="A111" i="47"/>
  <c r="D157" i="63"/>
  <c r="E102" i="61"/>
  <c r="C242" i="61"/>
  <c r="B192" i="63"/>
  <c r="B313" i="63"/>
  <c r="C215" i="61"/>
  <c r="E410" i="61"/>
  <c r="D234" i="63"/>
  <c r="B230" i="63"/>
  <c r="C394" i="61"/>
  <c r="D149" i="63"/>
  <c r="E70" i="61"/>
  <c r="C83" i="61"/>
  <c r="B280" i="63"/>
  <c r="E126" i="61"/>
  <c r="D163" i="63"/>
  <c r="E147" i="61"/>
  <c r="D296" i="63"/>
  <c r="B361" i="63"/>
  <c r="C407" i="61"/>
  <c r="E211" i="61"/>
  <c r="D312" i="63"/>
  <c r="C6" i="61"/>
  <c r="B133" i="63"/>
  <c r="E283" i="61"/>
  <c r="D330" i="63"/>
  <c r="A83" i="47"/>
  <c r="C293" i="61"/>
  <c r="B77" i="63"/>
  <c r="B59" i="63"/>
  <c r="A65" i="47"/>
  <c r="C221" i="61"/>
  <c r="E273" i="61"/>
  <c r="D72" i="63"/>
  <c r="E186" i="61"/>
  <c r="D178" i="63"/>
  <c r="B367" i="63"/>
  <c r="C431" i="61"/>
  <c r="D277" i="63"/>
  <c r="E71" i="61"/>
  <c r="B339" i="63"/>
  <c r="C319" i="61"/>
  <c r="E458" i="61"/>
  <c r="D246" i="63"/>
  <c r="C195" i="61"/>
  <c r="B308" i="63"/>
  <c r="C179" i="61"/>
  <c r="B304" i="63"/>
  <c r="A101" i="47"/>
  <c r="C365" i="61"/>
  <c r="B95" i="63"/>
  <c r="D293" i="63"/>
  <c r="E135" i="61"/>
  <c r="E151" i="61"/>
  <c r="D297" i="63"/>
  <c r="D362" i="63"/>
  <c r="E411" i="61"/>
  <c r="A89" i="47"/>
  <c r="B83" i="63"/>
  <c r="C317" i="61"/>
  <c r="E30" i="61"/>
  <c r="D139" i="63"/>
  <c r="D360" i="63"/>
  <c r="E403" i="61"/>
  <c r="B100" i="63"/>
  <c r="C385" i="61"/>
  <c r="A106" i="47"/>
  <c r="G106" i="47" s="1"/>
  <c r="B106" i="47" s="1"/>
  <c r="B243" i="63"/>
  <c r="C446" i="61"/>
  <c r="D119" i="63"/>
  <c r="E461" i="61"/>
  <c r="E26" i="61"/>
  <c r="D138" i="63"/>
  <c r="E374" i="61"/>
  <c r="D225" i="63"/>
  <c r="C481" i="61"/>
  <c r="B124" i="63"/>
  <c r="A130" i="47"/>
  <c r="D381" i="63"/>
  <c r="E487" i="61"/>
  <c r="D285" i="63"/>
  <c r="E103" i="61"/>
  <c r="E134" i="61"/>
  <c r="D165" i="63"/>
  <c r="C217" i="61"/>
  <c r="A64" i="47"/>
  <c r="B58" i="63"/>
  <c r="C171" i="61"/>
  <c r="B302" i="63"/>
  <c r="E263" i="61"/>
  <c r="D325" i="63"/>
  <c r="C118" i="61"/>
  <c r="B161" i="63"/>
  <c r="B223" i="63"/>
  <c r="C366" i="61"/>
  <c r="B265" i="63"/>
  <c r="C23" i="61"/>
  <c r="D57" i="63"/>
  <c r="E213" i="61"/>
  <c r="B147" i="63"/>
  <c r="C62" i="61"/>
  <c r="E386" i="61"/>
  <c r="D228" i="63"/>
  <c r="C473" i="61"/>
  <c r="B122" i="63"/>
  <c r="A128" i="47"/>
  <c r="E50" i="61"/>
  <c r="D144" i="63"/>
  <c r="B364" i="63"/>
  <c r="C419" i="61"/>
  <c r="D239" i="63"/>
  <c r="E430" i="61"/>
  <c r="B321" i="63"/>
  <c r="C247" i="61"/>
  <c r="C194" i="61"/>
  <c r="B180" i="63"/>
  <c r="B269" i="63"/>
  <c r="C39" i="61"/>
  <c r="B305" i="63"/>
  <c r="C183" i="61"/>
  <c r="E269" i="61"/>
  <c r="D71" i="63"/>
  <c r="E301" i="61"/>
  <c r="D79" i="63"/>
  <c r="D86" i="63"/>
  <c r="E329" i="61"/>
  <c r="E413" i="61"/>
  <c r="D107" i="63"/>
  <c r="C218" i="61"/>
  <c r="B186" i="63"/>
  <c r="C359" i="61"/>
  <c r="B349" i="63"/>
  <c r="D379" i="63"/>
  <c r="E479" i="61"/>
  <c r="B109" i="63"/>
  <c r="C421" i="61"/>
  <c r="A115" i="47"/>
  <c r="E206" i="61"/>
  <c r="D183" i="63"/>
  <c r="D172" i="63"/>
  <c r="E162" i="61"/>
  <c r="B209" i="63"/>
  <c r="C310" i="61"/>
  <c r="B87" i="63"/>
  <c r="A93" i="47"/>
  <c r="C333" i="61"/>
  <c r="E87" i="61"/>
  <c r="D281" i="63"/>
  <c r="C353" i="61"/>
  <c r="B92" i="63"/>
  <c r="A98" i="47"/>
  <c r="B264" i="63"/>
  <c r="C19" i="61"/>
  <c r="B377" i="63"/>
  <c r="C471" i="61"/>
  <c r="E506" i="61"/>
  <c r="D258" i="63"/>
  <c r="D90" i="63"/>
  <c r="E345" i="61"/>
  <c r="D353" i="63"/>
  <c r="E375" i="61"/>
  <c r="B316" i="63"/>
  <c r="C227" i="61"/>
  <c r="B221" i="63"/>
  <c r="C358" i="61"/>
  <c r="C330" i="61"/>
  <c r="B214" i="63"/>
  <c r="B292" i="63"/>
  <c r="C131" i="61"/>
  <c r="C243" i="61"/>
  <c r="B320" i="63"/>
  <c r="E441" i="61"/>
  <c r="D114" i="63"/>
  <c r="C146" i="61"/>
  <c r="B168" i="63"/>
  <c r="C318" i="61"/>
  <c r="B211" i="63"/>
  <c r="C351" i="61"/>
  <c r="B347" i="63"/>
  <c r="C286" i="61"/>
  <c r="B203" i="63"/>
  <c r="D187" i="63"/>
  <c r="E222" i="61"/>
  <c r="E509" i="61"/>
  <c r="D131" i="63"/>
  <c r="D117" i="63"/>
  <c r="E453" i="61"/>
  <c r="D363" i="63"/>
  <c r="E415" i="61"/>
  <c r="B116" i="63"/>
  <c r="C449" i="61"/>
  <c r="A122" i="47"/>
  <c r="C302" i="61"/>
  <c r="B207" i="63"/>
  <c r="C138" i="61"/>
  <c r="B166" i="63"/>
  <c r="E82" i="61"/>
  <c r="D152" i="63"/>
  <c r="E442" i="61"/>
  <c r="D242" i="63"/>
  <c r="D338" i="63"/>
  <c r="E315" i="61"/>
  <c r="D369" i="63"/>
  <c r="E439" i="61"/>
  <c r="E67" i="61"/>
  <c r="D276" i="63"/>
  <c r="D106" i="63"/>
  <c r="E409" i="61"/>
  <c r="E454" i="61"/>
  <c r="D245" i="63"/>
  <c r="A72" i="47"/>
  <c r="B66" i="63"/>
  <c r="C249" i="61"/>
  <c r="C437" i="61"/>
  <c r="A119" i="47"/>
  <c r="B113" i="63"/>
  <c r="A107" i="47"/>
  <c r="C389" i="61"/>
  <c r="B101" i="63"/>
  <c r="E22" i="61"/>
  <c r="D137" i="63"/>
  <c r="E257" i="61"/>
  <c r="D68" i="63"/>
  <c r="C235" i="61"/>
  <c r="B318" i="63"/>
  <c r="D210" i="63"/>
  <c r="E314" i="61"/>
  <c r="C447" i="61"/>
  <c r="B371" i="63"/>
  <c r="C279" i="61"/>
  <c r="B329" i="63"/>
  <c r="E495" i="61"/>
  <c r="D383" i="63"/>
  <c r="E486" i="61"/>
  <c r="D253" i="63"/>
  <c r="D159" i="63"/>
  <c r="E110" i="61"/>
  <c r="B171" i="63"/>
  <c r="C158" i="61"/>
  <c r="E258" i="61"/>
  <c r="D196" i="63"/>
  <c r="B202" i="63"/>
  <c r="C282" i="61"/>
  <c r="D303" i="63"/>
  <c r="E175" i="61"/>
  <c r="D93" i="63"/>
  <c r="E357" i="61"/>
  <c r="C379" i="61"/>
  <c r="B354" i="63"/>
  <c r="C295" i="61"/>
  <c r="B333" i="63"/>
  <c r="D291" i="63"/>
  <c r="E127" i="61"/>
  <c r="B173" i="63"/>
  <c r="C166" i="61"/>
  <c r="E142" i="61"/>
  <c r="D167" i="63"/>
  <c r="E262" i="61"/>
  <c r="D197" i="63"/>
  <c r="E337" i="61"/>
  <c r="D88" i="63"/>
  <c r="C387" i="61"/>
  <c r="B356" i="63"/>
  <c r="D227" i="63"/>
  <c r="E382" i="61"/>
  <c r="C98" i="61"/>
  <c r="B156" i="63"/>
  <c r="B56" i="63"/>
  <c r="C209" i="61"/>
  <c r="A62" i="47"/>
  <c r="E490" i="61"/>
  <c r="D254" i="63"/>
  <c r="C181" i="61"/>
  <c r="A55" i="47"/>
  <c r="B49" i="63"/>
  <c r="E265" i="61"/>
  <c r="D70" i="63"/>
  <c r="E309" i="61"/>
  <c r="D81" i="63"/>
  <c r="E347" i="61"/>
  <c r="D346" i="63"/>
  <c r="C111" i="61"/>
  <c r="B287" i="63"/>
  <c r="E251" i="61"/>
  <c r="D322" i="63"/>
  <c r="D184" i="63"/>
  <c r="E210" i="61"/>
  <c r="E197" i="61"/>
  <c r="D53" i="63"/>
  <c r="E303" i="61"/>
  <c r="D335" i="63"/>
  <c r="C119" i="61"/>
  <c r="B289" i="63"/>
  <c r="B216" i="63"/>
  <c r="C338" i="61"/>
  <c r="B375" i="63"/>
  <c r="C463" i="61"/>
  <c r="B310" i="63"/>
  <c r="C203" i="61"/>
  <c r="D123" i="63"/>
  <c r="E477" i="61"/>
  <c r="D185" i="63"/>
  <c r="E214" i="61"/>
  <c r="E219" i="61"/>
  <c r="D314" i="63"/>
  <c r="D301" i="63"/>
  <c r="E167" i="61"/>
  <c r="B358" i="63"/>
  <c r="C395" i="61"/>
  <c r="E187" i="61"/>
  <c r="D306" i="63"/>
  <c r="C331" i="61"/>
  <c r="B342" i="63"/>
  <c r="B359" i="63"/>
  <c r="C399" i="61"/>
  <c r="E177" i="61"/>
  <c r="D48" i="63"/>
  <c r="E250" i="61"/>
  <c r="D194" i="63"/>
  <c r="D128" i="63"/>
  <c r="E497" i="61"/>
  <c r="C173" i="61"/>
  <c r="B47" i="63"/>
  <c r="A53" i="47"/>
  <c r="C59" i="61"/>
  <c r="B274" i="63"/>
  <c r="C234" i="61"/>
  <c r="B190" i="63"/>
  <c r="E241" i="61"/>
  <c r="D64" i="63"/>
  <c r="B299" i="63"/>
  <c r="C159" i="61"/>
  <c r="D102" i="63"/>
  <c r="E393" i="61"/>
  <c r="C79" i="61"/>
  <c r="B279" i="63"/>
  <c r="E229" i="61"/>
  <c r="D61" i="63"/>
  <c r="B247" i="63"/>
  <c r="C462" i="61"/>
  <c r="E10" i="61"/>
  <c r="D134" i="63"/>
  <c r="C51" i="61"/>
  <c r="B272" i="63"/>
  <c r="C514" i="61"/>
  <c r="B260" i="63"/>
  <c r="D151" i="63"/>
  <c r="E78" i="61"/>
  <c r="B97" i="63"/>
  <c r="C373" i="61"/>
  <c r="A103" i="47"/>
  <c r="D55" i="63"/>
  <c r="E205" i="61"/>
  <c r="B388" i="63"/>
  <c r="C515" i="61"/>
  <c r="B233" i="63"/>
  <c r="C406" i="61"/>
  <c r="C346" i="61"/>
  <c r="B218" i="63"/>
  <c r="C163" i="61"/>
  <c r="B300" i="63"/>
  <c r="B142" i="63"/>
  <c r="C42" i="61"/>
  <c r="E401" i="61"/>
  <c r="D104" i="63"/>
  <c r="C74" i="61"/>
  <c r="B150" i="63"/>
  <c r="E451" i="61"/>
  <c r="D372" i="63"/>
  <c r="D343" i="63"/>
  <c r="E335" i="61"/>
  <c r="D340" i="63"/>
  <c r="E323" i="61"/>
  <c r="C474" i="61"/>
  <c r="B250" i="63"/>
  <c r="C370" i="61"/>
  <c r="B224" i="63"/>
  <c r="B328" i="63"/>
  <c r="C275" i="61"/>
  <c r="B215" i="63"/>
  <c r="C334" i="61"/>
  <c r="C493" i="61"/>
  <c r="A133" i="47"/>
  <c r="B127" i="63"/>
  <c r="A136" i="47"/>
  <c r="B130" i="63"/>
  <c r="C505" i="61"/>
  <c r="E326" i="61"/>
  <c r="D213" i="63"/>
  <c r="E193" i="61"/>
  <c r="D52" i="63"/>
  <c r="D200" i="63"/>
  <c r="E274" i="61"/>
  <c r="D282" i="63"/>
  <c r="E91" i="61"/>
  <c r="D82" i="63"/>
  <c r="E313" i="61"/>
  <c r="D80" i="63"/>
  <c r="E305" i="61"/>
  <c r="B222" i="63"/>
  <c r="C362" i="61"/>
  <c r="C355" i="61"/>
  <c r="B348" i="63"/>
  <c r="E11" i="61"/>
  <c r="D262" i="63"/>
  <c r="C499" i="61"/>
  <c r="B384" i="63"/>
  <c r="D98" i="63"/>
  <c r="E377" i="61"/>
  <c r="B187" i="63"/>
  <c r="C222" i="61"/>
  <c r="B131" i="63"/>
  <c r="C509" i="61"/>
  <c r="A137" i="47"/>
  <c r="C469" i="61"/>
  <c r="B121" i="63"/>
  <c r="A127" i="47"/>
  <c r="D116" i="63"/>
  <c r="E449" i="61"/>
  <c r="A90" i="47"/>
  <c r="C321" i="61"/>
  <c r="B84" i="63"/>
  <c r="E158" i="61"/>
  <c r="D171" i="63"/>
  <c r="B93" i="63"/>
  <c r="C357" i="61"/>
  <c r="A99" i="47"/>
  <c r="E489" i="61"/>
  <c r="D126" i="63"/>
  <c r="D56" i="63"/>
  <c r="E209" i="61"/>
  <c r="D181" i="63"/>
  <c r="E198" i="61"/>
  <c r="B174" i="63"/>
  <c r="C170" i="61"/>
  <c r="D323" i="63"/>
  <c r="E255" i="61"/>
  <c r="B219" i="63"/>
  <c r="C350" i="61"/>
  <c r="E90" i="61"/>
  <c r="D154" i="63"/>
  <c r="E173" i="61"/>
  <c r="D47" i="63"/>
  <c r="A79" i="47"/>
  <c r="B73" i="63"/>
  <c r="C277" i="61"/>
  <c r="E406" i="61"/>
  <c r="D233" i="63"/>
  <c r="D307" i="63"/>
  <c r="E191" i="61"/>
  <c r="C343" i="61"/>
  <c r="B345" i="63"/>
  <c r="D132" i="63"/>
  <c r="E513" i="61"/>
  <c r="C207" i="61"/>
  <c r="B311" i="63"/>
  <c r="C491" i="61"/>
  <c r="B382" i="63"/>
  <c r="C225" i="61"/>
  <c r="A66" i="47"/>
  <c r="B60" i="63"/>
  <c r="B96" i="63"/>
  <c r="A102" i="47"/>
  <c r="C369" i="61"/>
  <c r="E106" i="61"/>
  <c r="D158" i="63"/>
  <c r="E202" i="61"/>
  <c r="D182" i="63"/>
  <c r="B352" i="63"/>
  <c r="C371" i="61"/>
  <c r="D337" i="63"/>
  <c r="E311" i="61"/>
  <c r="D350" i="63"/>
  <c r="E363" i="61"/>
  <c r="B309" i="63"/>
  <c r="C199" i="61"/>
  <c r="C237" i="61"/>
  <c r="A69" i="47"/>
  <c r="B63" i="63"/>
  <c r="E469" i="61"/>
  <c r="D121" i="63"/>
  <c r="C155" i="61"/>
  <c r="B298" i="63"/>
  <c r="E297" i="61"/>
  <c r="D78" i="63"/>
  <c r="E201" i="61"/>
  <c r="D54" i="63"/>
  <c r="E35" i="61"/>
  <c r="D268" i="63"/>
  <c r="B164" i="63"/>
  <c r="C130" i="61"/>
  <c r="A57" i="47"/>
  <c r="B51" i="63"/>
  <c r="C189" i="61"/>
  <c r="E289" i="61"/>
  <c r="D76" i="63"/>
  <c r="D263" i="63"/>
  <c r="E15" i="61"/>
  <c r="C294" i="61"/>
  <c r="B205" i="63"/>
  <c r="E475" i="61"/>
  <c r="D378" i="63"/>
  <c r="D177" i="63"/>
  <c r="E182" i="61"/>
  <c r="C291" i="61"/>
  <c r="B332" i="63"/>
  <c r="E299" i="61"/>
  <c r="D334" i="63"/>
  <c r="D249" i="63"/>
  <c r="E470" i="61"/>
  <c r="E321" i="61"/>
  <c r="D84" i="63"/>
  <c r="E47" i="61"/>
  <c r="D271" i="63"/>
  <c r="B191" i="63"/>
  <c r="C238" i="61"/>
  <c r="E459" i="61"/>
  <c r="D374" i="63"/>
  <c r="B370" i="63"/>
  <c r="C443" i="61"/>
  <c r="D195" i="63"/>
  <c r="E254" i="61"/>
  <c r="D327" i="63"/>
  <c r="E271" i="61"/>
  <c r="D143" i="63"/>
  <c r="E46" i="61"/>
  <c r="E7" i="61"/>
  <c r="D261" i="63"/>
  <c r="D380" i="63"/>
  <c r="E483" i="61"/>
  <c r="D255" i="63"/>
  <c r="E494" i="61"/>
  <c r="E417" i="61"/>
  <c r="D108" i="63"/>
  <c r="C66" i="61"/>
  <c r="B148" i="63"/>
  <c r="B126" i="63"/>
  <c r="A132" i="47"/>
  <c r="C489" i="61"/>
  <c r="D386" i="63"/>
  <c r="E507" i="61"/>
  <c r="C325" i="61"/>
  <c r="A91" i="47"/>
  <c r="B85" i="63"/>
  <c r="D387" i="63"/>
  <c r="E511" i="61"/>
  <c r="C27" i="61"/>
  <c r="B266" i="63"/>
  <c r="C38" i="61"/>
  <c r="B141" i="63"/>
  <c r="A131" i="47"/>
  <c r="B125" i="63"/>
  <c r="C485" i="61"/>
  <c r="D160" i="63"/>
  <c r="E114" i="61"/>
  <c r="B236" i="63"/>
  <c r="C418" i="61"/>
  <c r="C54" i="61"/>
  <c r="B145" i="63"/>
  <c r="D204" i="63"/>
  <c r="E290" i="61"/>
  <c r="B252" i="63"/>
  <c r="C482" i="61"/>
  <c r="B357" i="63"/>
  <c r="C391" i="61"/>
  <c r="D373" i="63"/>
  <c r="E455" i="61"/>
  <c r="B181" i="63"/>
  <c r="C198" i="61"/>
  <c r="A117" i="47"/>
  <c r="B111" i="63"/>
  <c r="C429" i="61"/>
  <c r="B231" i="63"/>
  <c r="C398" i="61"/>
  <c r="E307" i="61"/>
  <c r="D336" i="63"/>
  <c r="C342" i="61"/>
  <c r="B217" i="63"/>
  <c r="D317" i="63"/>
  <c r="E231" i="61"/>
  <c r="C122" i="61"/>
  <c r="B162" i="63"/>
  <c r="C107" i="61"/>
  <c r="B286" i="63"/>
  <c r="D174" i="63"/>
  <c r="E170" i="61"/>
  <c r="B323" i="63"/>
  <c r="C255" i="61"/>
  <c r="D219" i="63"/>
  <c r="E350" i="61"/>
  <c r="C90" i="61"/>
  <c r="B154" i="63"/>
  <c r="E510" i="61"/>
  <c r="D259" i="63"/>
  <c r="C95" i="61"/>
  <c r="B283" i="63"/>
  <c r="D201" i="63"/>
  <c r="E278" i="61"/>
  <c r="C267" i="61"/>
  <c r="B326" i="63"/>
  <c r="E445" i="61"/>
  <c r="D115" i="63"/>
  <c r="D179" i="63"/>
  <c r="E190" i="61"/>
  <c r="E397" i="61"/>
  <c r="D103" i="63"/>
  <c r="C422" i="61"/>
  <c r="B237" i="63"/>
  <c r="E43" i="61"/>
  <c r="D270" i="63"/>
  <c r="C383" i="61"/>
  <c r="B355" i="63"/>
  <c r="D91" i="63"/>
  <c r="E349" i="61"/>
  <c r="E361" i="61"/>
  <c r="D94" i="63"/>
  <c r="E287" i="61"/>
  <c r="D331" i="63"/>
  <c r="C478" i="61"/>
  <c r="B251" i="63"/>
  <c r="E503" i="61"/>
  <c r="D385" i="63"/>
  <c r="D238" i="63"/>
  <c r="E426" i="61"/>
  <c r="C99" i="61"/>
  <c r="B284" i="63"/>
  <c r="B75" i="63"/>
  <c r="A81" i="47"/>
  <c r="C285" i="61"/>
  <c r="C94" i="61"/>
  <c r="B155" i="63"/>
  <c r="D73" i="63"/>
  <c r="E277" i="61"/>
  <c r="C259" i="61"/>
  <c r="B324" i="63"/>
  <c r="E154" i="61"/>
  <c r="D170" i="63"/>
  <c r="E498" i="61"/>
  <c r="D256" i="63"/>
  <c r="E327" i="61"/>
  <c r="D341" i="63"/>
  <c r="C34" i="61"/>
  <c r="B140" i="63"/>
  <c r="D135" i="63"/>
  <c r="E14" i="61"/>
  <c r="B220" i="63"/>
  <c r="C354" i="61"/>
  <c r="D169" i="63"/>
  <c r="E150" i="61"/>
  <c r="B365" i="63"/>
  <c r="C423" i="61"/>
  <c r="D50" i="63"/>
  <c r="E185" i="61"/>
  <c r="C58" i="61"/>
  <c r="B146" i="63"/>
  <c r="D288" i="63"/>
  <c r="E115" i="61"/>
  <c r="C246" i="61"/>
  <c r="B193" i="63"/>
  <c r="C367" i="61"/>
  <c r="B351" i="63"/>
  <c r="D120" i="63"/>
  <c r="E465" i="61"/>
  <c r="A95" i="47"/>
  <c r="C341" i="61"/>
  <c r="B89" i="63"/>
  <c r="D110" i="63"/>
  <c r="E425" i="61"/>
  <c r="B295" i="63"/>
  <c r="C143" i="61"/>
  <c r="A80" i="47"/>
  <c r="C281" i="61"/>
  <c r="B74" i="63"/>
  <c r="C457" i="61"/>
  <c r="B118" i="63"/>
  <c r="A124" i="47"/>
  <c r="D175" i="63"/>
  <c r="E174" i="61"/>
  <c r="C191" i="61"/>
  <c r="B307" i="63"/>
  <c r="B278" i="63"/>
  <c r="C75" i="61"/>
  <c r="E230" i="61"/>
  <c r="D189" i="63"/>
  <c r="D244" i="63"/>
  <c r="E450" i="61"/>
  <c r="E226" i="61"/>
  <c r="D188" i="63"/>
  <c r="C245" i="61"/>
  <c r="A71" i="47"/>
  <c r="B65" i="63"/>
  <c r="D206" i="63"/>
  <c r="E298" i="61"/>
  <c r="D294" i="63"/>
  <c r="E139" i="61"/>
  <c r="B240" i="63"/>
  <c r="C434" i="61"/>
  <c r="C435" i="61"/>
  <c r="B368" i="63"/>
  <c r="D235" i="63"/>
  <c r="E414" i="61"/>
  <c r="C31" i="61"/>
  <c r="B267" i="63"/>
  <c r="D229" i="63"/>
  <c r="E390" i="61"/>
  <c r="C86" i="61"/>
  <c r="B153" i="63"/>
  <c r="D345" i="63"/>
  <c r="E343" i="61"/>
  <c r="C438" i="61"/>
  <c r="B241" i="63"/>
  <c r="B290" i="63"/>
  <c r="C123" i="61"/>
  <c r="D226" i="63"/>
  <c r="E378" i="61"/>
  <c r="A138" i="47"/>
  <c r="C513" i="61"/>
  <c r="B132" i="63"/>
  <c r="C433" i="61"/>
  <c r="A118" i="47"/>
  <c r="B112" i="63"/>
  <c r="B198" i="63"/>
  <c r="C266" i="61"/>
  <c r="C339" i="61"/>
  <c r="B344" i="63"/>
  <c r="B67" i="63"/>
  <c r="C253" i="61"/>
  <c r="A73" i="47"/>
  <c r="E317" i="61"/>
  <c r="D83" i="63"/>
  <c r="D376" i="63"/>
  <c r="E467" i="61"/>
  <c r="E306" i="61"/>
  <c r="D208" i="63"/>
  <c r="A125" i="47"/>
  <c r="G125" i="47" s="1"/>
  <c r="B125" i="47" s="1"/>
  <c r="C461" i="61"/>
  <c r="B119" i="63"/>
  <c r="B315" i="63"/>
  <c r="C223" i="61"/>
  <c r="E405" i="61"/>
  <c r="D105" i="63"/>
  <c r="C487" i="61"/>
  <c r="B381" i="63"/>
  <c r="C134" i="61"/>
  <c r="B165" i="63"/>
  <c r="D58" i="63"/>
  <c r="E217" i="61"/>
  <c r="E247" i="61"/>
  <c r="D321" i="63"/>
  <c r="E39" i="61"/>
  <c r="D269" i="63"/>
  <c r="B99" i="63"/>
  <c r="C381" i="61"/>
  <c r="A105" i="47"/>
  <c r="D77" i="63"/>
  <c r="E293" i="61"/>
  <c r="B183" i="63"/>
  <c r="C206" i="61"/>
  <c r="B72" i="63"/>
  <c r="A78" i="47"/>
  <c r="C273" i="61"/>
  <c r="E353" i="61"/>
  <c r="D92" i="63"/>
  <c r="B353" i="63"/>
  <c r="C375" i="61"/>
  <c r="E319" i="61"/>
  <c r="D339" i="63"/>
  <c r="D309" i="63"/>
  <c r="E199" i="61"/>
  <c r="E146" i="61"/>
  <c r="D168" i="63"/>
  <c r="D211" i="63"/>
  <c r="E318" i="61"/>
  <c r="B363" i="63"/>
  <c r="C415" i="61"/>
  <c r="A60" i="47"/>
  <c r="B54" i="63"/>
  <c r="C201" i="61"/>
  <c r="C454" i="61"/>
  <c r="B245" i="63"/>
  <c r="D66" i="63"/>
  <c r="E249" i="61"/>
  <c r="C470" i="61"/>
  <c r="B249" i="63"/>
  <c r="D329" i="63"/>
  <c r="E279" i="61"/>
  <c r="B383" i="63"/>
  <c r="C495" i="61"/>
  <c r="C486" i="61"/>
  <c r="B253" i="63"/>
  <c r="C110" i="61"/>
  <c r="B159" i="63"/>
  <c r="C258" i="61"/>
  <c r="B196" i="63"/>
  <c r="D202" i="63"/>
  <c r="E282" i="61"/>
  <c r="D156" i="63"/>
  <c r="E98" i="61"/>
  <c r="D266" i="63"/>
  <c r="E27" i="61"/>
  <c r="D125" i="63"/>
  <c r="E485" i="61"/>
  <c r="A76" i="47"/>
  <c r="C265" i="61"/>
  <c r="B70" i="63"/>
  <c r="D145" i="63"/>
  <c r="E54" i="61"/>
  <c r="B204" i="63"/>
  <c r="C290" i="61"/>
  <c r="D252" i="63"/>
  <c r="E482" i="61"/>
  <c r="C455" i="61"/>
  <c r="B373" i="63"/>
  <c r="D287" i="63"/>
  <c r="E111" i="61"/>
  <c r="C251" i="61"/>
  <c r="B322" i="63"/>
  <c r="C210" i="61"/>
  <c r="B184" i="63"/>
  <c r="B123" i="63"/>
  <c r="A129" i="47"/>
  <c r="C477" i="61"/>
  <c r="D286" i="63"/>
  <c r="E107" i="61"/>
  <c r="E95" i="61"/>
  <c r="D283" i="63"/>
  <c r="C278" i="61"/>
  <c r="B201" i="63"/>
  <c r="D326" i="63"/>
  <c r="E267" i="61"/>
  <c r="B115" i="63"/>
  <c r="A121" i="47"/>
  <c r="C445" i="61"/>
  <c r="B94" i="63"/>
  <c r="C361" i="61"/>
  <c r="A100" i="47"/>
  <c r="B135" i="63"/>
  <c r="C14" i="61"/>
  <c r="D220" i="63"/>
  <c r="E354" i="61"/>
  <c r="D97" i="63"/>
  <c r="E373" i="61"/>
  <c r="E346" i="61"/>
  <c r="D218" i="63"/>
  <c r="B175" i="63"/>
  <c r="C174" i="61"/>
  <c r="C298" i="61"/>
  <c r="B206" i="63"/>
  <c r="B294" i="63"/>
  <c r="C139" i="61"/>
  <c r="E434" i="61"/>
  <c r="D240" i="63"/>
  <c r="D368" i="63"/>
  <c r="E435" i="61"/>
  <c r="E31" i="61"/>
  <c r="D267" i="63"/>
  <c r="D290" i="63"/>
  <c r="E123" i="61"/>
  <c r="C378" i="61"/>
  <c r="B226" i="63"/>
  <c r="B80" i="63"/>
  <c r="A86" i="47"/>
  <c r="C305" i="61"/>
  <c r="B208" i="63"/>
  <c r="C306" i="61"/>
  <c r="B273" i="63"/>
  <c r="C55" i="61"/>
  <c r="D62" i="63"/>
  <c r="E233" i="61"/>
  <c r="C178" i="61"/>
  <c r="B176" i="63"/>
  <c r="D257" i="63"/>
  <c r="E502" i="61"/>
  <c r="D136" i="63"/>
  <c r="E18" i="61"/>
  <c r="B129" i="63"/>
  <c r="A135" i="47"/>
  <c r="C501" i="61"/>
  <c r="D366" i="63"/>
  <c r="E427" i="61"/>
  <c r="B199" i="63"/>
  <c r="C270" i="61"/>
  <c r="D99" i="63"/>
  <c r="E381" i="61"/>
  <c r="B319" i="63"/>
  <c r="C239" i="61"/>
  <c r="E402" i="61"/>
  <c r="D232" i="63"/>
  <c r="D69" i="63"/>
  <c r="E261" i="61"/>
  <c r="D248" i="63"/>
  <c r="E466" i="61"/>
  <c r="C322" i="61"/>
  <c r="B212" i="63"/>
  <c r="B275" i="63"/>
  <c r="C63" i="61"/>
  <c r="D311" i="63"/>
  <c r="E207" i="61"/>
  <c r="C30" i="61"/>
  <c r="B139" i="63"/>
  <c r="C403" i="61"/>
  <c r="B360" i="63"/>
  <c r="E385" i="61"/>
  <c r="D100" i="63"/>
  <c r="C102" i="61"/>
  <c r="B157" i="63"/>
  <c r="E242" i="61"/>
  <c r="D192" i="63"/>
  <c r="D382" i="63"/>
  <c r="E491" i="61"/>
  <c r="E215" i="61"/>
  <c r="D313" i="63"/>
  <c r="B138" i="63"/>
  <c r="C26" i="61"/>
  <c r="C374" i="61"/>
  <c r="B225" i="63"/>
  <c r="E481" i="61"/>
  <c r="D124" i="63"/>
  <c r="D273" i="63"/>
  <c r="E55" i="61"/>
  <c r="B62" i="63"/>
  <c r="A68" i="47"/>
  <c r="C233" i="61"/>
  <c r="D302" i="63"/>
  <c r="E171" i="61"/>
  <c r="C263" i="61"/>
  <c r="B325" i="63"/>
  <c r="E118" i="61"/>
  <c r="D161" i="63"/>
  <c r="D223" i="63"/>
  <c r="E366" i="61"/>
  <c r="D265" i="63"/>
  <c r="E23" i="61"/>
  <c r="C213" i="61"/>
  <c r="A63" i="47"/>
  <c r="B57" i="63"/>
  <c r="C18" i="61"/>
  <c r="B136" i="63"/>
  <c r="B163" i="63"/>
  <c r="C126" i="61"/>
  <c r="B296" i="63"/>
  <c r="C147" i="61"/>
  <c r="E369" i="61"/>
  <c r="D96" i="63"/>
  <c r="C50" i="61"/>
  <c r="B144" i="63"/>
  <c r="E419" i="61"/>
  <c r="D364" i="63"/>
  <c r="B239" i="63"/>
  <c r="C430" i="61"/>
  <c r="C106" i="61"/>
  <c r="B158" i="63"/>
  <c r="B182" i="63"/>
  <c r="C202" i="61"/>
  <c r="C427" i="61"/>
  <c r="B366" i="63"/>
  <c r="B71" i="63"/>
  <c r="A77" i="47"/>
  <c r="C269" i="61"/>
  <c r="D361" i="63"/>
  <c r="E407" i="61"/>
  <c r="C329" i="61"/>
  <c r="A92" i="47"/>
  <c r="B86" i="63"/>
  <c r="D59" i="63"/>
  <c r="E221" i="61"/>
  <c r="E218" i="61"/>
  <c r="D186" i="63"/>
  <c r="D349" i="63"/>
  <c r="E359" i="61"/>
  <c r="C479" i="61"/>
  <c r="B379" i="63"/>
  <c r="D109" i="63"/>
  <c r="E421" i="61"/>
  <c r="C402" i="61"/>
  <c r="B232" i="63"/>
  <c r="B178" i="63"/>
  <c r="C186" i="61"/>
  <c r="E431" i="61"/>
  <c r="D367" i="63"/>
  <c r="B277" i="63"/>
  <c r="C71" i="61"/>
  <c r="B281" i="63"/>
  <c r="C87" i="61"/>
  <c r="C261" i="61"/>
  <c r="A75" i="47"/>
  <c r="B69" i="63"/>
  <c r="E19" i="61"/>
  <c r="D264" i="63"/>
  <c r="E471" i="61"/>
  <c r="D377" i="63"/>
  <c r="B258" i="63"/>
  <c r="C506" i="61"/>
  <c r="A96" i="47"/>
  <c r="G96" i="47" s="1"/>
  <c r="B96" i="47" s="1"/>
  <c r="C345" i="61"/>
  <c r="B90" i="63"/>
  <c r="D212" i="63"/>
  <c r="E322" i="61"/>
  <c r="D304" i="63"/>
  <c r="E179" i="61"/>
  <c r="D275" i="63"/>
  <c r="E63" i="61"/>
  <c r="E365" i="61"/>
  <c r="D95" i="63"/>
  <c r="E227" i="61"/>
  <c r="D316" i="63"/>
  <c r="D221" i="63"/>
  <c r="E358" i="61"/>
  <c r="D214" i="63"/>
  <c r="E330" i="61"/>
  <c r="D292" i="63"/>
  <c r="E131" i="61"/>
  <c r="D320" i="63"/>
  <c r="E243" i="61"/>
  <c r="A120" i="47"/>
  <c r="C441" i="61"/>
  <c r="B114" i="63"/>
  <c r="E155" i="61"/>
  <c r="D298" i="63"/>
  <c r="C297" i="61"/>
  <c r="A84" i="47"/>
  <c r="B78" i="63"/>
  <c r="A123" i="47"/>
  <c r="C453" i="61"/>
  <c r="B117" i="63"/>
  <c r="B268" i="63"/>
  <c r="C35" i="61"/>
  <c r="E130" i="61"/>
  <c r="D164" i="63"/>
  <c r="E189" i="61"/>
  <c r="D51" i="63"/>
  <c r="E302" i="61"/>
  <c r="D207" i="63"/>
  <c r="D166" i="63"/>
  <c r="E138" i="61"/>
  <c r="C82" i="61"/>
  <c r="B152" i="63"/>
  <c r="C442" i="61"/>
  <c r="B242" i="63"/>
  <c r="B338" i="63"/>
  <c r="C315" i="61"/>
  <c r="C439" i="61"/>
  <c r="B369" i="63"/>
  <c r="C67" i="61"/>
  <c r="B276" i="63"/>
  <c r="A112" i="47"/>
  <c r="C409" i="61"/>
  <c r="B106" i="63"/>
  <c r="B263" i="63"/>
  <c r="C15" i="61"/>
  <c r="D205" i="63"/>
  <c r="E294" i="61"/>
  <c r="B378" i="63"/>
  <c r="C475" i="61"/>
  <c r="E437" i="61"/>
  <c r="D113" i="63"/>
  <c r="B137" i="63"/>
  <c r="C22" i="61"/>
  <c r="C257" i="61"/>
  <c r="A74" i="47"/>
  <c r="B68" i="63"/>
  <c r="D191" i="63"/>
  <c r="E238" i="61"/>
  <c r="C459" i="61"/>
  <c r="B374" i="63"/>
  <c r="D370" i="63"/>
  <c r="E443" i="61"/>
  <c r="B195" i="63"/>
  <c r="C254" i="61"/>
  <c r="C314" i="61"/>
  <c r="B210" i="63"/>
  <c r="E447" i="61"/>
  <c r="D371" i="63"/>
  <c r="C271" i="61"/>
  <c r="B327" i="63"/>
  <c r="B143" i="63"/>
  <c r="C46" i="61"/>
  <c r="C7" i="61"/>
  <c r="B261" i="63"/>
  <c r="C483" i="61"/>
  <c r="B380" i="63"/>
  <c r="C494" i="61"/>
  <c r="B255" i="63"/>
  <c r="B108" i="63"/>
  <c r="C417" i="61"/>
  <c r="A114" i="47"/>
  <c r="C507" i="61"/>
  <c r="B386" i="63"/>
  <c r="D85" i="63"/>
  <c r="E325" i="61"/>
  <c r="D354" i="63"/>
  <c r="E379" i="61"/>
  <c r="E295" i="61"/>
  <c r="D333" i="63"/>
  <c r="C127" i="61"/>
  <c r="B291" i="63"/>
  <c r="D173" i="63"/>
  <c r="E166" i="61"/>
  <c r="C142" i="61"/>
  <c r="B167" i="63"/>
  <c r="C262" i="61"/>
  <c r="B197" i="63"/>
  <c r="B88" i="63"/>
  <c r="A94" i="47"/>
  <c r="C337" i="61"/>
  <c r="C114" i="61"/>
  <c r="B160" i="63"/>
  <c r="E418" i="61"/>
  <c r="D236" i="63"/>
  <c r="B254" i="63"/>
  <c r="C490" i="61"/>
  <c r="D49" i="63"/>
  <c r="E181" i="61"/>
  <c r="D231" i="63"/>
  <c r="E398" i="61"/>
  <c r="A87" i="47"/>
  <c r="G87" i="47" s="1"/>
  <c r="B87" i="47" s="1"/>
  <c r="C309" i="61"/>
  <c r="B81" i="63"/>
  <c r="B335" i="63"/>
  <c r="C303" i="61"/>
  <c r="B179" i="63"/>
  <c r="C190" i="61"/>
  <c r="B185" i="63"/>
  <c r="C214" i="61"/>
  <c r="B314" i="63"/>
  <c r="C219" i="61"/>
  <c r="B301" i="63"/>
  <c r="C167" i="61"/>
  <c r="D358" i="63"/>
  <c r="E395" i="61"/>
  <c r="C187" i="61"/>
  <c r="B306" i="63"/>
  <c r="D342" i="63"/>
  <c r="E331" i="61"/>
  <c r="E399" i="61"/>
  <c r="D359" i="63"/>
  <c r="A54" i="47"/>
  <c r="B48" i="63"/>
  <c r="C177" i="61"/>
  <c r="E422" i="61"/>
  <c r="D237" i="63"/>
  <c r="B270" i="63"/>
  <c r="C43" i="61"/>
  <c r="E383" i="61"/>
  <c r="D355" i="63"/>
  <c r="C349" i="61"/>
  <c r="B91" i="63"/>
  <c r="A97" i="47"/>
  <c r="B128" i="63"/>
  <c r="C497" i="61"/>
  <c r="A134" i="47"/>
  <c r="B331" i="63"/>
  <c r="C287" i="61"/>
  <c r="D251" i="63"/>
  <c r="E478" i="61"/>
  <c r="B385" i="63"/>
  <c r="C503" i="61"/>
  <c r="B238" i="63"/>
  <c r="C426" i="61"/>
  <c r="D284" i="63"/>
  <c r="E99" i="61"/>
  <c r="D75" i="63"/>
  <c r="E285" i="61"/>
  <c r="D274" i="63"/>
  <c r="E59" i="61"/>
  <c r="D190" i="63"/>
  <c r="E234" i="61"/>
  <c r="A70" i="47"/>
  <c r="B64" i="63"/>
  <c r="C241" i="61"/>
  <c r="D324" i="63"/>
  <c r="E259" i="61"/>
  <c r="B170" i="63"/>
  <c r="C154" i="61"/>
  <c r="B256" i="63"/>
  <c r="C498" i="61"/>
  <c r="B341" i="63"/>
  <c r="C327" i="61"/>
  <c r="D140" i="63"/>
  <c r="E34" i="61"/>
  <c r="E79" i="61"/>
  <c r="D279" i="63"/>
  <c r="A67" i="47"/>
  <c r="C229" i="61"/>
  <c r="B61" i="63"/>
  <c r="C150" i="61"/>
  <c r="B169" i="63"/>
  <c r="E423" i="61"/>
  <c r="D365" i="63"/>
  <c r="E462" i="61"/>
  <c r="D247" i="63"/>
  <c r="C10" i="61"/>
  <c r="B134" i="63"/>
  <c r="E51" i="61"/>
  <c r="D272" i="63"/>
  <c r="D260" i="63"/>
  <c r="E514" i="61"/>
  <c r="B151" i="63"/>
  <c r="C78" i="61"/>
  <c r="D146" i="63"/>
  <c r="E58" i="61"/>
  <c r="C115" i="61"/>
  <c r="B288" i="63"/>
  <c r="E246" i="61"/>
  <c r="D193" i="63"/>
  <c r="D351" i="63"/>
  <c r="E367" i="61"/>
  <c r="A126" i="47"/>
  <c r="B120" i="63"/>
  <c r="C465" i="61"/>
  <c r="A61" i="47"/>
  <c r="C205" i="61"/>
  <c r="B55" i="63"/>
  <c r="B110" i="63"/>
  <c r="A116" i="47"/>
  <c r="C425" i="61"/>
  <c r="A110" i="47"/>
  <c r="C401" i="61"/>
  <c r="B104" i="63"/>
  <c r="D118" i="63"/>
  <c r="E457" i="61"/>
  <c r="D224" i="63"/>
  <c r="E370" i="61"/>
  <c r="D328" i="63"/>
  <c r="E275" i="61"/>
  <c r="E334" i="61"/>
  <c r="D215" i="63"/>
  <c r="D127" i="63"/>
  <c r="E493" i="61"/>
  <c r="D278" i="63"/>
  <c r="E75" i="61"/>
  <c r="C230" i="61"/>
  <c r="B189" i="63"/>
  <c r="B244" i="63"/>
  <c r="C450" i="61"/>
  <c r="B188" i="63"/>
  <c r="C226" i="61"/>
  <c r="D65" i="63"/>
  <c r="E245" i="61"/>
  <c r="D130" i="63"/>
  <c r="E505" i="61"/>
  <c r="E433" i="61"/>
  <c r="D112" i="63"/>
  <c r="B200" i="63"/>
  <c r="C274" i="61"/>
  <c r="C91" i="61"/>
  <c r="B282" i="63"/>
  <c r="B82" i="63"/>
  <c r="A88" i="47"/>
  <c r="C313" i="61"/>
  <c r="E339" i="61"/>
  <c r="D344" i="63"/>
  <c r="D67" i="63"/>
  <c r="E253" i="61"/>
  <c r="D222" i="63"/>
  <c r="E362" i="61"/>
  <c r="D348" i="63"/>
  <c r="E355" i="61"/>
  <c r="B262" i="63"/>
  <c r="C11" i="61"/>
  <c r="D384" i="63"/>
  <c r="E499" i="61"/>
  <c r="B98" i="63"/>
  <c r="A104" i="47"/>
  <c r="C377" i="61"/>
  <c r="B505" i="63"/>
  <c r="C472" i="61"/>
  <c r="C505" i="63"/>
  <c r="D472" i="61"/>
  <c r="B495" i="63"/>
  <c r="C432" i="61"/>
  <c r="D76" i="61"/>
  <c r="C406" i="63"/>
  <c r="C225" i="63"/>
  <c r="D374" i="61"/>
  <c r="D481" i="61"/>
  <c r="C124" i="63"/>
  <c r="C500" i="61"/>
  <c r="B512" i="63"/>
  <c r="E113" i="61"/>
  <c r="D32" i="63"/>
  <c r="C302" i="63"/>
  <c r="D171" i="61"/>
  <c r="D263" i="61"/>
  <c r="C325" i="63"/>
  <c r="B504" i="63"/>
  <c r="C468" i="61"/>
  <c r="C223" i="63"/>
  <c r="D366" i="61"/>
  <c r="E57" i="63"/>
  <c r="E63" i="47"/>
  <c r="C147" i="63"/>
  <c r="D62" i="61"/>
  <c r="E256" i="61"/>
  <c r="D451" i="63"/>
  <c r="C451" i="63"/>
  <c r="D256" i="61"/>
  <c r="B489" i="63"/>
  <c r="C408" i="61"/>
  <c r="E60" i="63"/>
  <c r="E66" i="47"/>
  <c r="C60" i="63"/>
  <c r="D225" i="61"/>
  <c r="B434" i="63"/>
  <c r="C188" i="61"/>
  <c r="C96" i="63"/>
  <c r="D369" i="61"/>
  <c r="D50" i="61"/>
  <c r="C144" i="63"/>
  <c r="C48" i="61"/>
  <c r="B399" i="63"/>
  <c r="C416" i="63"/>
  <c r="D116" i="61"/>
  <c r="D501" i="61"/>
  <c r="C129" i="63"/>
  <c r="C448" i="61"/>
  <c r="B499" i="63"/>
  <c r="C71" i="63"/>
  <c r="D269" i="61"/>
  <c r="C344" i="61"/>
  <c r="B473" i="63"/>
  <c r="C79" i="63"/>
  <c r="D301" i="61"/>
  <c r="C352" i="63"/>
  <c r="D371" i="61"/>
  <c r="B450" i="63"/>
  <c r="C252" i="61"/>
  <c r="D270" i="61"/>
  <c r="C199" i="63"/>
  <c r="AR17" i="47"/>
  <c r="E86" i="63"/>
  <c r="E92" i="47"/>
  <c r="E404" i="61"/>
  <c r="D488" i="63"/>
  <c r="B421" i="63"/>
  <c r="C136" i="61"/>
  <c r="E83" i="47"/>
  <c r="E77" i="63"/>
  <c r="D221" i="61"/>
  <c r="C59" i="63"/>
  <c r="E78" i="47"/>
  <c r="E72" i="63"/>
  <c r="E11" i="47"/>
  <c r="E5" i="63"/>
  <c r="C64" i="61"/>
  <c r="B403" i="63"/>
  <c r="D469" i="63"/>
  <c r="E328" i="61"/>
  <c r="D261" i="61"/>
  <c r="C69" i="63"/>
  <c r="D418" i="63"/>
  <c r="E124" i="61"/>
  <c r="C90" i="63"/>
  <c r="D345" i="61"/>
  <c r="D375" i="61"/>
  <c r="C353" i="63"/>
  <c r="C7" i="63"/>
  <c r="D13" i="61"/>
  <c r="E144" i="61"/>
  <c r="D423" i="63"/>
  <c r="E476" i="61"/>
  <c r="D506" i="63"/>
  <c r="E296" i="61"/>
  <c r="D461" i="63"/>
  <c r="D179" i="61"/>
  <c r="C304" i="63"/>
  <c r="D227" i="61"/>
  <c r="C316" i="63"/>
  <c r="C447" i="63"/>
  <c r="D240" i="61"/>
  <c r="D72" i="61"/>
  <c r="C405" i="63"/>
  <c r="D131" i="61"/>
  <c r="C292" i="63"/>
  <c r="C320" i="63"/>
  <c r="D243" i="61"/>
  <c r="C452" i="63"/>
  <c r="D260" i="61"/>
  <c r="D201" i="61"/>
  <c r="C54" i="63"/>
  <c r="C19" i="63"/>
  <c r="D61" i="61"/>
  <c r="D452" i="61"/>
  <c r="C500" i="63"/>
  <c r="E107" i="47"/>
  <c r="E101" i="63"/>
  <c r="AR90" i="47"/>
  <c r="E25" i="61"/>
  <c r="D10" i="63"/>
  <c r="D22" i="61"/>
  <c r="C137" i="63"/>
  <c r="C41" i="63"/>
  <c r="D149" i="61"/>
  <c r="D459" i="61"/>
  <c r="C374" i="63"/>
  <c r="D457" i="63"/>
  <c r="E280" i="61"/>
  <c r="B457" i="63"/>
  <c r="C280" i="61"/>
  <c r="E37" i="47"/>
  <c r="E31" i="63"/>
  <c r="D45" i="61"/>
  <c r="C15" i="63"/>
  <c r="C22" i="63"/>
  <c r="D73" i="61"/>
  <c r="E28" i="47"/>
  <c r="E22" i="63"/>
  <c r="C316" i="61"/>
  <c r="B466" i="63"/>
  <c r="D316" i="61"/>
  <c r="C466" i="63"/>
  <c r="D20" i="61"/>
  <c r="C392" i="63"/>
  <c r="C38" i="63"/>
  <c r="D137" i="61"/>
  <c r="D490" i="63"/>
  <c r="E412" i="61"/>
  <c r="D175" i="61"/>
  <c r="C303" i="63"/>
  <c r="E126" i="63"/>
  <c r="E132" i="47"/>
  <c r="D325" i="61"/>
  <c r="C85" i="63"/>
  <c r="D380" i="61"/>
  <c r="C482" i="63"/>
  <c r="E56" i="63"/>
  <c r="E62" i="47"/>
  <c r="C508" i="63"/>
  <c r="D484" i="61"/>
  <c r="D38" i="61"/>
  <c r="C141" i="63"/>
  <c r="D54" i="61"/>
  <c r="C145" i="63"/>
  <c r="D290" i="61"/>
  <c r="C204" i="63"/>
  <c r="C111" i="63"/>
  <c r="D429" i="61"/>
  <c r="D18" i="63"/>
  <c r="E57" i="61"/>
  <c r="D438" i="63"/>
  <c r="E204" i="61"/>
  <c r="C376" i="61"/>
  <c r="B481" i="63"/>
  <c r="B42" i="63"/>
  <c r="C153" i="61"/>
  <c r="A48" i="47"/>
  <c r="B40" i="63"/>
  <c r="C145" i="61"/>
  <c r="A46" i="47"/>
  <c r="C439" i="63"/>
  <c r="D208" i="61"/>
  <c r="B430" i="63"/>
  <c r="C172" i="61"/>
  <c r="C455" i="63"/>
  <c r="D272" i="61"/>
  <c r="C462" i="63"/>
  <c r="D300" i="61"/>
  <c r="D219" i="61"/>
  <c r="C314" i="63"/>
  <c r="C342" i="63"/>
  <c r="D331" i="61"/>
  <c r="D399" i="61"/>
  <c r="C359" i="63"/>
  <c r="D497" i="61"/>
  <c r="C128" i="63"/>
  <c r="E102" i="63"/>
  <c r="E108" i="47"/>
  <c r="D259" i="61"/>
  <c r="C324" i="63"/>
  <c r="C46" i="63"/>
  <c r="D169" i="61"/>
  <c r="D14" i="61"/>
  <c r="C135" i="63"/>
  <c r="D462" i="61"/>
  <c r="C247" i="63"/>
  <c r="D78" i="61"/>
  <c r="C151" i="63"/>
  <c r="C244" i="61"/>
  <c r="B448" i="63"/>
  <c r="C97" i="63"/>
  <c r="D373" i="61"/>
  <c r="C55" i="63"/>
  <c r="D205" i="61"/>
  <c r="D81" i="61"/>
  <c r="C24" i="63"/>
  <c r="D504" i="61"/>
  <c r="C513" i="63"/>
  <c r="AR116" i="47"/>
  <c r="E110" i="47"/>
  <c r="E104" i="63"/>
  <c r="D417" i="63"/>
  <c r="E120" i="61"/>
  <c r="C414" i="63"/>
  <c r="D108" i="61"/>
  <c r="E108" i="61"/>
  <c r="D414" i="63"/>
  <c r="D370" i="61"/>
  <c r="C224" i="63"/>
  <c r="D493" i="61"/>
  <c r="C127" i="63"/>
  <c r="C394" i="63"/>
  <c r="D28" i="61"/>
  <c r="AR33" i="47"/>
  <c r="AR35" i="47"/>
  <c r="D320" i="61"/>
  <c r="C467" i="63"/>
  <c r="D390" i="61"/>
  <c r="C229" i="63"/>
  <c r="D459" i="63"/>
  <c r="E288" i="61"/>
  <c r="C408" i="63"/>
  <c r="D84" i="61"/>
  <c r="AR118" i="47"/>
  <c r="C282" i="63"/>
  <c r="D91" i="61"/>
  <c r="D313" i="61"/>
  <c r="C82" i="63"/>
  <c r="E82" i="63"/>
  <c r="E88" i="47"/>
  <c r="C398" i="63"/>
  <c r="D44" i="61"/>
  <c r="E216" i="61"/>
  <c r="D441" i="63"/>
  <c r="E43" i="63"/>
  <c r="E49" i="47"/>
  <c r="D44" i="63"/>
  <c r="E161" i="61"/>
  <c r="C139" i="63"/>
  <c r="D30" i="61"/>
  <c r="C315" i="63"/>
  <c r="D223" i="61"/>
  <c r="B409" i="63"/>
  <c r="C88" i="61"/>
  <c r="E472" i="61"/>
  <c r="D505" i="63"/>
  <c r="D192" i="61"/>
  <c r="C435" i="63"/>
  <c r="B406" i="63"/>
  <c r="C76" i="61"/>
  <c r="D217" i="61"/>
  <c r="C58" i="63"/>
  <c r="AR68" i="47"/>
  <c r="E128" i="47"/>
  <c r="E122" i="63"/>
  <c r="C434" i="63"/>
  <c r="D188" i="61"/>
  <c r="E188" i="61"/>
  <c r="D434" i="63"/>
  <c r="C296" i="63"/>
  <c r="D147" i="61"/>
  <c r="E96" i="63"/>
  <c r="E102" i="47"/>
  <c r="D194" i="61"/>
  <c r="C180" i="63"/>
  <c r="C269" i="63"/>
  <c r="D39" i="61"/>
  <c r="E135" i="47"/>
  <c r="E129" i="63"/>
  <c r="B16" i="63"/>
  <c r="C49" i="61"/>
  <c r="A22" i="47"/>
  <c r="D344" i="61"/>
  <c r="C473" i="63"/>
  <c r="E480" i="61"/>
  <c r="D507" i="63"/>
  <c r="E17" i="47"/>
  <c r="E11" i="63"/>
  <c r="C477" i="63"/>
  <c r="D360" i="61"/>
  <c r="C488" i="63"/>
  <c r="D404" i="61"/>
  <c r="E32" i="61"/>
  <c r="D395" i="63"/>
  <c r="E59" i="63"/>
  <c r="E65" i="47"/>
  <c r="D458" i="63"/>
  <c r="E284" i="61"/>
  <c r="D421" i="61"/>
  <c r="C109" i="63"/>
  <c r="E87" i="63"/>
  <c r="E93" i="47"/>
  <c r="B437" i="63"/>
  <c r="C200" i="61"/>
  <c r="F3" i="63"/>
  <c r="F1" i="63" s="1"/>
  <c r="D87" i="61"/>
  <c r="C281" i="63"/>
  <c r="D105" i="61"/>
  <c r="C30" i="63"/>
  <c r="C512" i="61"/>
  <c r="B515" i="63"/>
  <c r="D512" i="61"/>
  <c r="C515" i="63"/>
  <c r="C124" i="61"/>
  <c r="B418" i="63"/>
  <c r="C264" i="63"/>
  <c r="D19" i="61"/>
  <c r="E90" i="63"/>
  <c r="E96" i="47"/>
  <c r="D449" i="63"/>
  <c r="E248" i="61"/>
  <c r="C423" i="63"/>
  <c r="D144" i="61"/>
  <c r="C498" i="63"/>
  <c r="D444" i="61"/>
  <c r="C506" i="63"/>
  <c r="D476" i="61"/>
  <c r="D63" i="61"/>
  <c r="C275" i="63"/>
  <c r="E114" i="63"/>
  <c r="E120" i="47"/>
  <c r="C131" i="63"/>
  <c r="D509" i="61"/>
  <c r="C424" i="61"/>
  <c r="B493" i="63"/>
  <c r="D493" i="63"/>
  <c r="E424" i="61"/>
  <c r="B441" i="63"/>
  <c r="C216" i="61"/>
  <c r="C264" i="61"/>
  <c r="B453" i="63"/>
  <c r="B420" i="63"/>
  <c r="C132" i="61"/>
  <c r="E83" i="63"/>
  <c r="E89" i="47"/>
  <c r="B44" i="63"/>
  <c r="C161" i="61"/>
  <c r="A50" i="47"/>
  <c r="C360" i="63"/>
  <c r="D403" i="61"/>
  <c r="E125" i="47"/>
  <c r="E119" i="63"/>
  <c r="C119" i="63"/>
  <c r="D461" i="61"/>
  <c r="C157" i="63"/>
  <c r="D102" i="61"/>
  <c r="C192" i="63"/>
  <c r="D242" i="61"/>
  <c r="E400" i="61"/>
  <c r="D487" i="63"/>
  <c r="C487" i="63"/>
  <c r="D400" i="61"/>
  <c r="D409" i="63"/>
  <c r="E88" i="61"/>
  <c r="C340" i="61"/>
  <c r="B472" i="63"/>
  <c r="C382" i="63"/>
  <c r="D491" i="61"/>
  <c r="D215" i="61"/>
  <c r="C313" i="63"/>
  <c r="D34" i="63"/>
  <c r="E121" i="61"/>
  <c r="D432" i="61"/>
  <c r="C495" i="63"/>
  <c r="E130" i="47"/>
  <c r="E124" i="63"/>
  <c r="C140" i="61"/>
  <c r="B422" i="63"/>
  <c r="C422" i="63"/>
  <c r="D140" i="61"/>
  <c r="AR64" i="47"/>
  <c r="D512" i="63"/>
  <c r="E500" i="61"/>
  <c r="D233" i="61"/>
  <c r="C62" i="63"/>
  <c r="C504" i="63"/>
  <c r="D468" i="61"/>
  <c r="D504" i="63"/>
  <c r="E468" i="61"/>
  <c r="E428" i="61"/>
  <c r="D494" i="63"/>
  <c r="C265" i="63"/>
  <c r="D23" i="61"/>
  <c r="B425" i="63"/>
  <c r="C152" i="61"/>
  <c r="D502" i="61"/>
  <c r="C257" i="63"/>
  <c r="C149" i="63"/>
  <c r="D70" i="61"/>
  <c r="C256" i="61"/>
  <c r="B451" i="63"/>
  <c r="AR102" i="47"/>
  <c r="B503" i="63"/>
  <c r="C464" i="61"/>
  <c r="D503" i="63"/>
  <c r="E464" i="61"/>
  <c r="AR43" i="47"/>
  <c r="D247" i="61"/>
  <c r="C321" i="63"/>
  <c r="AR135" i="47"/>
  <c r="C182" i="63"/>
  <c r="D202" i="61"/>
  <c r="B400" i="63"/>
  <c r="C52" i="61"/>
  <c r="C366" i="63"/>
  <c r="D427" i="61"/>
  <c r="E436" i="61"/>
  <c r="D496" i="63"/>
  <c r="C436" i="61"/>
  <c r="B496" i="63"/>
  <c r="C507" i="63"/>
  <c r="D480" i="61"/>
  <c r="C361" i="63"/>
  <c r="D407" i="61"/>
  <c r="C29" i="61"/>
  <c r="B11" i="63"/>
  <c r="A17" i="47"/>
  <c r="C11" i="63"/>
  <c r="D29" i="61"/>
  <c r="B426" i="63"/>
  <c r="C156" i="61"/>
  <c r="D329" i="61"/>
  <c r="C86" i="63"/>
  <c r="E107" i="63"/>
  <c r="E113" i="47"/>
  <c r="C360" i="61"/>
  <c r="B477" i="63"/>
  <c r="D6" i="61"/>
  <c r="C133" i="63"/>
  <c r="C77" i="63"/>
  <c r="D293" i="61"/>
  <c r="D432" i="63"/>
  <c r="E180" i="61"/>
  <c r="C458" i="63"/>
  <c r="D284" i="61"/>
  <c r="E115" i="47"/>
  <c r="E109" i="63"/>
  <c r="C87" i="63"/>
  <c r="D333" i="61"/>
  <c r="D363" i="61"/>
  <c r="C350" i="63"/>
  <c r="D186" i="61"/>
  <c r="C178" i="63"/>
  <c r="D431" i="61"/>
  <c r="C367" i="63"/>
  <c r="C5" i="61"/>
  <c r="B5" i="63"/>
  <c r="A11" i="47"/>
  <c r="D5" i="63"/>
  <c r="E5" i="61"/>
  <c r="D30" i="63"/>
  <c r="E105" i="61"/>
  <c r="C92" i="63"/>
  <c r="D353" i="61"/>
  <c r="E23" i="47"/>
  <c r="E17" i="63"/>
  <c r="B469" i="63"/>
  <c r="C328" i="61"/>
  <c r="D328" i="61"/>
  <c r="C469" i="63"/>
  <c r="E75" i="47"/>
  <c r="E69" i="63"/>
  <c r="C454" i="63"/>
  <c r="D268" i="61"/>
  <c r="E13" i="61"/>
  <c r="D7" i="63"/>
  <c r="E444" i="61"/>
  <c r="D498" i="63"/>
  <c r="D195" i="61"/>
  <c r="C308" i="63"/>
  <c r="D296" i="61"/>
  <c r="C461" i="63"/>
  <c r="C309" i="63"/>
  <c r="D199" i="61"/>
  <c r="AR69" i="47"/>
  <c r="C352" i="61"/>
  <c r="B475" i="63"/>
  <c r="E95" i="63"/>
  <c r="E101" i="47"/>
  <c r="C221" i="63"/>
  <c r="D358" i="61"/>
  <c r="AR120" i="47"/>
  <c r="D146" i="61"/>
  <c r="C168" i="63"/>
  <c r="D384" i="61"/>
  <c r="C483" i="63"/>
  <c r="D440" i="63"/>
  <c r="E212" i="61"/>
  <c r="B511" i="63"/>
  <c r="C496" i="61"/>
  <c r="E456" i="61"/>
  <c r="D501" i="63"/>
  <c r="D389" i="63"/>
  <c r="E8" i="61"/>
  <c r="C389" i="63"/>
  <c r="D8" i="61"/>
  <c r="E131" i="63"/>
  <c r="E137" i="47"/>
  <c r="D469" i="61"/>
  <c r="C121" i="63"/>
  <c r="E84" i="47"/>
  <c r="E78" i="63"/>
  <c r="D297" i="61"/>
  <c r="C78" i="63"/>
  <c r="E117" i="63"/>
  <c r="E123" i="47"/>
  <c r="C363" i="63"/>
  <c r="D415" i="61"/>
  <c r="C116" i="63"/>
  <c r="D449" i="61"/>
  <c r="E54" i="63"/>
  <c r="E60" i="47"/>
  <c r="AR60" i="47"/>
  <c r="C324" i="61"/>
  <c r="B468" i="63"/>
  <c r="D130" i="61"/>
  <c r="C164" i="63"/>
  <c r="E51" i="63"/>
  <c r="E57" i="47"/>
  <c r="C152" i="63"/>
  <c r="D82" i="61"/>
  <c r="C242" i="63"/>
  <c r="D442" i="61"/>
  <c r="D315" i="61"/>
  <c r="C338" i="63"/>
  <c r="C276" i="63"/>
  <c r="D67" i="61"/>
  <c r="D454" i="61"/>
  <c r="C245" i="63"/>
  <c r="AR72" i="47"/>
  <c r="C205" i="63"/>
  <c r="D294" i="61"/>
  <c r="B19" i="63"/>
  <c r="C61" i="61"/>
  <c r="A25" i="47"/>
  <c r="E25" i="47"/>
  <c r="E19" i="63"/>
  <c r="AR107" i="47"/>
  <c r="D420" i="61"/>
  <c r="C492" i="63"/>
  <c r="C249" i="63"/>
  <c r="D470" i="61"/>
  <c r="D60" i="61"/>
  <c r="C402" i="63"/>
  <c r="AR16" i="47"/>
  <c r="D25" i="61"/>
  <c r="C10" i="63"/>
  <c r="D235" i="61"/>
  <c r="C318" i="63"/>
  <c r="C26" i="63"/>
  <c r="D89" i="61"/>
  <c r="E26" i="63"/>
  <c r="E32" i="47"/>
  <c r="E47" i="47"/>
  <c r="E41" i="63"/>
  <c r="E149" i="61"/>
  <c r="D41" i="63"/>
  <c r="C191" i="63"/>
  <c r="D238" i="61"/>
  <c r="D443" i="61"/>
  <c r="C370" i="63"/>
  <c r="C457" i="63"/>
  <c r="D280" i="61"/>
  <c r="D254" i="61"/>
  <c r="C195" i="63"/>
  <c r="D15" i="63"/>
  <c r="E45" i="61"/>
  <c r="C415" i="63"/>
  <c r="D112" i="61"/>
  <c r="C443" i="63"/>
  <c r="D224" i="61"/>
  <c r="B443" i="63"/>
  <c r="C224" i="61"/>
  <c r="AR28" i="47"/>
  <c r="B22" i="63"/>
  <c r="C73" i="61"/>
  <c r="A28" i="47"/>
  <c r="B413" i="63"/>
  <c r="C104" i="61"/>
  <c r="E104" i="61"/>
  <c r="D413" i="63"/>
  <c r="C9" i="63"/>
  <c r="D21" i="61"/>
  <c r="C21" i="61"/>
  <c r="B9" i="63"/>
  <c r="A15" i="47"/>
  <c r="E56" i="61"/>
  <c r="D401" i="63"/>
  <c r="C261" i="63"/>
  <c r="D7" i="61"/>
  <c r="C380" i="63"/>
  <c r="D483" i="61"/>
  <c r="C255" i="63"/>
  <c r="D494" i="61"/>
  <c r="D392" i="63"/>
  <c r="E20" i="61"/>
  <c r="D364" i="61"/>
  <c r="C478" i="63"/>
  <c r="C137" i="61"/>
  <c r="B38" i="63"/>
  <c r="A44" i="47"/>
  <c r="D471" i="63"/>
  <c r="E336" i="61"/>
  <c r="C471" i="63"/>
  <c r="D336" i="61"/>
  <c r="D158" i="61"/>
  <c r="C171" i="63"/>
  <c r="B490" i="63"/>
  <c r="C412" i="61"/>
  <c r="E99" i="47"/>
  <c r="E93" i="63"/>
  <c r="AR132" i="47"/>
  <c r="C386" i="63"/>
  <c r="D507" i="61"/>
  <c r="AR91" i="47"/>
  <c r="E88" i="63"/>
  <c r="E94" i="47"/>
  <c r="D511" i="61"/>
  <c r="C387" i="63"/>
  <c r="C232" i="61"/>
  <c r="B445" i="63"/>
  <c r="C125" i="63"/>
  <c r="D485" i="61"/>
  <c r="B36" i="63"/>
  <c r="C129" i="61"/>
  <c r="A42" i="47"/>
  <c r="AR42" i="47"/>
  <c r="E49" i="63"/>
  <c r="E55" i="47"/>
  <c r="E76" i="47"/>
  <c r="E70" i="63"/>
  <c r="D304" i="61"/>
  <c r="C463" i="63"/>
  <c r="B463" i="63"/>
  <c r="C304" i="61"/>
  <c r="AR117" i="47"/>
  <c r="AR24" i="47"/>
  <c r="B411" i="63"/>
  <c r="C96" i="61"/>
  <c r="D411" i="63"/>
  <c r="E96" i="61"/>
  <c r="E81" i="63"/>
  <c r="E87" i="47"/>
  <c r="D197" i="61"/>
  <c r="C53" i="63"/>
  <c r="C336" i="63"/>
  <c r="D307" i="61"/>
  <c r="B438" i="63"/>
  <c r="C204" i="61"/>
  <c r="D481" i="63"/>
  <c r="E376" i="61"/>
  <c r="C388" i="61"/>
  <c r="B484" i="63"/>
  <c r="E48" i="47"/>
  <c r="E42" i="63"/>
  <c r="B436" i="63"/>
  <c r="C196" i="61"/>
  <c r="D338" i="61"/>
  <c r="C216" i="63"/>
  <c r="AR129" i="47"/>
  <c r="D312" i="61"/>
  <c r="C465" i="63"/>
  <c r="E312" i="61"/>
  <c r="D465" i="63"/>
  <c r="D122" i="61"/>
  <c r="C162" i="63"/>
  <c r="C456" i="63"/>
  <c r="D276" i="61"/>
  <c r="B410" i="63"/>
  <c r="C92" i="61"/>
  <c r="E92" i="61"/>
  <c r="D410" i="63"/>
  <c r="D350" i="61"/>
  <c r="C219" i="63"/>
  <c r="E416" i="61"/>
  <c r="D491" i="63"/>
  <c r="C154" i="63"/>
  <c r="D90" i="61"/>
  <c r="D172" i="61"/>
  <c r="C430" i="63"/>
  <c r="D267" i="61"/>
  <c r="C326" i="63"/>
  <c r="AR121" i="47"/>
  <c r="E332" i="61"/>
  <c r="D470" i="63"/>
  <c r="C485" i="63"/>
  <c r="D392" i="61"/>
  <c r="B455" i="63"/>
  <c r="C272" i="61"/>
  <c r="AR41" i="47"/>
  <c r="C185" i="63"/>
  <c r="D214" i="61"/>
  <c r="E300" i="61"/>
  <c r="D462" i="63"/>
  <c r="D167" i="61"/>
  <c r="C301" i="63"/>
  <c r="C48" i="63"/>
  <c r="D177" i="61"/>
  <c r="D65" i="61"/>
  <c r="C20" i="63"/>
  <c r="AR26" i="47"/>
  <c r="C65" i="61"/>
  <c r="B20" i="63"/>
  <c r="A26" i="47"/>
  <c r="AR109" i="47"/>
  <c r="C355" i="63"/>
  <c r="D383" i="61"/>
  <c r="E47" i="63"/>
  <c r="E53" i="47"/>
  <c r="AR100" i="47"/>
  <c r="C94" i="63"/>
  <c r="D361" i="61"/>
  <c r="C251" i="63"/>
  <c r="D478" i="61"/>
  <c r="C385" i="63"/>
  <c r="D503" i="61"/>
  <c r="AR81" i="47"/>
  <c r="E81" i="47"/>
  <c r="E75" i="63"/>
  <c r="B404" i="63"/>
  <c r="C68" i="61"/>
  <c r="D68" i="61"/>
  <c r="C404" i="63"/>
  <c r="C64" i="63"/>
  <c r="D241" i="61"/>
  <c r="AR108" i="47"/>
  <c r="C155" i="63"/>
  <c r="D94" i="61"/>
  <c r="E73" i="63"/>
  <c r="E79" i="47"/>
  <c r="B412" i="63"/>
  <c r="C100" i="61"/>
  <c r="E100" i="61"/>
  <c r="D412" i="63"/>
  <c r="C256" i="63"/>
  <c r="D498" i="61"/>
  <c r="D327" i="61"/>
  <c r="C341" i="63"/>
  <c r="D34" i="61"/>
  <c r="C140" i="63"/>
  <c r="C28" i="63"/>
  <c r="D97" i="61"/>
  <c r="C61" i="63"/>
  <c r="D229" i="61"/>
  <c r="AR52" i="47"/>
  <c r="B46" i="63"/>
  <c r="C169" i="61"/>
  <c r="A52" i="47"/>
  <c r="E52" i="47"/>
  <c r="E46" i="63"/>
  <c r="C169" i="63"/>
  <c r="D150" i="61"/>
  <c r="C365" i="63"/>
  <c r="D423" i="61"/>
  <c r="E8" i="63"/>
  <c r="E14" i="47"/>
  <c r="E244" i="61"/>
  <c r="D448" i="63"/>
  <c r="AR103" i="47"/>
  <c r="C193" i="63"/>
  <c r="D246" i="61"/>
  <c r="D465" i="61"/>
  <c r="C120" i="63"/>
  <c r="D42" i="61"/>
  <c r="C142" i="63"/>
  <c r="C81" i="61"/>
  <c r="B24" i="63"/>
  <c r="A30" i="47"/>
  <c r="AR95" i="47"/>
  <c r="E95" i="47"/>
  <c r="E89" i="63"/>
  <c r="AR110" i="47"/>
  <c r="D476" i="63"/>
  <c r="E356" i="61"/>
  <c r="E29" i="47"/>
  <c r="E23" i="63"/>
  <c r="C80" i="61"/>
  <c r="B407" i="63"/>
  <c r="C417" i="63"/>
  <c r="D120" i="61"/>
  <c r="D281" i="61"/>
  <c r="C74" i="63"/>
  <c r="AR80" i="47"/>
  <c r="AR124" i="47"/>
  <c r="C108" i="61"/>
  <c r="B414" i="63"/>
  <c r="D9" i="61"/>
  <c r="C6" i="63"/>
  <c r="C175" i="63"/>
  <c r="D174" i="61"/>
  <c r="D191" i="61"/>
  <c r="C307" i="63"/>
  <c r="C33" i="63"/>
  <c r="D117" i="61"/>
  <c r="D226" i="61"/>
  <c r="C188" i="63"/>
  <c r="AR71" i="47"/>
  <c r="C160" i="61"/>
  <c r="B427" i="63"/>
  <c r="E93" i="61"/>
  <c r="D27" i="63"/>
  <c r="E141" i="61"/>
  <c r="D39" i="63"/>
  <c r="C39" i="63"/>
  <c r="D141" i="61"/>
  <c r="D21" i="63"/>
  <c r="E69" i="61"/>
  <c r="B474" i="63"/>
  <c r="C348" i="61"/>
  <c r="E29" i="63"/>
  <c r="E35" i="47"/>
  <c r="B29" i="63"/>
  <c r="C101" i="61"/>
  <c r="A35" i="47"/>
  <c r="D467" i="63"/>
  <c r="E320" i="61"/>
  <c r="B391" i="63"/>
  <c r="C16" i="61"/>
  <c r="E52" i="63"/>
  <c r="E58" i="47"/>
  <c r="C240" i="63"/>
  <c r="D434" i="61"/>
  <c r="C267" i="63"/>
  <c r="D31" i="61"/>
  <c r="D123" i="61"/>
  <c r="C290" i="63"/>
  <c r="E132" i="63"/>
  <c r="E138" i="47"/>
  <c r="C228" i="61"/>
  <c r="B444" i="63"/>
  <c r="D274" i="61"/>
  <c r="C200" i="63"/>
  <c r="C80" i="63"/>
  <c r="D305" i="61"/>
  <c r="D508" i="61"/>
  <c r="C514" i="63"/>
  <c r="C428" i="63"/>
  <c r="D164" i="61"/>
  <c r="C222" i="63"/>
  <c r="D362" i="61"/>
  <c r="B516" i="63"/>
  <c r="C516" i="61"/>
  <c r="C502" i="63"/>
  <c r="D460" i="61"/>
  <c r="D253" i="61"/>
  <c r="C67" i="63"/>
  <c r="B428" i="63"/>
  <c r="C164" i="61"/>
  <c r="C516" i="63"/>
  <c r="D516" i="61"/>
  <c r="D11" i="61"/>
  <c r="C262" i="63"/>
  <c r="AR104" i="47"/>
  <c r="C98" i="63"/>
  <c r="D377" i="61"/>
  <c r="D502" i="63"/>
  <c r="E460" i="61"/>
  <c r="C207" i="63"/>
  <c r="D302" i="61"/>
  <c r="AR112" i="47"/>
  <c r="E60" i="61"/>
  <c r="D402" i="63"/>
  <c r="AR44" i="47"/>
  <c r="D110" i="61"/>
  <c r="C159" i="63"/>
  <c r="AR94" i="47"/>
  <c r="D114" i="61"/>
  <c r="C160" i="63"/>
  <c r="E368" i="61"/>
  <c r="D479" i="63"/>
  <c r="C123" i="63"/>
  <c r="D477" i="61"/>
  <c r="B465" i="63"/>
  <c r="C312" i="61"/>
  <c r="D431" i="63"/>
  <c r="E176" i="61"/>
  <c r="C176" i="61"/>
  <c r="B431" i="63"/>
  <c r="E276" i="61"/>
  <c r="D456" i="63"/>
  <c r="C91" i="63"/>
  <c r="D349" i="61"/>
  <c r="D285" i="61"/>
  <c r="C75" i="63"/>
  <c r="C73" i="63"/>
  <c r="D277" i="61"/>
  <c r="E165" i="61"/>
  <c r="D45" i="63"/>
  <c r="C351" i="63"/>
  <c r="D367" i="61"/>
  <c r="E120" i="63"/>
  <c r="E126" i="47"/>
  <c r="E308" i="61"/>
  <c r="D464" i="63"/>
  <c r="B33" i="63"/>
  <c r="C117" i="61"/>
  <c r="A39" i="47"/>
  <c r="C241" i="63"/>
  <c r="D438" i="61"/>
  <c r="D411" i="61"/>
  <c r="C362" i="63"/>
  <c r="D264" i="61"/>
  <c r="C453" i="63"/>
  <c r="C83" i="63"/>
  <c r="D317" i="61"/>
  <c r="C311" i="63"/>
  <c r="D207" i="61"/>
  <c r="C472" i="63"/>
  <c r="D340" i="61"/>
  <c r="D422" i="63"/>
  <c r="E140" i="61"/>
  <c r="C165" i="63"/>
  <c r="D134" i="61"/>
  <c r="C32" i="63"/>
  <c r="D113" i="61"/>
  <c r="D118" i="61"/>
  <c r="C161" i="63"/>
  <c r="C494" i="63"/>
  <c r="D428" i="61"/>
  <c r="D213" i="61"/>
  <c r="C57" i="63"/>
  <c r="C228" i="63"/>
  <c r="D386" i="61"/>
  <c r="C425" i="63"/>
  <c r="D152" i="61"/>
  <c r="D408" i="61"/>
  <c r="C489" i="63"/>
  <c r="D37" i="63"/>
  <c r="E133" i="61"/>
  <c r="D399" i="63"/>
  <c r="E48" i="61"/>
  <c r="B13" i="63"/>
  <c r="C37" i="61"/>
  <c r="A19" i="47"/>
  <c r="D499" i="63"/>
  <c r="E448" i="61"/>
  <c r="D400" i="63"/>
  <c r="E52" i="61"/>
  <c r="D16" i="63"/>
  <c r="E49" i="61"/>
  <c r="AR105" i="47"/>
  <c r="AR92" i="47"/>
  <c r="B488" i="63"/>
  <c r="C404" i="61"/>
  <c r="B395" i="63"/>
  <c r="C32" i="61"/>
  <c r="C456" i="61"/>
  <c r="B501" i="63"/>
  <c r="D286" i="61"/>
  <c r="C203" i="63"/>
  <c r="C8" i="61"/>
  <c r="B389" i="63"/>
  <c r="E260" i="61"/>
  <c r="D452" i="63"/>
  <c r="B452" i="63"/>
  <c r="C260" i="61"/>
  <c r="D155" i="61"/>
  <c r="C298" i="63"/>
  <c r="AR84" i="47"/>
  <c r="C268" i="63"/>
  <c r="D35" i="61"/>
  <c r="C51" i="63"/>
  <c r="D189" i="61"/>
  <c r="C369" i="63"/>
  <c r="D439" i="61"/>
  <c r="E66" i="63"/>
  <c r="E72" i="47"/>
  <c r="C66" i="63"/>
  <c r="D249" i="61"/>
  <c r="C76" i="63"/>
  <c r="D289" i="61"/>
  <c r="C460" i="63"/>
  <c r="D292" i="61"/>
  <c r="C378" i="63"/>
  <c r="D475" i="61"/>
  <c r="AR25" i="47"/>
  <c r="E452" i="61"/>
  <c r="D500" i="63"/>
  <c r="E420" i="61"/>
  <c r="D492" i="63"/>
  <c r="C84" i="63"/>
  <c r="D321" i="61"/>
  <c r="C25" i="61"/>
  <c r="B10" i="63"/>
  <c r="A16" i="47"/>
  <c r="G16" i="47" s="1"/>
  <c r="B16" i="47" s="1"/>
  <c r="E68" i="63"/>
  <c r="E74" i="47"/>
  <c r="B26" i="63"/>
  <c r="C89" i="61"/>
  <c r="A32" i="47"/>
  <c r="C149" i="61"/>
  <c r="B41" i="63"/>
  <c r="A47" i="47"/>
  <c r="E109" i="61"/>
  <c r="D31" i="63"/>
  <c r="D447" i="61"/>
  <c r="C371" i="63"/>
  <c r="E21" i="47"/>
  <c r="E15" i="63"/>
  <c r="D279" i="61"/>
  <c r="C329" i="63"/>
  <c r="C383" i="63"/>
  <c r="D495" i="61"/>
  <c r="D486" i="61"/>
  <c r="C253" i="63"/>
  <c r="D22" i="63"/>
  <c r="E73" i="61"/>
  <c r="E9" i="63"/>
  <c r="E15" i="47"/>
  <c r="C143" i="63"/>
  <c r="D46" i="61"/>
  <c r="B401" i="63"/>
  <c r="C56" i="61"/>
  <c r="C20" i="61"/>
  <c r="B392" i="63"/>
  <c r="B478" i="63"/>
  <c r="C364" i="61"/>
  <c r="E364" i="61"/>
  <c r="D478" i="63"/>
  <c r="AR114" i="47"/>
  <c r="C336" i="61"/>
  <c r="B471" i="63"/>
  <c r="D258" i="61"/>
  <c r="C196" i="63"/>
  <c r="D412" i="61"/>
  <c r="C490" i="63"/>
  <c r="C202" i="63"/>
  <c r="D282" i="61"/>
  <c r="AR99" i="47"/>
  <c r="C93" i="63"/>
  <c r="D357" i="61"/>
  <c r="C148" i="63"/>
  <c r="D66" i="61"/>
  <c r="D379" i="61"/>
  <c r="C354" i="63"/>
  <c r="C333" i="63"/>
  <c r="D295" i="61"/>
  <c r="C167" i="63"/>
  <c r="D142" i="61"/>
  <c r="C197" i="63"/>
  <c r="D262" i="61"/>
  <c r="C227" i="63"/>
  <c r="D382" i="61"/>
  <c r="D482" i="63"/>
  <c r="E380" i="61"/>
  <c r="AR62" i="47"/>
  <c r="D508" i="63"/>
  <c r="E484" i="61"/>
  <c r="E396" i="61"/>
  <c r="D486" i="63"/>
  <c r="D418" i="61"/>
  <c r="C236" i="63"/>
  <c r="D129" i="61"/>
  <c r="C36" i="63"/>
  <c r="C70" i="63"/>
  <c r="D265" i="61"/>
  <c r="D446" i="63"/>
  <c r="E236" i="61"/>
  <c r="C446" i="63"/>
  <c r="D236" i="61"/>
  <c r="E117" i="47"/>
  <c r="E111" i="63"/>
  <c r="D57" i="61"/>
  <c r="C18" i="63"/>
  <c r="D96" i="61"/>
  <c r="C411" i="63"/>
  <c r="D111" i="61"/>
  <c r="C287" i="63"/>
  <c r="D484" i="63"/>
  <c r="E388" i="61"/>
  <c r="D42" i="63"/>
  <c r="E153" i="61"/>
  <c r="D153" i="61"/>
  <c r="C42" i="63"/>
  <c r="E196" i="61"/>
  <c r="D436" i="63"/>
  <c r="E20" i="47"/>
  <c r="E14" i="63"/>
  <c r="B14" i="63"/>
  <c r="C41" i="61"/>
  <c r="A20" i="47"/>
  <c r="AR46" i="47"/>
  <c r="D145" i="61"/>
  <c r="C40" i="63"/>
  <c r="D439" i="63"/>
  <c r="E208" i="61"/>
  <c r="B510" i="63"/>
  <c r="C492" i="61"/>
  <c r="C36" i="61"/>
  <c r="B396" i="63"/>
  <c r="D36" i="61"/>
  <c r="C396" i="63"/>
  <c r="C479" i="63"/>
  <c r="D368" i="61"/>
  <c r="D107" i="61"/>
  <c r="C286" i="63"/>
  <c r="C174" i="63"/>
  <c r="D170" i="61"/>
  <c r="C410" i="63"/>
  <c r="D92" i="61"/>
  <c r="C148" i="61"/>
  <c r="B424" i="63"/>
  <c r="B491" i="63"/>
  <c r="C416" i="61"/>
  <c r="C259" i="63"/>
  <c r="D510" i="61"/>
  <c r="B433" i="63"/>
  <c r="C184" i="61"/>
  <c r="E115" i="63"/>
  <c r="E121" i="47"/>
  <c r="C392" i="61"/>
  <c r="B485" i="63"/>
  <c r="E41" i="47"/>
  <c r="E35" i="63"/>
  <c r="E125" i="61"/>
  <c r="D35" i="63"/>
  <c r="D395" i="61"/>
  <c r="C358" i="63"/>
  <c r="E65" i="61"/>
  <c r="D20" i="63"/>
  <c r="E26" i="47"/>
  <c r="E20" i="63"/>
  <c r="D422" i="61"/>
  <c r="C237" i="63"/>
  <c r="D43" i="61"/>
  <c r="C270" i="63"/>
  <c r="AR97" i="47"/>
  <c r="E91" i="63"/>
  <c r="E97" i="47"/>
  <c r="E128" i="63"/>
  <c r="E134" i="47"/>
  <c r="E100" i="47"/>
  <c r="E94" i="63"/>
  <c r="C284" i="63"/>
  <c r="D99" i="61"/>
  <c r="C274" i="63"/>
  <c r="D59" i="61"/>
  <c r="AR70" i="47"/>
  <c r="D159" i="61"/>
  <c r="C299" i="63"/>
  <c r="D28" i="63"/>
  <c r="E97" i="61"/>
  <c r="AR34" i="47"/>
  <c r="C279" i="63"/>
  <c r="D79" i="61"/>
  <c r="E61" i="63"/>
  <c r="E67" i="47"/>
  <c r="E169" i="61"/>
  <c r="D46" i="63"/>
  <c r="C45" i="63"/>
  <c r="D165" i="61"/>
  <c r="AR51" i="47"/>
  <c r="C25" i="63"/>
  <c r="D85" i="61"/>
  <c r="AR31" i="47"/>
  <c r="C134" i="63"/>
  <c r="D10" i="61"/>
  <c r="D51" i="61"/>
  <c r="C272" i="63"/>
  <c r="E40" i="61"/>
  <c r="D397" i="63"/>
  <c r="B397" i="63"/>
  <c r="C40" i="61"/>
  <c r="D17" i="61"/>
  <c r="C8" i="63"/>
  <c r="D244" i="61"/>
  <c r="C448" i="63"/>
  <c r="D185" i="61"/>
  <c r="C50" i="63"/>
  <c r="C146" i="63"/>
  <c r="D58" i="61"/>
  <c r="AR126" i="47"/>
  <c r="E55" i="63"/>
  <c r="E61" i="47"/>
  <c r="C388" i="63"/>
  <c r="D515" i="61"/>
  <c r="D346" i="61"/>
  <c r="C218" i="63"/>
  <c r="D24" i="63"/>
  <c r="E81" i="61"/>
  <c r="E504" i="61"/>
  <c r="D513" i="63"/>
  <c r="D425" i="61"/>
  <c r="C110" i="63"/>
  <c r="D74" i="61"/>
  <c r="C150" i="63"/>
  <c r="C23" i="63"/>
  <c r="D77" i="61"/>
  <c r="C429" i="63"/>
  <c r="D168" i="61"/>
  <c r="E74" i="63"/>
  <c r="E80" i="47"/>
  <c r="E118" i="63"/>
  <c r="E124" i="47"/>
  <c r="B464" i="63"/>
  <c r="C308" i="61"/>
  <c r="D275" i="61"/>
  <c r="C328" i="63"/>
  <c r="E6" i="63"/>
  <c r="E12" i="47"/>
  <c r="D6" i="63"/>
  <c r="E9" i="61"/>
  <c r="E28" i="61"/>
  <c r="D394" i="63"/>
  <c r="E33" i="63"/>
  <c r="E39" i="47"/>
  <c r="E71" i="47"/>
  <c r="E65" i="63"/>
  <c r="AR45" i="47"/>
  <c r="E45" i="47"/>
  <c r="E39" i="63"/>
  <c r="C442" i="63"/>
  <c r="D220" i="61"/>
  <c r="AR27" i="47"/>
  <c r="AR136" i="47"/>
  <c r="D372" i="61"/>
  <c r="C480" i="63"/>
  <c r="C391" i="63"/>
  <c r="D16" i="61"/>
  <c r="C213" i="63"/>
  <c r="D326" i="61"/>
  <c r="C52" i="63"/>
  <c r="D193" i="61"/>
  <c r="D414" i="61"/>
  <c r="C235" i="63"/>
  <c r="C153" i="63"/>
  <c r="D86" i="61"/>
  <c r="B459" i="63"/>
  <c r="C288" i="61"/>
  <c r="C345" i="63"/>
  <c r="D343" i="61"/>
  <c r="AR138" i="47"/>
  <c r="D408" i="63"/>
  <c r="E84" i="61"/>
  <c r="D444" i="63"/>
  <c r="E228" i="61"/>
  <c r="C444" i="63"/>
  <c r="D228" i="61"/>
  <c r="B398" i="63"/>
  <c r="C44" i="61"/>
  <c r="AR86" i="47"/>
  <c r="AR18" i="47"/>
  <c r="C33" i="61"/>
  <c r="B12" i="63"/>
  <c r="A18" i="47"/>
  <c r="AR73" i="47"/>
  <c r="E67" i="63"/>
  <c r="E73" i="47"/>
  <c r="E508" i="61"/>
  <c r="D514" i="63"/>
  <c r="E164" i="61"/>
  <c r="D428" i="63"/>
  <c r="C348" i="63"/>
  <c r="D355" i="61"/>
  <c r="E516" i="61"/>
  <c r="D516" i="63"/>
  <c r="C441" i="63"/>
  <c r="D216" i="61"/>
  <c r="E132" i="61"/>
  <c r="D420" i="63"/>
  <c r="C208" i="63"/>
  <c r="D306" i="61"/>
  <c r="D157" i="61"/>
  <c r="C43" i="63"/>
  <c r="D405" i="61"/>
  <c r="C105" i="63"/>
  <c r="D435" i="63"/>
  <c r="E192" i="61"/>
  <c r="D406" i="63"/>
  <c r="E76" i="61"/>
  <c r="D497" i="63"/>
  <c r="E440" i="61"/>
  <c r="D419" i="63"/>
  <c r="E128" i="61"/>
  <c r="C512" i="63"/>
  <c r="D500" i="61"/>
  <c r="E32" i="63"/>
  <c r="E38" i="47"/>
  <c r="D18" i="61"/>
  <c r="C136" i="63"/>
  <c r="D126" i="61"/>
  <c r="C163" i="63"/>
  <c r="D464" i="61"/>
  <c r="C503" i="63"/>
  <c r="B37" i="63"/>
  <c r="C133" i="61"/>
  <c r="A43" i="47"/>
  <c r="D390" i="63"/>
  <c r="E12" i="61"/>
  <c r="C390" i="63"/>
  <c r="D12" i="61"/>
  <c r="E37" i="61"/>
  <c r="D13" i="63"/>
  <c r="D381" i="61"/>
  <c r="C99" i="63"/>
  <c r="C312" i="63"/>
  <c r="D211" i="61"/>
  <c r="C432" i="63"/>
  <c r="D180" i="61"/>
  <c r="D359" i="61"/>
  <c r="C349" i="63"/>
  <c r="D200" i="61"/>
  <c r="C437" i="63"/>
  <c r="D5" i="61"/>
  <c r="C5" i="63"/>
  <c r="B30" i="63"/>
  <c r="C105" i="61"/>
  <c r="A36" i="47"/>
  <c r="E98" i="47"/>
  <c r="E92" i="63"/>
  <c r="D53" i="61"/>
  <c r="C17" i="63"/>
  <c r="D64" i="61"/>
  <c r="C403" i="63"/>
  <c r="AR75" i="47"/>
  <c r="C377" i="63"/>
  <c r="D471" i="61"/>
  <c r="D506" i="61"/>
  <c r="C258" i="63"/>
  <c r="D248" i="61"/>
  <c r="C449" i="63"/>
  <c r="B7" i="63"/>
  <c r="C13" i="61"/>
  <c r="A13" i="47"/>
  <c r="E352" i="61"/>
  <c r="D475" i="63"/>
  <c r="D365" i="61"/>
  <c r="C95" i="63"/>
  <c r="C211" i="63"/>
  <c r="D318" i="61"/>
  <c r="D496" i="61"/>
  <c r="C511" i="63"/>
  <c r="E121" i="63"/>
  <c r="E127" i="47"/>
  <c r="E324" i="61"/>
  <c r="D468" i="63"/>
  <c r="D409" i="61"/>
  <c r="C106" i="63"/>
  <c r="E488" i="61"/>
  <c r="D509" i="63"/>
  <c r="C292" i="61"/>
  <c r="B460" i="63"/>
  <c r="E292" i="61"/>
  <c r="D460" i="63"/>
  <c r="C263" i="63"/>
  <c r="D15" i="61"/>
  <c r="C452" i="61"/>
  <c r="B500" i="63"/>
  <c r="E119" i="47"/>
  <c r="E113" i="63"/>
  <c r="B492" i="63"/>
  <c r="C420" i="61"/>
  <c r="D291" i="61"/>
  <c r="C332" i="63"/>
  <c r="D109" i="61"/>
  <c r="C31" i="63"/>
  <c r="D314" i="61"/>
  <c r="C210" i="63"/>
  <c r="C45" i="61"/>
  <c r="B15" i="63"/>
  <c r="A21" i="47"/>
  <c r="C112" i="61"/>
  <c r="B415" i="63"/>
  <c r="D9" i="63"/>
  <c r="E21" i="61"/>
  <c r="C327" i="63"/>
  <c r="D271" i="61"/>
  <c r="C108" i="63"/>
  <c r="D417" i="61"/>
  <c r="C291" i="63"/>
  <c r="D127" i="61"/>
  <c r="D166" i="61"/>
  <c r="C173" i="63"/>
  <c r="C356" i="63"/>
  <c r="D387" i="61"/>
  <c r="D396" i="61"/>
  <c r="C486" i="63"/>
  <c r="D445" i="63"/>
  <c r="E232" i="61"/>
  <c r="C445" i="63"/>
  <c r="D232" i="61"/>
  <c r="C49" i="63"/>
  <c r="D181" i="61"/>
  <c r="D398" i="61"/>
  <c r="C231" i="63"/>
  <c r="E24" i="47"/>
  <c r="E18" i="63"/>
  <c r="D210" i="61"/>
  <c r="C184" i="63"/>
  <c r="E59" i="47"/>
  <c r="E53" i="63"/>
  <c r="D41" i="61"/>
  <c r="C14" i="63"/>
  <c r="C335" i="63"/>
  <c r="D303" i="61"/>
  <c r="D396" i="63"/>
  <c r="E36" i="61"/>
  <c r="E148" i="61"/>
  <c r="D424" i="63"/>
  <c r="D433" i="63"/>
  <c r="E184" i="61"/>
  <c r="D332" i="61"/>
  <c r="C470" i="63"/>
  <c r="C125" i="61"/>
  <c r="B35" i="63"/>
  <c r="A41" i="47"/>
  <c r="G41" i="47" s="1"/>
  <c r="B41" i="47" s="1"/>
  <c r="D187" i="61"/>
  <c r="C306" i="63"/>
  <c r="E48" i="63"/>
  <c r="E54" i="47"/>
  <c r="D287" i="61"/>
  <c r="C331" i="63"/>
  <c r="C170" i="63"/>
  <c r="D154" i="61"/>
  <c r="C85" i="61"/>
  <c r="B25" i="63"/>
  <c r="A31" i="47"/>
  <c r="C24" i="61"/>
  <c r="B393" i="63"/>
  <c r="C260" i="63"/>
  <c r="D514" i="61"/>
  <c r="E110" i="63"/>
  <c r="E116" i="47"/>
  <c r="C372" i="63"/>
  <c r="D451" i="61"/>
  <c r="E77" i="61"/>
  <c r="D23" i="63"/>
  <c r="E80" i="61"/>
  <c r="D407" i="63"/>
  <c r="AR12" i="47"/>
  <c r="C189" i="63"/>
  <c r="D230" i="61"/>
  <c r="D427" i="63"/>
  <c r="E160" i="61"/>
  <c r="E220" i="61"/>
  <c r="D442" i="63"/>
  <c r="E27" i="47"/>
  <c r="E21" i="63"/>
  <c r="E136" i="47"/>
  <c r="E130" i="63"/>
  <c r="E372" i="61"/>
  <c r="D480" i="63"/>
  <c r="D435" i="61"/>
  <c r="C368" i="63"/>
  <c r="D378" i="61"/>
  <c r="C226" i="63"/>
  <c r="D513" i="61"/>
  <c r="C132" i="63"/>
  <c r="B408" i="63"/>
  <c r="C84" i="61"/>
  <c r="E112" i="63"/>
  <c r="E118" i="47"/>
  <c r="D398" i="63"/>
  <c r="E44" i="61"/>
  <c r="E80" i="63"/>
  <c r="E86" i="47"/>
  <c r="E18" i="47"/>
  <c r="E12" i="63"/>
  <c r="C344" i="63"/>
  <c r="D339" i="61"/>
  <c r="D43" i="63"/>
  <c r="E157" i="61"/>
  <c r="E44" i="63"/>
  <c r="E50" i="47"/>
  <c r="E106" i="47"/>
  <c r="E100" i="63"/>
  <c r="E34" i="63"/>
  <c r="E40" i="47"/>
  <c r="D495" i="63"/>
  <c r="E432" i="61"/>
  <c r="E68" i="47"/>
  <c r="E62" i="63"/>
  <c r="C234" i="63"/>
  <c r="D410" i="61"/>
  <c r="C239" i="63"/>
  <c r="D430" i="61"/>
  <c r="B416" i="63"/>
  <c r="C116" i="61"/>
  <c r="D416" i="63"/>
  <c r="E116" i="61"/>
  <c r="C496" i="63"/>
  <c r="D436" i="61"/>
  <c r="E22" i="47"/>
  <c r="E16" i="63"/>
  <c r="E77" i="47"/>
  <c r="E71" i="63"/>
  <c r="D450" i="63"/>
  <c r="E252" i="61"/>
  <c r="E29" i="61"/>
  <c r="D11" i="63"/>
  <c r="C426" i="63"/>
  <c r="D156" i="61"/>
  <c r="C379" i="63"/>
  <c r="D479" i="61"/>
  <c r="D162" i="61"/>
  <c r="C172" i="63"/>
  <c r="E53" i="61"/>
  <c r="D17" i="63"/>
  <c r="D454" i="63"/>
  <c r="E268" i="61"/>
  <c r="C418" i="63"/>
  <c r="D124" i="61"/>
  <c r="AR13" i="47"/>
  <c r="B498" i="63"/>
  <c r="C444" i="61"/>
  <c r="D466" i="61"/>
  <c r="C248" i="63"/>
  <c r="C212" i="63"/>
  <c r="D322" i="61"/>
  <c r="C72" i="61"/>
  <c r="B405" i="63"/>
  <c r="C214" i="63"/>
  <c r="D330" i="61"/>
  <c r="D441" i="61"/>
  <c r="C114" i="63"/>
  <c r="D453" i="61"/>
  <c r="C117" i="63"/>
  <c r="D135" i="61"/>
  <c r="C293" i="63"/>
  <c r="D424" i="61"/>
  <c r="C493" i="63"/>
  <c r="D151" i="61"/>
  <c r="C297" i="63"/>
  <c r="E264" i="61"/>
  <c r="D453" i="63"/>
  <c r="C420" i="63"/>
  <c r="D132" i="61"/>
  <c r="AR89" i="47"/>
  <c r="D467" i="61"/>
  <c r="C376" i="63"/>
  <c r="C157" i="61"/>
  <c r="B43" i="63"/>
  <c r="A49" i="47"/>
  <c r="G49" i="47" s="1"/>
  <c r="B49" i="47" s="1"/>
  <c r="C44" i="63"/>
  <c r="D161" i="61"/>
  <c r="C100" i="63"/>
  <c r="D385" i="61"/>
  <c r="C243" i="63"/>
  <c r="D446" i="61"/>
  <c r="E111" i="47"/>
  <c r="E105" i="63"/>
  <c r="B487" i="63"/>
  <c r="C400" i="61"/>
  <c r="D88" i="61"/>
  <c r="C409" i="63"/>
  <c r="D472" i="63"/>
  <c r="E340" i="61"/>
  <c r="D121" i="61"/>
  <c r="C34" i="63"/>
  <c r="B34" i="63"/>
  <c r="C121" i="61"/>
  <c r="A40" i="47"/>
  <c r="G40" i="47" s="1"/>
  <c r="B40" i="47" s="1"/>
  <c r="D26" i="61"/>
  <c r="C138" i="63"/>
  <c r="C192" i="61"/>
  <c r="B435" i="63"/>
  <c r="AR130" i="47"/>
  <c r="D487" i="61"/>
  <c r="C381" i="63"/>
  <c r="D103" i="61"/>
  <c r="C285" i="63"/>
  <c r="D440" i="61"/>
  <c r="C497" i="63"/>
  <c r="B497" i="63"/>
  <c r="C440" i="61"/>
  <c r="C128" i="61"/>
  <c r="B419" i="63"/>
  <c r="D128" i="61"/>
  <c r="C419" i="63"/>
  <c r="E64" i="47"/>
  <c r="E58" i="63"/>
  <c r="B32" i="63"/>
  <c r="C113" i="61"/>
  <c r="A38" i="47"/>
  <c r="G38" i="47" s="1"/>
  <c r="B38" i="47" s="1"/>
  <c r="D55" i="61"/>
  <c r="C273" i="63"/>
  <c r="C428" i="61"/>
  <c r="B494" i="63"/>
  <c r="AR63" i="47"/>
  <c r="AR128" i="47"/>
  <c r="D473" i="61"/>
  <c r="C122" i="63"/>
  <c r="D425" i="63"/>
  <c r="E152" i="61"/>
  <c r="D178" i="61"/>
  <c r="C176" i="63"/>
  <c r="D394" i="61"/>
  <c r="C230" i="63"/>
  <c r="D489" i="63"/>
  <c r="E408" i="61"/>
  <c r="D83" i="61"/>
  <c r="C280" i="63"/>
  <c r="AR66" i="47"/>
  <c r="C364" i="63"/>
  <c r="D419" i="61"/>
  <c r="E43" i="47"/>
  <c r="E37" i="63"/>
  <c r="D133" i="61"/>
  <c r="C37" i="63"/>
  <c r="D48" i="61"/>
  <c r="C399" i="63"/>
  <c r="B390" i="63"/>
  <c r="C12" i="61"/>
  <c r="C305" i="63"/>
  <c r="D183" i="61"/>
  <c r="C13" i="63"/>
  <c r="D37" i="61"/>
  <c r="E19" i="47"/>
  <c r="E13" i="63"/>
  <c r="D448" i="61"/>
  <c r="C499" i="63"/>
  <c r="D106" i="61"/>
  <c r="C158" i="63"/>
  <c r="C400" i="63"/>
  <c r="D52" i="61"/>
  <c r="C16" i="63"/>
  <c r="D49" i="61"/>
  <c r="E344" i="61"/>
  <c r="D473" i="63"/>
  <c r="E79" i="63"/>
  <c r="E85" i="47"/>
  <c r="C450" i="63"/>
  <c r="D252" i="61"/>
  <c r="C337" i="63"/>
  <c r="D311" i="61"/>
  <c r="C480" i="61"/>
  <c r="B507" i="63"/>
  <c r="E105" i="47"/>
  <c r="E99" i="63"/>
  <c r="E156" i="61"/>
  <c r="D426" i="63"/>
  <c r="C107" i="63"/>
  <c r="D413" i="61"/>
  <c r="D477" i="63"/>
  <c r="E360" i="61"/>
  <c r="C330" i="63"/>
  <c r="D283" i="61"/>
  <c r="E136" i="61"/>
  <c r="D421" i="63"/>
  <c r="C421" i="63"/>
  <c r="D136" i="61"/>
  <c r="C395" i="63"/>
  <c r="D32" i="61"/>
  <c r="AR83" i="47"/>
  <c r="B432" i="63"/>
  <c r="C180" i="61"/>
  <c r="AR65" i="47"/>
  <c r="D218" i="61"/>
  <c r="C186" i="63"/>
  <c r="C284" i="61"/>
  <c r="B458" i="63"/>
  <c r="AR115" i="47"/>
  <c r="C183" i="63"/>
  <c r="D206" i="61"/>
  <c r="C209" i="63"/>
  <c r="D310" i="61"/>
  <c r="D239" i="61"/>
  <c r="C319" i="63"/>
  <c r="C72" i="63"/>
  <c r="D273" i="61"/>
  <c r="C232" i="63"/>
  <c r="D402" i="61"/>
  <c r="E200" i="61"/>
  <c r="D437" i="63"/>
  <c r="C277" i="63"/>
  <c r="D71" i="61"/>
  <c r="AR11" i="47"/>
  <c r="AU9" i="47"/>
  <c r="AJ8" i="47" s="1"/>
  <c r="AT11" i="47"/>
  <c r="AT9" i="47" s="1"/>
  <c r="AJ9" i="47" s="1"/>
  <c r="E36" i="47"/>
  <c r="E30" i="63"/>
  <c r="AR36" i="47"/>
  <c r="B17" i="63"/>
  <c r="C53" i="61"/>
  <c r="A23" i="47"/>
  <c r="D403" i="63"/>
  <c r="E64" i="61"/>
  <c r="B454" i="63"/>
  <c r="C268" i="61"/>
  <c r="E512" i="61"/>
  <c r="D515" i="63"/>
  <c r="C248" i="61"/>
  <c r="B449" i="63"/>
  <c r="E7" i="63"/>
  <c r="E13" i="47"/>
  <c r="C339" i="63"/>
  <c r="D319" i="61"/>
  <c r="C144" i="61"/>
  <c r="B423" i="63"/>
  <c r="C476" i="61"/>
  <c r="B506" i="63"/>
  <c r="C246" i="63"/>
  <c r="D458" i="61"/>
  <c r="B461" i="63"/>
  <c r="C296" i="61"/>
  <c r="C63" i="63"/>
  <c r="D237" i="61"/>
  <c r="E63" i="63"/>
  <c r="E69" i="47"/>
  <c r="C475" i="63"/>
  <c r="D352" i="61"/>
  <c r="D447" i="63"/>
  <c r="E240" i="61"/>
  <c r="B447" i="63"/>
  <c r="C240" i="61"/>
  <c r="D405" i="63"/>
  <c r="E72" i="61"/>
  <c r="E384" i="61"/>
  <c r="D483" i="63"/>
  <c r="B483" i="63"/>
  <c r="C384" i="61"/>
  <c r="C212" i="61"/>
  <c r="B440" i="63"/>
  <c r="C440" i="63"/>
  <c r="D212" i="61"/>
  <c r="D351" i="61"/>
  <c r="C347" i="63"/>
  <c r="E496" i="61"/>
  <c r="D511" i="63"/>
  <c r="C501" i="63"/>
  <c r="D456" i="61"/>
  <c r="D222" i="61"/>
  <c r="C187" i="63"/>
  <c r="AR137" i="47"/>
  <c r="AR127" i="47"/>
  <c r="AR123" i="47"/>
  <c r="E122" i="47"/>
  <c r="E116" i="63"/>
  <c r="D324" i="61"/>
  <c r="C468" i="63"/>
  <c r="D138" i="61"/>
  <c r="C166" i="63"/>
  <c r="E106" i="63"/>
  <c r="E112" i="47"/>
  <c r="D488" i="61"/>
  <c r="C509" i="63"/>
  <c r="B509" i="63"/>
  <c r="C488" i="61"/>
  <c r="E82" i="47"/>
  <c r="E76" i="63"/>
  <c r="AR82" i="47"/>
  <c r="E61" i="61"/>
  <c r="D19" i="63"/>
  <c r="D437" i="61"/>
  <c r="C113" i="63"/>
  <c r="AR119" i="47"/>
  <c r="D389" i="61"/>
  <c r="C101" i="63"/>
  <c r="C177" i="63"/>
  <c r="D182" i="61"/>
  <c r="D299" i="61"/>
  <c r="C334" i="63"/>
  <c r="E90" i="47"/>
  <c r="E84" i="63"/>
  <c r="B402" i="63"/>
  <c r="C60" i="61"/>
  <c r="E16" i="47"/>
  <c r="E10" i="63"/>
  <c r="C68" i="63"/>
  <c r="D257" i="61"/>
  <c r="AR32" i="47"/>
  <c r="E89" i="61"/>
  <c r="D26" i="63"/>
  <c r="C271" i="63"/>
  <c r="D47" i="61"/>
  <c r="C109" i="61"/>
  <c r="B31" i="63"/>
  <c r="A37" i="47"/>
  <c r="AR21" i="47"/>
  <c r="E112" i="61"/>
  <c r="D415" i="63"/>
  <c r="D443" i="63"/>
  <c r="E224" i="61"/>
  <c r="D104" i="61"/>
  <c r="C413" i="63"/>
  <c r="E316" i="61"/>
  <c r="D466" i="63"/>
  <c r="AR15" i="47"/>
  <c r="C401" i="63"/>
  <c r="D56" i="61"/>
  <c r="E114" i="47"/>
  <c r="E108" i="63"/>
  <c r="E137" i="61"/>
  <c r="D38" i="63"/>
  <c r="E38" i="63"/>
  <c r="E44" i="47"/>
  <c r="D489" i="61"/>
  <c r="C126" i="63"/>
  <c r="E85" i="63"/>
  <c r="E91" i="47"/>
  <c r="D337" i="61"/>
  <c r="C88" i="63"/>
  <c r="B482" i="63"/>
  <c r="C380" i="61"/>
  <c r="C156" i="63"/>
  <c r="D98" i="61"/>
  <c r="C56" i="63"/>
  <c r="D209" i="61"/>
  <c r="B508" i="63"/>
  <c r="C484" i="61"/>
  <c r="C396" i="61"/>
  <c r="B486" i="63"/>
  <c r="C266" i="63"/>
  <c r="D27" i="61"/>
  <c r="E125" i="63"/>
  <c r="E131" i="47"/>
  <c r="D36" i="63"/>
  <c r="E129" i="61"/>
  <c r="E36" i="63"/>
  <c r="E42" i="47"/>
  <c r="D490" i="61"/>
  <c r="C254" i="63"/>
  <c r="AR55" i="47"/>
  <c r="D463" i="63"/>
  <c r="E304" i="61"/>
  <c r="D482" i="61"/>
  <c r="C252" i="63"/>
  <c r="D391" i="61"/>
  <c r="C357" i="63"/>
  <c r="B446" i="63"/>
  <c r="C236" i="61"/>
  <c r="D455" i="61"/>
  <c r="C373" i="63"/>
  <c r="D198" i="61"/>
  <c r="C181" i="63"/>
  <c r="B18" i="63"/>
  <c r="C57" i="61"/>
  <c r="A24" i="47"/>
  <c r="D309" i="61"/>
  <c r="C81" i="63"/>
  <c r="D347" i="61"/>
  <c r="C346" i="63"/>
  <c r="D251" i="61"/>
  <c r="C322" i="63"/>
  <c r="AR59" i="47"/>
  <c r="D342" i="61"/>
  <c r="C217" i="63"/>
  <c r="D204" i="61"/>
  <c r="C438" i="63"/>
  <c r="D376" i="61"/>
  <c r="C481" i="63"/>
  <c r="D231" i="61"/>
  <c r="C317" i="63"/>
  <c r="D388" i="61"/>
  <c r="C484" i="63"/>
  <c r="AR48" i="47"/>
  <c r="C436" i="63"/>
  <c r="D196" i="61"/>
  <c r="E41" i="61"/>
  <c r="D14" i="63"/>
  <c r="AR20" i="47"/>
  <c r="E40" i="63"/>
  <c r="E46" i="47"/>
  <c r="E145" i="61"/>
  <c r="D40" i="63"/>
  <c r="B439" i="63"/>
  <c r="C208" i="61"/>
  <c r="C289" i="63"/>
  <c r="D119" i="61"/>
  <c r="C510" i="63"/>
  <c r="D492" i="61"/>
  <c r="D510" i="63"/>
  <c r="E492" i="61"/>
  <c r="C375" i="63"/>
  <c r="D463" i="61"/>
  <c r="C310" i="63"/>
  <c r="D203" i="61"/>
  <c r="B479" i="63"/>
  <c r="C368" i="61"/>
  <c r="E129" i="47"/>
  <c r="E123" i="63"/>
  <c r="C431" i="63"/>
  <c r="D176" i="61"/>
  <c r="C276" i="61"/>
  <c r="B456" i="63"/>
  <c r="D255" i="61"/>
  <c r="C323" i="63"/>
  <c r="D148" i="61"/>
  <c r="C424" i="63"/>
  <c r="C491" i="63"/>
  <c r="D416" i="61"/>
  <c r="D95" i="61"/>
  <c r="C283" i="63"/>
  <c r="D278" i="61"/>
  <c r="C201" i="63"/>
  <c r="D184" i="61"/>
  <c r="C433" i="63"/>
  <c r="D430" i="63"/>
  <c r="E172" i="61"/>
  <c r="D445" i="61"/>
  <c r="C115" i="63"/>
  <c r="C179" i="63"/>
  <c r="D190" i="61"/>
  <c r="C332" i="61"/>
  <c r="B470" i="63"/>
  <c r="E392" i="61"/>
  <c r="D485" i="63"/>
  <c r="D455" i="63"/>
  <c r="E272" i="61"/>
  <c r="D125" i="61"/>
  <c r="C35" i="63"/>
  <c r="C300" i="61"/>
  <c r="B462" i="63"/>
  <c r="AR54" i="47"/>
  <c r="C194" i="63"/>
  <c r="D250" i="61"/>
  <c r="D397" i="61"/>
  <c r="C103" i="63"/>
  <c r="E103" i="63"/>
  <c r="E109" i="47"/>
  <c r="AR134" i="47"/>
  <c r="C47" i="63"/>
  <c r="D173" i="61"/>
  <c r="C238" i="63"/>
  <c r="D426" i="61"/>
  <c r="D404" i="63"/>
  <c r="E68" i="61"/>
  <c r="C190" i="63"/>
  <c r="D234" i="61"/>
  <c r="E70" i="47"/>
  <c r="E64" i="63"/>
  <c r="C102" i="63"/>
  <c r="D393" i="61"/>
  <c r="AR79" i="47"/>
  <c r="D100" i="61"/>
  <c r="C412" i="63"/>
  <c r="C97" i="61"/>
  <c r="B28" i="63"/>
  <c r="A34" i="47"/>
  <c r="E34" i="47"/>
  <c r="E28" i="63"/>
  <c r="AR67" i="47"/>
  <c r="D354" i="61"/>
  <c r="C220" i="63"/>
  <c r="C165" i="61"/>
  <c r="B45" i="63"/>
  <c r="A51" i="47"/>
  <c r="E45" i="63"/>
  <c r="E51" i="47"/>
  <c r="E31" i="47"/>
  <c r="E25" i="63"/>
  <c r="D25" i="63"/>
  <c r="E85" i="61"/>
  <c r="D393" i="63"/>
  <c r="E24" i="61"/>
  <c r="D24" i="61"/>
  <c r="C393" i="63"/>
  <c r="D40" i="61"/>
  <c r="C397" i="63"/>
  <c r="B8" i="63"/>
  <c r="C17" i="61"/>
  <c r="A14" i="47"/>
  <c r="AR14" i="47"/>
  <c r="E17" i="61"/>
  <c r="D8" i="63"/>
  <c r="E103" i="47"/>
  <c r="E97" i="63"/>
  <c r="E50" i="63"/>
  <c r="E56" i="47"/>
  <c r="D115" i="61"/>
  <c r="C288" i="63"/>
  <c r="AR61" i="47"/>
  <c r="C233" i="63"/>
  <c r="D406" i="61"/>
  <c r="C300" i="63"/>
  <c r="D163" i="61"/>
  <c r="E30" i="47"/>
  <c r="E24" i="63"/>
  <c r="AR30" i="47"/>
  <c r="B513" i="63"/>
  <c r="C504" i="61"/>
  <c r="D341" i="61"/>
  <c r="C89" i="63"/>
  <c r="C104" i="63"/>
  <c r="D401" i="61"/>
  <c r="C343" i="63"/>
  <c r="D335" i="61"/>
  <c r="B476" i="63"/>
  <c r="C356" i="61"/>
  <c r="D356" i="61"/>
  <c r="C476" i="63"/>
  <c r="C340" i="63"/>
  <c r="D323" i="61"/>
  <c r="D474" i="61"/>
  <c r="C250" i="63"/>
  <c r="B23" i="63"/>
  <c r="C77" i="61"/>
  <c r="A29" i="47"/>
  <c r="G29" i="47" s="1"/>
  <c r="B29" i="47" s="1"/>
  <c r="D80" i="61"/>
  <c r="C407" i="63"/>
  <c r="C120" i="61"/>
  <c r="B417" i="63"/>
  <c r="E168" i="61"/>
  <c r="D429" i="63"/>
  <c r="C168" i="61"/>
  <c r="B429" i="63"/>
  <c r="D143" i="61"/>
  <c r="C295" i="63"/>
  <c r="D457" i="61"/>
  <c r="C118" i="63"/>
  <c r="D308" i="61"/>
  <c r="C464" i="63"/>
  <c r="C215" i="63"/>
  <c r="D334" i="61"/>
  <c r="E127" i="63"/>
  <c r="E133" i="47"/>
  <c r="AR133" i="47"/>
  <c r="B6" i="63"/>
  <c r="C9" i="61"/>
  <c r="A12" i="47"/>
  <c r="G12" i="47" s="1"/>
  <c r="B12" i="47" s="1"/>
  <c r="C28" i="61"/>
  <c r="B394" i="63"/>
  <c r="E117" i="61"/>
  <c r="D33" i="63"/>
  <c r="AR39" i="47"/>
  <c r="C278" i="63"/>
  <c r="D75" i="61"/>
  <c r="C244" i="63"/>
  <c r="D450" i="61"/>
  <c r="C65" i="63"/>
  <c r="D245" i="61"/>
  <c r="D160" i="61"/>
  <c r="C427" i="63"/>
  <c r="C93" i="61"/>
  <c r="B27" i="63"/>
  <c r="A33" i="47"/>
  <c r="E27" i="63"/>
  <c r="E33" i="47"/>
  <c r="C27" i="63"/>
  <c r="D93" i="61"/>
  <c r="C141" i="61"/>
  <c r="B39" i="63"/>
  <c r="A45" i="47"/>
  <c r="C220" i="61"/>
  <c r="B442" i="63"/>
  <c r="D298" i="61"/>
  <c r="C206" i="63"/>
  <c r="C21" i="63"/>
  <c r="D69" i="61"/>
  <c r="B21" i="63"/>
  <c r="C69" i="61"/>
  <c r="A27" i="47"/>
  <c r="D348" i="61"/>
  <c r="C474" i="63"/>
  <c r="E348" i="61"/>
  <c r="D474" i="63"/>
  <c r="D29" i="63"/>
  <c r="E101" i="61"/>
  <c r="C29" i="63"/>
  <c r="D101" i="61"/>
  <c r="C130" i="63"/>
  <c r="D505" i="61"/>
  <c r="C372" i="61"/>
  <c r="B480" i="63"/>
  <c r="C320" i="61"/>
  <c r="B467" i="63"/>
  <c r="D391" i="63"/>
  <c r="E16" i="61"/>
  <c r="AR58" i="47"/>
  <c r="C294" i="63"/>
  <c r="D139" i="61"/>
  <c r="D288" i="61"/>
  <c r="C459" i="63"/>
  <c r="C112" i="63"/>
  <c r="D433" i="61"/>
  <c r="AR88" i="47"/>
  <c r="C198" i="63"/>
  <c r="D266" i="61"/>
  <c r="C12" i="63"/>
  <c r="D33" i="61"/>
  <c r="E33" i="61"/>
  <c r="D12" i="63"/>
  <c r="B514" i="63"/>
  <c r="C508" i="61"/>
  <c r="C384" i="63"/>
  <c r="D499" i="61"/>
  <c r="E98" i="63"/>
  <c r="E104" i="47"/>
  <c r="C460" i="61"/>
  <c r="B502" i="63"/>
  <c r="G37" i="47" l="1"/>
  <c r="B37" i="47" s="1"/>
  <c r="G33" i="47"/>
  <c r="B33" i="47" s="1"/>
  <c r="G27" i="47"/>
  <c r="B27" i="47" s="1"/>
  <c r="D27" i="47" s="1"/>
  <c r="G131" i="47"/>
  <c r="B131" i="47" s="1"/>
  <c r="G98" i="47"/>
  <c r="B98" i="47" s="1"/>
  <c r="C98" i="47" s="1"/>
  <c r="AM98" i="47" s="1"/>
  <c r="G57" i="47"/>
  <c r="B57" i="47" s="1"/>
  <c r="D57" i="47" s="1"/>
  <c r="G35" i="47"/>
  <c r="B35" i="47" s="1"/>
  <c r="C35" i="47" s="1"/>
  <c r="AM35" i="47" s="1"/>
  <c r="G85" i="47"/>
  <c r="B85" i="47" s="1"/>
  <c r="D85" i="47" s="1"/>
  <c r="G93" i="47"/>
  <c r="B93" i="47" s="1"/>
  <c r="D93" i="47" s="1"/>
  <c r="G17" i="47"/>
  <c r="B17" i="47" s="1"/>
  <c r="C17" i="47" s="1"/>
  <c r="AM17" i="47" s="1"/>
  <c r="G19" i="47"/>
  <c r="B19" i="47" s="1"/>
  <c r="C19" i="47" s="1"/>
  <c r="AM19" i="47" s="1"/>
  <c r="G45" i="47"/>
  <c r="B45" i="47" s="1"/>
  <c r="C45" i="47" s="1"/>
  <c r="AM45" i="47" s="1"/>
  <c r="G47" i="47"/>
  <c r="B47" i="47" s="1"/>
  <c r="C47" i="47" s="1"/>
  <c r="AM47" i="47" s="1"/>
  <c r="G22" i="47"/>
  <c r="B22" i="47" s="1"/>
  <c r="C22" i="47" s="1"/>
  <c r="AM22" i="47" s="1"/>
  <c r="G74" i="47"/>
  <c r="B74" i="47" s="1"/>
  <c r="C74" i="47" s="1"/>
  <c r="AM74" i="47" s="1"/>
  <c r="G78" i="47"/>
  <c r="B78" i="47" s="1"/>
  <c r="D78" i="47" s="1"/>
  <c r="G23" i="47"/>
  <c r="B23" i="47" s="1"/>
  <c r="D23" i="47" s="1"/>
  <c r="G53" i="47"/>
  <c r="B53" i="47" s="1"/>
  <c r="C53" i="47" s="1"/>
  <c r="AM53" i="47" s="1"/>
  <c r="G50" i="47"/>
  <c r="B50" i="47" s="1"/>
  <c r="C50" i="47" s="1"/>
  <c r="AM50" i="47" s="1"/>
  <c r="G24" i="47"/>
  <c r="B24" i="47" s="1"/>
  <c r="D24" i="47" s="1"/>
  <c r="G43" i="47"/>
  <c r="B43" i="47" s="1"/>
  <c r="C43" i="47" s="1"/>
  <c r="AM43" i="47" s="1"/>
  <c r="G76" i="47"/>
  <c r="B76" i="47" s="1"/>
  <c r="D76" i="47" s="1"/>
  <c r="G56" i="47"/>
  <c r="B56" i="47" s="1"/>
  <c r="D56" i="47" s="1"/>
  <c r="G111" i="47"/>
  <c r="B111" i="47" s="1"/>
  <c r="D111" i="47" s="1"/>
  <c r="G101" i="47"/>
  <c r="B101" i="47" s="1"/>
  <c r="D101" i="47" s="1"/>
  <c r="G42" i="47"/>
  <c r="B42" i="47" s="1"/>
  <c r="D42" i="47" s="1"/>
  <c r="G116" i="47"/>
  <c r="B116" i="47" s="1"/>
  <c r="C116" i="47" s="1"/>
  <c r="AM116" i="47" s="1"/>
  <c r="G34" i="47"/>
  <c r="B34" i="47" s="1"/>
  <c r="D34" i="47" s="1"/>
  <c r="G31" i="47"/>
  <c r="B31" i="47" s="1"/>
  <c r="D31" i="47" s="1"/>
  <c r="G77" i="47"/>
  <c r="B77" i="47" s="1"/>
  <c r="D77" i="47" s="1"/>
  <c r="G32" i="47"/>
  <c r="B32" i="47" s="1"/>
  <c r="D32" i="47" s="1"/>
  <c r="G67" i="47"/>
  <c r="B67" i="47" s="1"/>
  <c r="C67" i="47" s="1"/>
  <c r="AM67" i="47" s="1"/>
  <c r="G134" i="47"/>
  <c r="B134" i="47" s="1"/>
  <c r="D134" i="47" s="1"/>
  <c r="G63" i="47"/>
  <c r="B63" i="47" s="1"/>
  <c r="D63" i="47" s="1"/>
  <c r="G80" i="47"/>
  <c r="B80" i="47" s="1"/>
  <c r="C80" i="47" s="1"/>
  <c r="AM80" i="47" s="1"/>
  <c r="G91" i="47"/>
  <c r="B91" i="47" s="1"/>
  <c r="C91" i="47" s="1"/>
  <c r="AM91" i="47" s="1"/>
  <c r="G102" i="47"/>
  <c r="B102" i="47" s="1"/>
  <c r="D102" i="47" s="1"/>
  <c r="G99" i="47"/>
  <c r="B99" i="47" s="1"/>
  <c r="D99" i="47" s="1"/>
  <c r="G133" i="47"/>
  <c r="B133" i="47" s="1"/>
  <c r="C133" i="47" s="1"/>
  <c r="AM133" i="47" s="1"/>
  <c r="G103" i="47"/>
  <c r="B103" i="47" s="1"/>
  <c r="C103" i="47" s="1"/>
  <c r="AM103" i="47" s="1"/>
  <c r="G20" i="47"/>
  <c r="B20" i="47" s="1"/>
  <c r="C20" i="47" s="1"/>
  <c r="AM20" i="47" s="1"/>
  <c r="G44" i="47"/>
  <c r="B44" i="47" s="1"/>
  <c r="D44" i="47" s="1"/>
  <c r="G69" i="47"/>
  <c r="B69" i="47" s="1"/>
  <c r="C69" i="47" s="1"/>
  <c r="AM69" i="47" s="1"/>
  <c r="G14" i="47"/>
  <c r="B14" i="47" s="1"/>
  <c r="D14" i="47" s="1"/>
  <c r="G13" i="47"/>
  <c r="B13" i="47" s="1"/>
  <c r="D13" i="47" s="1"/>
  <c r="G30" i="47"/>
  <c r="B30" i="47" s="1"/>
  <c r="D30" i="47" s="1"/>
  <c r="G52" i="47"/>
  <c r="B52" i="47" s="1"/>
  <c r="D52" i="47" s="1"/>
  <c r="G26" i="47"/>
  <c r="B26" i="47" s="1"/>
  <c r="D26" i="47" s="1"/>
  <c r="G11" i="47"/>
  <c r="B11" i="47" s="1"/>
  <c r="D11" i="47" s="1"/>
  <c r="G122" i="47"/>
  <c r="B122" i="47" s="1"/>
  <c r="C122" i="47" s="1"/>
  <c r="AM122" i="47" s="1"/>
  <c r="G119" i="47"/>
  <c r="B119" i="47" s="1"/>
  <c r="G72" i="47"/>
  <c r="B72" i="47" s="1"/>
  <c r="D98" i="47"/>
  <c r="D106" i="47"/>
  <c r="C106" i="47"/>
  <c r="AM106" i="47" s="1"/>
  <c r="G65" i="47"/>
  <c r="B65" i="47" s="1"/>
  <c r="G83" i="47"/>
  <c r="B83" i="47" s="1"/>
  <c r="G59" i="47"/>
  <c r="B59" i="47" s="1"/>
  <c r="D12" i="47"/>
  <c r="C12" i="47"/>
  <c r="AM12" i="47" s="1"/>
  <c r="G15" i="47"/>
  <c r="B15" i="47" s="1"/>
  <c r="G61" i="47"/>
  <c r="B61" i="47" s="1"/>
  <c r="G123" i="47"/>
  <c r="B123" i="47" s="1"/>
  <c r="G120" i="47"/>
  <c r="B120" i="47" s="1"/>
  <c r="G92" i="47"/>
  <c r="B92" i="47" s="1"/>
  <c r="D125" i="47"/>
  <c r="C125" i="47"/>
  <c r="AM125" i="47" s="1"/>
  <c r="C131" i="47"/>
  <c r="AM131" i="47" s="1"/>
  <c r="D131" i="47"/>
  <c r="G51" i="47"/>
  <c r="B51" i="47" s="1"/>
  <c r="C49" i="47"/>
  <c r="AM49" i="47" s="1"/>
  <c r="D49" i="47"/>
  <c r="G21" i="47"/>
  <c r="B21" i="47" s="1"/>
  <c r="G18" i="47"/>
  <c r="B18" i="47" s="1"/>
  <c r="C16" i="47"/>
  <c r="AM16" i="47" s="1"/>
  <c r="D16" i="47"/>
  <c r="G39" i="47"/>
  <c r="B39" i="47" s="1"/>
  <c r="G28" i="47"/>
  <c r="B28" i="47" s="1"/>
  <c r="G48" i="47"/>
  <c r="B48" i="47" s="1"/>
  <c r="G114" i="47"/>
  <c r="B114" i="47" s="1"/>
  <c r="G112" i="47"/>
  <c r="B112" i="47" s="1"/>
  <c r="C96" i="47"/>
  <c r="AM96" i="47" s="1"/>
  <c r="D96" i="47"/>
  <c r="G75" i="47"/>
  <c r="B75" i="47" s="1"/>
  <c r="G68" i="47"/>
  <c r="B68" i="47" s="1"/>
  <c r="G86" i="47"/>
  <c r="B86" i="47" s="1"/>
  <c r="G105" i="47"/>
  <c r="B105" i="47" s="1"/>
  <c r="G71" i="47"/>
  <c r="B71" i="47" s="1"/>
  <c r="G117" i="47"/>
  <c r="B117" i="47" s="1"/>
  <c r="G132" i="47"/>
  <c r="B132" i="47" s="1"/>
  <c r="G137" i="47"/>
  <c r="B137" i="47" s="1"/>
  <c r="G55" i="47"/>
  <c r="B55" i="47" s="1"/>
  <c r="G62" i="47"/>
  <c r="B62" i="47" s="1"/>
  <c r="G128" i="47"/>
  <c r="B128" i="47" s="1"/>
  <c r="G64" i="47"/>
  <c r="B64" i="47" s="1"/>
  <c r="G130" i="47"/>
  <c r="B130" i="47" s="1"/>
  <c r="G89" i="47"/>
  <c r="B89" i="47" s="1"/>
  <c r="G108" i="47"/>
  <c r="B108" i="47" s="1"/>
  <c r="G109" i="47"/>
  <c r="B109" i="47" s="1"/>
  <c r="G88" i="47"/>
  <c r="B88" i="47" s="1"/>
  <c r="G110" i="47"/>
  <c r="B110" i="47" s="1"/>
  <c r="G54" i="47"/>
  <c r="B54" i="47" s="1"/>
  <c r="G84" i="47"/>
  <c r="B84" i="47" s="1"/>
  <c r="G135" i="47"/>
  <c r="B135" i="47" s="1"/>
  <c r="G129" i="47"/>
  <c r="B129" i="47" s="1"/>
  <c r="G127" i="47"/>
  <c r="B127" i="47" s="1"/>
  <c r="G136" i="47"/>
  <c r="B136" i="47" s="1"/>
  <c r="G107" i="47"/>
  <c r="B107" i="47" s="1"/>
  <c r="G115" i="47"/>
  <c r="B115" i="47" s="1"/>
  <c r="G58" i="47"/>
  <c r="B58" i="47" s="1"/>
  <c r="C113" i="47"/>
  <c r="AM113" i="47" s="1"/>
  <c r="D113" i="47"/>
  <c r="D33" i="47"/>
  <c r="C33" i="47"/>
  <c r="AM33" i="47" s="1"/>
  <c r="C38" i="47"/>
  <c r="AM38" i="47" s="1"/>
  <c r="D38" i="47"/>
  <c r="C41" i="47"/>
  <c r="AM41" i="47" s="1"/>
  <c r="D41" i="47"/>
  <c r="D29" i="47"/>
  <c r="C29" i="47"/>
  <c r="AM29" i="47" s="1"/>
  <c r="C37" i="47"/>
  <c r="AM37" i="47" s="1"/>
  <c r="D37" i="47"/>
  <c r="D40" i="47"/>
  <c r="C40" i="47"/>
  <c r="AM40" i="47" s="1"/>
  <c r="G36" i="47"/>
  <c r="B36" i="47" s="1"/>
  <c r="G46" i="47"/>
  <c r="B46" i="47" s="1"/>
  <c r="G25" i="47"/>
  <c r="B25" i="47" s="1"/>
  <c r="G1" i="61"/>
  <c r="L1" i="112"/>
  <c r="S1" i="47"/>
  <c r="G104" i="47"/>
  <c r="B104" i="47" s="1"/>
  <c r="G126" i="47"/>
  <c r="B126" i="47" s="1"/>
  <c r="G70" i="47"/>
  <c r="B70" i="47" s="1"/>
  <c r="G97" i="47"/>
  <c r="B97" i="47" s="1"/>
  <c r="C87" i="47"/>
  <c r="AM87" i="47" s="1"/>
  <c r="D87" i="47"/>
  <c r="G94" i="47"/>
  <c r="B94" i="47" s="1"/>
  <c r="G100" i="47"/>
  <c r="B100" i="47" s="1"/>
  <c r="G121" i="47"/>
  <c r="B121" i="47" s="1"/>
  <c r="G60" i="47"/>
  <c r="B60" i="47" s="1"/>
  <c r="G73" i="47"/>
  <c r="B73" i="47" s="1"/>
  <c r="G118" i="47"/>
  <c r="B118" i="47" s="1"/>
  <c r="G138" i="47"/>
  <c r="B138" i="47" s="1"/>
  <c r="G124" i="47"/>
  <c r="B124" i="47" s="1"/>
  <c r="G95" i="47"/>
  <c r="B95" i="47" s="1"/>
  <c r="G81" i="47"/>
  <c r="B81" i="47" s="1"/>
  <c r="G66" i="47"/>
  <c r="B66" i="47" s="1"/>
  <c r="G79" i="47"/>
  <c r="B79" i="47" s="1"/>
  <c r="G90" i="47"/>
  <c r="B90" i="47" s="1"/>
  <c r="G82" i="47"/>
  <c r="B82" i="47" s="1"/>
  <c r="D17" i="47" l="1"/>
  <c r="C27" i="47"/>
  <c r="AM27" i="47" s="1"/>
  <c r="D35" i="47"/>
  <c r="C57" i="47"/>
  <c r="AM57" i="47" s="1"/>
  <c r="D45" i="47"/>
  <c r="D47" i="47"/>
  <c r="D19" i="47"/>
  <c r="D22" i="47"/>
  <c r="D74" i="47"/>
  <c r="C93" i="47"/>
  <c r="AM93" i="47" s="1"/>
  <c r="C56" i="47"/>
  <c r="AM56" i="47" s="1"/>
  <c r="C85" i="47"/>
  <c r="AM85" i="47" s="1"/>
  <c r="C76" i="47"/>
  <c r="AM76" i="47" s="1"/>
  <c r="D53" i="47"/>
  <c r="C78" i="47"/>
  <c r="AM78" i="47" s="1"/>
  <c r="D122" i="47"/>
  <c r="C23" i="47"/>
  <c r="AM23" i="47" s="1"/>
  <c r="D116" i="47"/>
  <c r="D50" i="47"/>
  <c r="C99" i="47"/>
  <c r="AM99" i="47" s="1"/>
  <c r="C30" i="47"/>
  <c r="AM30" i="47" s="1"/>
  <c r="C63" i="47"/>
  <c r="AM63" i="47" s="1"/>
  <c r="C24" i="47"/>
  <c r="AM24" i="47" s="1"/>
  <c r="D43" i="47"/>
  <c r="D80" i="47"/>
  <c r="D69" i="47"/>
  <c r="C101" i="47"/>
  <c r="AM101" i="47" s="1"/>
  <c r="D20" i="47"/>
  <c r="C42" i="47"/>
  <c r="AM42" i="47" s="1"/>
  <c r="C44" i="47"/>
  <c r="AM44" i="47" s="1"/>
  <c r="C111" i="47"/>
  <c r="AM111" i="47" s="1"/>
  <c r="C11" i="47"/>
  <c r="AM11" i="47" s="1"/>
  <c r="C13" i="47"/>
  <c r="AM13" i="47" s="1"/>
  <c r="C102" i="47"/>
  <c r="AM102" i="47" s="1"/>
  <c r="C134" i="47"/>
  <c r="AM134" i="47" s="1"/>
  <c r="C31" i="47"/>
  <c r="AM31" i="47" s="1"/>
  <c r="D67" i="47"/>
  <c r="D133" i="47"/>
  <c r="C32" i="47"/>
  <c r="AM32" i="47" s="1"/>
  <c r="C26" i="47"/>
  <c r="AM26" i="47" s="1"/>
  <c r="C52" i="47"/>
  <c r="AM52" i="47" s="1"/>
  <c r="C14" i="47"/>
  <c r="AM14" i="47" s="1"/>
  <c r="C34" i="47"/>
  <c r="AM34" i="47" s="1"/>
  <c r="C77" i="47"/>
  <c r="AM77" i="47" s="1"/>
  <c r="D103" i="47"/>
  <c r="D91" i="47"/>
  <c r="D79" i="47"/>
  <c r="C79" i="47"/>
  <c r="AM79" i="47" s="1"/>
  <c r="D60" i="47"/>
  <c r="C60" i="47"/>
  <c r="AM60" i="47" s="1"/>
  <c r="D115" i="47"/>
  <c r="C115" i="47"/>
  <c r="AM115" i="47" s="1"/>
  <c r="D84" i="47"/>
  <c r="C84" i="47"/>
  <c r="AM84" i="47" s="1"/>
  <c r="C137" i="47"/>
  <c r="AM137" i="47" s="1"/>
  <c r="D137" i="47"/>
  <c r="C68" i="47"/>
  <c r="AM68" i="47" s="1"/>
  <c r="D68" i="47"/>
  <c r="D92" i="47"/>
  <c r="C92" i="47"/>
  <c r="AM92" i="47" s="1"/>
  <c r="C83" i="47"/>
  <c r="AM83" i="47" s="1"/>
  <c r="D83" i="47"/>
  <c r="C66" i="47"/>
  <c r="AM66" i="47" s="1"/>
  <c r="D66" i="47"/>
  <c r="C95" i="47"/>
  <c r="AM95" i="47" s="1"/>
  <c r="D95" i="47"/>
  <c r="C73" i="47"/>
  <c r="AM73" i="47" s="1"/>
  <c r="D73" i="47"/>
  <c r="C121" i="47"/>
  <c r="AM121" i="47" s="1"/>
  <c r="D121" i="47"/>
  <c r="D94" i="47"/>
  <c r="C94" i="47"/>
  <c r="AM94" i="47" s="1"/>
  <c r="C70" i="47"/>
  <c r="AM70" i="47" s="1"/>
  <c r="D70" i="47"/>
  <c r="C58" i="47"/>
  <c r="AM58" i="47" s="1"/>
  <c r="D58" i="47"/>
  <c r="C127" i="47"/>
  <c r="AM127" i="47" s="1"/>
  <c r="D127" i="47"/>
  <c r="C54" i="47"/>
  <c r="AM54" i="47" s="1"/>
  <c r="D54" i="47"/>
  <c r="C108" i="47"/>
  <c r="AM108" i="47" s="1"/>
  <c r="D108" i="47"/>
  <c r="D128" i="47"/>
  <c r="C128" i="47"/>
  <c r="AM128" i="47" s="1"/>
  <c r="C71" i="47"/>
  <c r="AM71" i="47" s="1"/>
  <c r="D71" i="47"/>
  <c r="D18" i="47"/>
  <c r="C18" i="47"/>
  <c r="AM18" i="47" s="1"/>
  <c r="D51" i="47"/>
  <c r="C51" i="47"/>
  <c r="AM51" i="47" s="1"/>
  <c r="D120" i="47"/>
  <c r="C120" i="47"/>
  <c r="AM120" i="47" s="1"/>
  <c r="D59" i="47"/>
  <c r="C59" i="47"/>
  <c r="AM59" i="47" s="1"/>
  <c r="D65" i="47"/>
  <c r="C65" i="47"/>
  <c r="AM65" i="47" s="1"/>
  <c r="D82" i="47"/>
  <c r="C82" i="47"/>
  <c r="AM82" i="47" s="1"/>
  <c r="D118" i="47"/>
  <c r="C118" i="47"/>
  <c r="AM118" i="47" s="1"/>
  <c r="C97" i="47"/>
  <c r="AM97" i="47" s="1"/>
  <c r="D97" i="47"/>
  <c r="C46" i="47"/>
  <c r="AM46" i="47" s="1"/>
  <c r="D46" i="47"/>
  <c r="D136" i="47"/>
  <c r="C136" i="47"/>
  <c r="AM136" i="47" s="1"/>
  <c r="C109" i="47"/>
  <c r="AM109" i="47" s="1"/>
  <c r="D109" i="47"/>
  <c r="D117" i="47"/>
  <c r="C117" i="47"/>
  <c r="AM117" i="47" s="1"/>
  <c r="C124" i="47"/>
  <c r="AM124" i="47" s="1"/>
  <c r="D124" i="47"/>
  <c r="D100" i="47"/>
  <c r="C100" i="47"/>
  <c r="AM100" i="47" s="1"/>
  <c r="D126" i="47"/>
  <c r="C126" i="47"/>
  <c r="AM126" i="47" s="1"/>
  <c r="C129" i="47"/>
  <c r="AM129" i="47" s="1"/>
  <c r="D129" i="47"/>
  <c r="D110" i="47"/>
  <c r="C110" i="47"/>
  <c r="AM110" i="47" s="1"/>
  <c r="C89" i="47"/>
  <c r="AM89" i="47" s="1"/>
  <c r="D89" i="47"/>
  <c r="C62" i="47"/>
  <c r="AM62" i="47" s="1"/>
  <c r="D62" i="47"/>
  <c r="D105" i="47"/>
  <c r="C105" i="47"/>
  <c r="AM105" i="47" s="1"/>
  <c r="C112" i="47"/>
  <c r="AM112" i="47" s="1"/>
  <c r="D112" i="47"/>
  <c r="C39" i="47"/>
  <c r="AM39" i="47" s="1"/>
  <c r="D39" i="47"/>
  <c r="C21" i="47"/>
  <c r="AM21" i="47" s="1"/>
  <c r="D21" i="47"/>
  <c r="D123" i="47"/>
  <c r="C123" i="47"/>
  <c r="AM123" i="47" s="1"/>
  <c r="C15" i="47"/>
  <c r="AM15" i="47" s="1"/>
  <c r="D15" i="47"/>
  <c r="C72" i="47"/>
  <c r="AM72" i="47" s="1"/>
  <c r="D72" i="47"/>
  <c r="D81" i="47"/>
  <c r="C81" i="47"/>
  <c r="AM81" i="47" s="1"/>
  <c r="D36" i="47"/>
  <c r="C36" i="47"/>
  <c r="AM36" i="47" s="1"/>
  <c r="D64" i="47"/>
  <c r="C64" i="47"/>
  <c r="AM64" i="47" s="1"/>
  <c r="D48" i="47"/>
  <c r="C48" i="47"/>
  <c r="AM48" i="47" s="1"/>
  <c r="D90" i="47"/>
  <c r="C90" i="47"/>
  <c r="AM90" i="47" s="1"/>
  <c r="D138" i="47"/>
  <c r="C138" i="47"/>
  <c r="AM138" i="47" s="1"/>
  <c r="D104" i="47"/>
  <c r="C104" i="47"/>
  <c r="AM104" i="47" s="1"/>
  <c r="D25" i="47"/>
  <c r="C25" i="47"/>
  <c r="AM25" i="47" s="1"/>
  <c r="K7" i="47"/>
  <c r="N2" i="47" s="1"/>
  <c r="C107" i="47"/>
  <c r="AM107" i="47" s="1"/>
  <c r="D107" i="47"/>
  <c r="D135" i="47"/>
  <c r="C135" i="47"/>
  <c r="AM135" i="47" s="1"/>
  <c r="C88" i="47"/>
  <c r="AM88" i="47" s="1"/>
  <c r="D88" i="47"/>
  <c r="D130" i="47"/>
  <c r="C130" i="47"/>
  <c r="AM130" i="47" s="1"/>
  <c r="D55" i="47"/>
  <c r="C55" i="47"/>
  <c r="AM55" i="47" s="1"/>
  <c r="D132" i="47"/>
  <c r="C132" i="47"/>
  <c r="AM132" i="47" s="1"/>
  <c r="D86" i="47"/>
  <c r="C86" i="47"/>
  <c r="AM86" i="47" s="1"/>
  <c r="D75" i="47"/>
  <c r="C75" i="47"/>
  <c r="AM75" i="47" s="1"/>
  <c r="C114" i="47"/>
  <c r="AM114" i="47" s="1"/>
  <c r="D114" i="47"/>
  <c r="D28" i="47"/>
  <c r="C28" i="47"/>
  <c r="AM28" i="47" s="1"/>
  <c r="D61" i="47"/>
  <c r="C61" i="47"/>
  <c r="AM61" i="47" s="1"/>
  <c r="D119" i="47"/>
  <c r="C119" i="47"/>
  <c r="AM119" i="47" s="1"/>
  <c r="S3" i="47" l="1"/>
  <c r="L2" i="112"/>
  <c r="L3" i="112"/>
  <c r="S2" i="47"/>
  <c r="C123" i="128"/>
  <c r="C107" i="128"/>
  <c r="A15" i="128"/>
  <c r="A86" i="128"/>
  <c r="AL44" i="47"/>
  <c r="C36" i="128" s="1"/>
  <c r="AL129" i="47"/>
  <c r="C69" i="128"/>
  <c r="C81" i="128"/>
  <c r="C89" i="128"/>
  <c r="C70" i="128"/>
  <c r="A94" i="128"/>
  <c r="A118" i="128"/>
  <c r="A37" i="128"/>
  <c r="AL116" i="47"/>
  <c r="AL83" i="47"/>
  <c r="C129" i="128"/>
  <c r="A85" i="128"/>
  <c r="A43" i="128"/>
  <c r="A44" i="128"/>
  <c r="A107" i="128"/>
  <c r="I3" i="112"/>
  <c r="A55" i="128"/>
  <c r="A108" i="128"/>
  <c r="A123" i="128"/>
  <c r="C85" i="128"/>
  <c r="AL94" i="47"/>
  <c r="AL12" i="47"/>
  <c r="C4" i="128" s="1"/>
  <c r="AL14" i="47"/>
  <c r="C6" i="128" s="1"/>
  <c r="C92" i="128"/>
  <c r="C127" i="128"/>
  <c r="A16" i="128"/>
  <c r="A9" i="128"/>
  <c r="AL47" i="47"/>
  <c r="C39" i="128" s="1"/>
  <c r="A3" i="128"/>
  <c r="C76" i="128"/>
  <c r="AL86" i="47"/>
  <c r="C121" i="128"/>
  <c r="A38" i="128"/>
  <c r="A23" i="128"/>
  <c r="AL124" i="47"/>
  <c r="AL87" i="47"/>
  <c r="AL136" i="47"/>
  <c r="AL28" i="47"/>
  <c r="C20" i="128" s="1"/>
  <c r="AL108" i="47"/>
  <c r="AL77" i="47"/>
  <c r="A67" i="128"/>
  <c r="AL98" i="47"/>
  <c r="AL43" i="47"/>
  <c r="C35" i="128" s="1"/>
  <c r="F3" i="111"/>
  <c r="C73" i="128"/>
  <c r="AL41" i="47"/>
  <c r="C33" i="128" s="1"/>
  <c r="AL37" i="47"/>
  <c r="C29" i="128" s="1"/>
  <c r="C95" i="128"/>
  <c r="A30" i="128"/>
  <c r="C83" i="128"/>
  <c r="C79" i="128"/>
  <c r="A72" i="128"/>
  <c r="A104" i="128"/>
  <c r="A70" i="128"/>
  <c r="AL101" i="47"/>
  <c r="AL126" i="47"/>
  <c r="AV9" i="47"/>
  <c r="AL79" i="47"/>
  <c r="AL55" i="47"/>
  <c r="C47" i="128" s="1"/>
  <c r="A58" i="128"/>
  <c r="AL120" i="47"/>
  <c r="C117" i="128"/>
  <c r="AL60" i="47"/>
  <c r="C52" i="128" s="1"/>
  <c r="AL82" i="47"/>
  <c r="AL23" i="47"/>
  <c r="C15" i="128" s="1"/>
  <c r="C111" i="128"/>
  <c r="AL115" i="47"/>
  <c r="A50" i="128"/>
  <c r="AL67" i="47"/>
  <c r="C59" i="128" s="1"/>
  <c r="AL122" i="47"/>
  <c r="A21" i="128"/>
  <c r="A122" i="128"/>
  <c r="A115" i="128"/>
  <c r="AL127" i="47"/>
  <c r="C109" i="128"/>
  <c r="A92" i="128"/>
  <c r="C93" i="128"/>
  <c r="A60" i="128"/>
  <c r="AL110" i="47"/>
  <c r="AL93" i="47"/>
  <c r="A84" i="128"/>
  <c r="C87" i="128"/>
  <c r="AL15" i="47"/>
  <c r="C7" i="128" s="1"/>
  <c r="C120" i="128"/>
  <c r="A42" i="128"/>
  <c r="A81" i="128"/>
  <c r="A89" i="128"/>
  <c r="A45" i="128"/>
  <c r="C66" i="128"/>
  <c r="AL104" i="47"/>
  <c r="A40" i="128"/>
  <c r="A65" i="128"/>
  <c r="AL90" i="47"/>
  <c r="AL76" i="47"/>
  <c r="A52" i="128"/>
  <c r="A25" i="128"/>
  <c r="A80" i="128"/>
  <c r="AL19" i="47"/>
  <c r="C11" i="128" s="1"/>
  <c r="AL57" i="47"/>
  <c r="C49" i="128" s="1"/>
  <c r="A24" i="128"/>
  <c r="C77" i="128"/>
  <c r="AL53" i="47"/>
  <c r="C45" i="128" s="1"/>
  <c r="A36" i="128"/>
  <c r="A63" i="128"/>
  <c r="AL92" i="47"/>
  <c r="AL106" i="47"/>
  <c r="C72" i="128"/>
  <c r="AL30" i="47"/>
  <c r="C22" i="128" s="1"/>
  <c r="A17" i="128"/>
  <c r="AL65" i="47"/>
  <c r="C57" i="128" s="1"/>
  <c r="AL99" i="47"/>
  <c r="AL117" i="47"/>
  <c r="AL39" i="47"/>
  <c r="C31" i="128" s="1"/>
  <c r="AL69" i="47"/>
  <c r="A77" i="128"/>
  <c r="A105" i="128"/>
  <c r="AL36" i="47"/>
  <c r="C28" i="128" s="1"/>
  <c r="AL59" i="47"/>
  <c r="C51" i="128" s="1"/>
  <c r="AL84" i="47"/>
  <c r="A5" i="128"/>
  <c r="C62" i="128"/>
  <c r="A48" i="128"/>
  <c r="AL121" i="47"/>
  <c r="AL49" i="47"/>
  <c r="C41" i="128" s="1"/>
  <c r="A35" i="128"/>
  <c r="A113" i="128"/>
  <c r="C86" i="128"/>
  <c r="C100" i="128"/>
  <c r="A33" i="128"/>
  <c r="AL137" i="47"/>
  <c r="C102" i="128"/>
  <c r="AL21" i="47"/>
  <c r="C13" i="128" s="1"/>
  <c r="AL17" i="47"/>
  <c r="C9" i="128" s="1"/>
  <c r="AL91" i="47"/>
  <c r="A91" i="128"/>
  <c r="A97" i="128"/>
  <c r="A28" i="128"/>
  <c r="A13" i="128"/>
  <c r="AL61" i="47"/>
  <c r="C53" i="128" s="1"/>
  <c r="AL35" i="47"/>
  <c r="C27" i="128" s="1"/>
  <c r="A75" i="128"/>
  <c r="A61" i="128"/>
  <c r="C88" i="128"/>
  <c r="AL95" i="47"/>
  <c r="A74" i="128"/>
  <c r="A125" i="128"/>
  <c r="C101" i="128"/>
  <c r="C64" i="128"/>
  <c r="AL24" i="47"/>
  <c r="C16" i="128" s="1"/>
  <c r="A29" i="128"/>
  <c r="AL42" i="47"/>
  <c r="C34" i="128" s="1"/>
  <c r="A106" i="128"/>
  <c r="A79" i="128"/>
  <c r="C113" i="128"/>
  <c r="AL131" i="47"/>
  <c r="C110" i="128"/>
  <c r="AL50" i="47"/>
  <c r="C42" i="128" s="1"/>
  <c r="A53" i="128"/>
  <c r="AL20" i="47"/>
  <c r="C12" i="128" s="1"/>
  <c r="AL27" i="47"/>
  <c r="C19" i="128" s="1"/>
  <c r="AL46" i="47"/>
  <c r="C38" i="128" s="1"/>
  <c r="C94" i="128"/>
  <c r="AL118" i="47"/>
  <c r="AL89" i="47"/>
  <c r="C114" i="128"/>
  <c r="A10" i="128"/>
  <c r="A120" i="128"/>
  <c r="C63" i="128"/>
  <c r="A98" i="128"/>
  <c r="AL32" i="47"/>
  <c r="C24" i="128" s="1"/>
  <c r="C74" i="128"/>
  <c r="C96" i="128"/>
  <c r="G2" i="61"/>
  <c r="AL125" i="47"/>
  <c r="A51" i="128"/>
  <c r="C118" i="128"/>
  <c r="C125" i="128"/>
  <c r="A111" i="128"/>
  <c r="C91" i="128"/>
  <c r="C104" i="128"/>
  <c r="A57" i="128"/>
  <c r="AL85" i="47"/>
  <c r="A22" i="128"/>
  <c r="C78" i="128"/>
  <c r="A90" i="128"/>
  <c r="C65" i="128"/>
  <c r="A78" i="128"/>
  <c r="A87" i="128"/>
  <c r="AL16" i="47"/>
  <c r="C8" i="128" s="1"/>
  <c r="A31" i="128"/>
  <c r="AL29" i="47"/>
  <c r="C21" i="128" s="1"/>
  <c r="C84" i="128"/>
  <c r="AL48" i="47"/>
  <c r="C40" i="128" s="1"/>
  <c r="AL62" i="47"/>
  <c r="C54" i="128" s="1"/>
  <c r="AL71" i="47"/>
  <c r="C124" i="128"/>
  <c r="A127" i="128"/>
  <c r="A34" i="128"/>
  <c r="A96" i="128"/>
  <c r="AL31" i="47"/>
  <c r="C23" i="128" s="1"/>
  <c r="A109" i="128"/>
  <c r="A121" i="128"/>
  <c r="AL64" i="47"/>
  <c r="C56" i="128" s="1"/>
  <c r="A56" i="128"/>
  <c r="AL54" i="47"/>
  <c r="C46" i="128" s="1"/>
  <c r="A88" i="128"/>
  <c r="C128" i="128"/>
  <c r="A7" i="128"/>
  <c r="AL113" i="47"/>
  <c r="AL111" i="47"/>
  <c r="C67" i="128"/>
  <c r="A62" i="128"/>
  <c r="AL68" i="47"/>
  <c r="A41" i="128"/>
  <c r="A114" i="128"/>
  <c r="C122" i="128"/>
  <c r="A103" i="128"/>
  <c r="C108" i="128"/>
  <c r="A126" i="128"/>
  <c r="AL107" i="47"/>
  <c r="AL22" i="47"/>
  <c r="C14" i="128" s="1"/>
  <c r="A46" i="128"/>
  <c r="C106" i="128"/>
  <c r="AL96" i="47"/>
  <c r="A69" i="128"/>
  <c r="A110" i="128"/>
  <c r="A76" i="128"/>
  <c r="AL114" i="47"/>
  <c r="AL128" i="47"/>
  <c r="AL13" i="47"/>
  <c r="C5" i="128" s="1"/>
  <c r="AL134" i="47"/>
  <c r="AL58" i="47"/>
  <c r="C50" i="128" s="1"/>
  <c r="AL119" i="47"/>
  <c r="A49" i="128"/>
  <c r="AL123" i="47"/>
  <c r="A119" i="128"/>
  <c r="C116" i="128"/>
  <c r="A101" i="128"/>
  <c r="A4" i="128"/>
  <c r="C61" i="128"/>
  <c r="C71" i="128"/>
  <c r="A39" i="128"/>
  <c r="A26" i="128"/>
  <c r="AL130" i="47"/>
  <c r="AL78" i="47"/>
  <c r="C103" i="128"/>
  <c r="A54" i="128"/>
  <c r="AL100" i="47"/>
  <c r="AL63" i="47"/>
  <c r="C55" i="128" s="1"/>
  <c r="C90" i="128"/>
  <c r="A129" i="128"/>
  <c r="AL74" i="47"/>
  <c r="C119" i="128"/>
  <c r="C80" i="128"/>
  <c r="C115" i="128"/>
  <c r="AL66" i="47"/>
  <c r="C58" i="128" s="1"/>
  <c r="AL45" i="47"/>
  <c r="C37" i="128" s="1"/>
  <c r="A8" i="128"/>
  <c r="A93" i="128"/>
  <c r="AL80" i="47"/>
  <c r="A117" i="128"/>
  <c r="AL56" i="47"/>
  <c r="C48" i="128" s="1"/>
  <c r="A128" i="128"/>
  <c r="AL70" i="47"/>
  <c r="A102" i="128"/>
  <c r="C105" i="128"/>
  <c r="AL88" i="47"/>
  <c r="AL11" i="47"/>
  <c r="A112" i="128"/>
  <c r="A59" i="128"/>
  <c r="C98" i="128"/>
  <c r="AL38" i="47"/>
  <c r="C30" i="128" s="1"/>
  <c r="A99" i="128"/>
  <c r="AL51" i="47"/>
  <c r="C43" i="128" s="1"/>
  <c r="AL112" i="47"/>
  <c r="AL40" i="47"/>
  <c r="C32" i="128" s="1"/>
  <c r="AL72" i="47"/>
  <c r="C126" i="128"/>
  <c r="A116" i="128"/>
  <c r="AL132" i="47"/>
  <c r="AL81" i="47"/>
  <c r="AL105" i="47"/>
  <c r="AL33" i="47"/>
  <c r="C25" i="128" s="1"/>
  <c r="N7" i="47"/>
  <c r="N6" i="47" s="1"/>
  <c r="O7" i="47" s="1"/>
  <c r="AL133" i="47"/>
  <c r="A32" i="128"/>
  <c r="A73" i="128"/>
  <c r="A95" i="128"/>
  <c r="AL52" i="47"/>
  <c r="C44" i="128" s="1"/>
  <c r="AL135" i="47"/>
  <c r="AL97" i="47"/>
  <c r="AL25" i="47"/>
  <c r="C17" i="128" s="1"/>
  <c r="AL18" i="47"/>
  <c r="C10" i="128" s="1"/>
  <c r="C60" i="128"/>
  <c r="AL102" i="47"/>
  <c r="A100" i="128"/>
  <c r="C112" i="128"/>
  <c r="AL26" i="47"/>
  <c r="C18" i="128" s="1"/>
  <c r="A27" i="128"/>
  <c r="C130" i="128"/>
  <c r="A68" i="128"/>
  <c r="A14" i="128"/>
  <c r="AL73" i="47"/>
  <c r="A19" i="128"/>
  <c r="A124" i="128"/>
  <c r="C82" i="128"/>
  <c r="AL103" i="47"/>
  <c r="AL34" i="47"/>
  <c r="C26" i="128" s="1"/>
  <c r="C68" i="128"/>
  <c r="A66" i="128"/>
  <c r="A82" i="128"/>
  <c r="A6" i="128"/>
  <c r="A18" i="128"/>
  <c r="AL75" i="47"/>
  <c r="A12" i="128"/>
  <c r="A83" i="128"/>
  <c r="A64" i="128"/>
  <c r="C75" i="128"/>
  <c r="A47" i="128"/>
  <c r="C99" i="128"/>
  <c r="A20" i="128"/>
  <c r="AL138" i="47"/>
  <c r="A71" i="128"/>
  <c r="A130" i="128"/>
  <c r="C97" i="128"/>
  <c r="A11" i="128"/>
  <c r="AL109" i="47"/>
  <c r="B66" i="128" l="1"/>
  <c r="A66" i="131"/>
  <c r="D66" i="128"/>
  <c r="E66" i="128"/>
  <c r="A4" i="131"/>
  <c r="D4" i="128"/>
  <c r="B4" i="128"/>
  <c r="B114" i="128"/>
  <c r="E114" i="128"/>
  <c r="A114" i="131"/>
  <c r="D114" i="128"/>
  <c r="E96" i="128"/>
  <c r="B96" i="128"/>
  <c r="A96" i="131"/>
  <c r="D96" i="128"/>
  <c r="D78" i="128"/>
  <c r="B78" i="128"/>
  <c r="A78" i="131"/>
  <c r="E78" i="128"/>
  <c r="B91" i="128"/>
  <c r="E91" i="128"/>
  <c r="D91" i="128"/>
  <c r="A91" i="131"/>
  <c r="E77" i="128"/>
  <c r="A77" i="131"/>
  <c r="B77" i="128"/>
  <c r="D77" i="128"/>
  <c r="D36" i="128"/>
  <c r="A36" i="131"/>
  <c r="B36" i="128"/>
  <c r="D52" i="128"/>
  <c r="A52" i="131"/>
  <c r="B52" i="128"/>
  <c r="B89" i="128"/>
  <c r="D89" i="128"/>
  <c r="E89" i="128"/>
  <c r="A89" i="131"/>
  <c r="E107" i="128"/>
  <c r="D107" i="128"/>
  <c r="A107" i="131"/>
  <c r="B107" i="128"/>
  <c r="B118" i="128"/>
  <c r="D118" i="128"/>
  <c r="A118" i="131"/>
  <c r="E118" i="128"/>
  <c r="D86" i="128"/>
  <c r="B86" i="128"/>
  <c r="A86" i="131"/>
  <c r="E86" i="128"/>
  <c r="D20" i="128"/>
  <c r="A20" i="131"/>
  <c r="B20" i="128"/>
  <c r="B64" i="128"/>
  <c r="E64" i="128"/>
  <c r="D64" i="128"/>
  <c r="A64" i="131"/>
  <c r="A18" i="131"/>
  <c r="D18" i="128"/>
  <c r="B18" i="128"/>
  <c r="B124" i="128"/>
  <c r="A124" i="131"/>
  <c r="D124" i="128"/>
  <c r="E124" i="128"/>
  <c r="B68" i="128"/>
  <c r="D68" i="128"/>
  <c r="A68" i="131"/>
  <c r="E68" i="128"/>
  <c r="A32" i="131"/>
  <c r="D32" i="128"/>
  <c r="B32" i="128"/>
  <c r="A59" i="131"/>
  <c r="D59" i="128"/>
  <c r="B59" i="128"/>
  <c r="D8" i="128"/>
  <c r="A8" i="131"/>
  <c r="B8" i="128"/>
  <c r="A39" i="131"/>
  <c r="D39" i="128"/>
  <c r="B39" i="128"/>
  <c r="B101" i="128"/>
  <c r="A101" i="131"/>
  <c r="D101" i="128"/>
  <c r="E101" i="128"/>
  <c r="A49" i="131"/>
  <c r="D49" i="128"/>
  <c r="B49" i="128"/>
  <c r="D110" i="128"/>
  <c r="B110" i="128"/>
  <c r="A110" i="131"/>
  <c r="E110" i="128"/>
  <c r="A46" i="131"/>
  <c r="D46" i="128"/>
  <c r="B46" i="128"/>
  <c r="D41" i="128"/>
  <c r="A41" i="131"/>
  <c r="B41" i="128"/>
  <c r="E88" i="128"/>
  <c r="A88" i="131"/>
  <c r="D88" i="128"/>
  <c r="B88" i="128"/>
  <c r="A121" i="131"/>
  <c r="E121" i="128"/>
  <c r="D121" i="128"/>
  <c r="B121" i="128"/>
  <c r="A34" i="131"/>
  <c r="D34" i="128"/>
  <c r="B34" i="128"/>
  <c r="A31" i="131"/>
  <c r="D31" i="128"/>
  <c r="B31" i="128"/>
  <c r="D111" i="128"/>
  <c r="A111" i="131"/>
  <c r="B111" i="128"/>
  <c r="E111" i="128"/>
  <c r="D10" i="128"/>
  <c r="A10" i="131"/>
  <c r="B10" i="128"/>
  <c r="A53" i="131"/>
  <c r="D53" i="128"/>
  <c r="B53" i="128"/>
  <c r="D29" i="128"/>
  <c r="A29" i="131"/>
  <c r="B29" i="128"/>
  <c r="E125" i="128"/>
  <c r="D125" i="128"/>
  <c r="B125" i="128"/>
  <c r="A125" i="131"/>
  <c r="B61" i="128"/>
  <c r="D61" i="128"/>
  <c r="E61" i="128"/>
  <c r="A61" i="131"/>
  <c r="D13" i="128"/>
  <c r="A13" i="131"/>
  <c r="B13" i="128"/>
  <c r="B113" i="128"/>
  <c r="D113" i="128"/>
  <c r="E113" i="128"/>
  <c r="A113" i="131"/>
  <c r="A48" i="131"/>
  <c r="D48" i="128"/>
  <c r="B48" i="128"/>
  <c r="D81" i="128"/>
  <c r="E81" i="128"/>
  <c r="B81" i="128"/>
  <c r="A81" i="131"/>
  <c r="A60" i="131"/>
  <c r="D60" i="128"/>
  <c r="B60" i="128"/>
  <c r="E60" i="128"/>
  <c r="D70" i="128"/>
  <c r="A70" i="131"/>
  <c r="E70" i="128"/>
  <c r="B70" i="128"/>
  <c r="A23" i="131"/>
  <c r="D23" i="128"/>
  <c r="B23" i="128"/>
  <c r="D16" i="128"/>
  <c r="A16" i="131"/>
  <c r="B16" i="128"/>
  <c r="D108" i="128"/>
  <c r="E108" i="128"/>
  <c r="A108" i="131"/>
  <c r="B108" i="128"/>
  <c r="D44" i="128"/>
  <c r="A44" i="131"/>
  <c r="B44" i="128"/>
  <c r="D94" i="128"/>
  <c r="B94" i="128"/>
  <c r="A94" i="131"/>
  <c r="E94" i="128"/>
  <c r="A15" i="131"/>
  <c r="D15" i="128"/>
  <c r="B15" i="128"/>
  <c r="E73" i="128"/>
  <c r="A73" i="131"/>
  <c r="B73" i="128"/>
  <c r="D73" i="128"/>
  <c r="E93" i="128"/>
  <c r="D93" i="128"/>
  <c r="B93" i="128"/>
  <c r="A93" i="131"/>
  <c r="A54" i="131"/>
  <c r="D54" i="128"/>
  <c r="B54" i="128"/>
  <c r="B76" i="128"/>
  <c r="E76" i="128"/>
  <c r="D76" i="128"/>
  <c r="A76" i="131"/>
  <c r="E126" i="128"/>
  <c r="A126" i="131"/>
  <c r="B126" i="128"/>
  <c r="D126" i="128"/>
  <c r="A22" i="131"/>
  <c r="D22" i="128"/>
  <c r="B22" i="128"/>
  <c r="A51" i="131"/>
  <c r="D51" i="128"/>
  <c r="B51" i="128"/>
  <c r="D130" i="128"/>
  <c r="A130" i="131"/>
  <c r="B130" i="128"/>
  <c r="E130" i="128"/>
  <c r="A83" i="131"/>
  <c r="D83" i="128"/>
  <c r="E83" i="128"/>
  <c r="B83" i="128"/>
  <c r="D6" i="128"/>
  <c r="A6" i="131"/>
  <c r="B6" i="128"/>
  <c r="D19" i="128"/>
  <c r="A19" i="131"/>
  <c r="B19" i="128"/>
  <c r="D100" i="128"/>
  <c r="E100" i="128"/>
  <c r="B100" i="128"/>
  <c r="A100" i="131"/>
  <c r="E99" i="128"/>
  <c r="A99" i="131"/>
  <c r="D99" i="128"/>
  <c r="B99" i="128"/>
  <c r="B112" i="128"/>
  <c r="D112" i="128"/>
  <c r="E112" i="128"/>
  <c r="A112" i="131"/>
  <c r="E102" i="128"/>
  <c r="B102" i="128"/>
  <c r="A102" i="131"/>
  <c r="D102" i="128"/>
  <c r="D117" i="128"/>
  <c r="B117" i="128"/>
  <c r="E117" i="128"/>
  <c r="A117" i="131"/>
  <c r="E69" i="128"/>
  <c r="B69" i="128"/>
  <c r="A69" i="131"/>
  <c r="D69" i="128"/>
  <c r="D103" i="128"/>
  <c r="A103" i="131"/>
  <c r="B103" i="128"/>
  <c r="E103" i="128"/>
  <c r="B109" i="128"/>
  <c r="D109" i="128"/>
  <c r="A109" i="131"/>
  <c r="E109" i="128"/>
  <c r="A127" i="131"/>
  <c r="D127" i="128"/>
  <c r="E127" i="128"/>
  <c r="B127" i="128"/>
  <c r="E90" i="128"/>
  <c r="B90" i="128"/>
  <c r="A90" i="131"/>
  <c r="D90" i="128"/>
  <c r="D57" i="128"/>
  <c r="A57" i="131"/>
  <c r="B57" i="128"/>
  <c r="D98" i="128"/>
  <c r="E98" i="128"/>
  <c r="B98" i="128"/>
  <c r="A98" i="131"/>
  <c r="B79" i="128"/>
  <c r="D79" i="128"/>
  <c r="A79" i="131"/>
  <c r="E79" i="128"/>
  <c r="B74" i="128"/>
  <c r="D74" i="128"/>
  <c r="E74" i="128"/>
  <c r="A74" i="131"/>
  <c r="B75" i="128"/>
  <c r="A75" i="131"/>
  <c r="D75" i="128"/>
  <c r="E75" i="128"/>
  <c r="D28" i="128"/>
  <c r="A28" i="131"/>
  <c r="B28" i="128"/>
  <c r="D33" i="128"/>
  <c r="A33" i="131"/>
  <c r="B33" i="128"/>
  <c r="D35" i="128"/>
  <c r="A35" i="131"/>
  <c r="B35" i="128"/>
  <c r="A17" i="131"/>
  <c r="D17" i="128"/>
  <c r="B17" i="128"/>
  <c r="D80" i="128"/>
  <c r="A80" i="131"/>
  <c r="E80" i="128"/>
  <c r="B80" i="128"/>
  <c r="D42" i="128"/>
  <c r="A42" i="131"/>
  <c r="B42" i="128"/>
  <c r="B84" i="128"/>
  <c r="E84" i="128"/>
  <c r="D84" i="128"/>
  <c r="A84" i="131"/>
  <c r="A115" i="131"/>
  <c r="D115" i="128"/>
  <c r="E115" i="128"/>
  <c r="B115" i="128"/>
  <c r="AW6" i="47"/>
  <c r="AW7" i="47"/>
  <c r="AX7" i="47" s="1"/>
  <c r="AY7" i="47" s="1"/>
  <c r="AZ7" i="47" s="1"/>
  <c r="E104" i="128"/>
  <c r="D104" i="128"/>
  <c r="B104" i="128"/>
  <c r="A104" i="131"/>
  <c r="A30" i="131"/>
  <c r="D30" i="128"/>
  <c r="B30" i="128"/>
  <c r="B67" i="128"/>
  <c r="D67" i="128"/>
  <c r="A67" i="131"/>
  <c r="E67" i="128"/>
  <c r="A38" i="131"/>
  <c r="D38" i="128"/>
  <c r="B38" i="128"/>
  <c r="AH94" i="47"/>
  <c r="AH80" i="47"/>
  <c r="AH87" i="47"/>
  <c r="AH71" i="47"/>
  <c r="AH111" i="47"/>
  <c r="AH107" i="47"/>
  <c r="AH122" i="47"/>
  <c r="AH127" i="47"/>
  <c r="AH112" i="47"/>
  <c r="AH119" i="47"/>
  <c r="AH92" i="47"/>
  <c r="AH129" i="47"/>
  <c r="AH95" i="47"/>
  <c r="AH131" i="47"/>
  <c r="AH123" i="47"/>
  <c r="AH90" i="47"/>
  <c r="AH86" i="47"/>
  <c r="AH99" i="47"/>
  <c r="AH106" i="47"/>
  <c r="AH137" i="47"/>
  <c r="AH118" i="47"/>
  <c r="AH81" i="47"/>
  <c r="AH109" i="47"/>
  <c r="AH105" i="47"/>
  <c r="AH115" i="47"/>
  <c r="AH124" i="47"/>
  <c r="AH98" i="47"/>
  <c r="AH136" i="47"/>
  <c r="A3" i="131"/>
  <c r="AH117" i="47"/>
  <c r="AH114" i="47"/>
  <c r="AH113" i="47"/>
  <c r="AH132" i="47"/>
  <c r="AH110" i="47"/>
  <c r="AH138" i="47"/>
  <c r="AH83" i="47"/>
  <c r="AH130" i="47"/>
  <c r="AH89" i="47"/>
  <c r="AH102" i="47"/>
  <c r="AH91" i="47"/>
  <c r="AH128" i="47"/>
  <c r="AH126" i="47"/>
  <c r="D3" i="128"/>
  <c r="AH85" i="47"/>
  <c r="AH93" i="47"/>
  <c r="AH133" i="47"/>
  <c r="AH125" i="47"/>
  <c r="AH69" i="47"/>
  <c r="AH135" i="47"/>
  <c r="AH78" i="47"/>
  <c r="AH88" i="47"/>
  <c r="AH68" i="47"/>
  <c r="AH77" i="47"/>
  <c r="AH97" i="47"/>
  <c r="AH120" i="47"/>
  <c r="AH116" i="47"/>
  <c r="AH134" i="47"/>
  <c r="AH108" i="47"/>
  <c r="AH79" i="47"/>
  <c r="AH74" i="47"/>
  <c r="AH103" i="47"/>
  <c r="AH76" i="47"/>
  <c r="AH82" i="47"/>
  <c r="AH101" i="47"/>
  <c r="AH121" i="47"/>
  <c r="AH75" i="47"/>
  <c r="B3" i="128"/>
  <c r="AH100" i="47"/>
  <c r="AH70" i="47"/>
  <c r="AH96" i="47"/>
  <c r="AH104" i="47"/>
  <c r="AH72" i="47"/>
  <c r="AH73" i="47"/>
  <c r="AH84" i="47"/>
  <c r="D55" i="128"/>
  <c r="A55" i="131"/>
  <c r="B55" i="128"/>
  <c r="A43" i="131"/>
  <c r="D43" i="128"/>
  <c r="B43" i="128"/>
  <c r="F31" i="112"/>
  <c r="A11" i="131"/>
  <c r="B11" i="128"/>
  <c r="D11" i="128"/>
  <c r="A14" i="131"/>
  <c r="D14" i="128"/>
  <c r="B14" i="128"/>
  <c r="A116" i="131"/>
  <c r="E116" i="128"/>
  <c r="B116" i="128"/>
  <c r="D116" i="128"/>
  <c r="A128" i="131"/>
  <c r="E128" i="128"/>
  <c r="D128" i="128"/>
  <c r="B128" i="128"/>
  <c r="B129" i="128"/>
  <c r="E129" i="128"/>
  <c r="A129" i="131"/>
  <c r="D129" i="128"/>
  <c r="A26" i="131"/>
  <c r="D26" i="128"/>
  <c r="B26" i="128"/>
  <c r="E120" i="128"/>
  <c r="D120" i="128"/>
  <c r="B120" i="128"/>
  <c r="A120" i="131"/>
  <c r="D40" i="128"/>
  <c r="A40" i="131"/>
  <c r="B40" i="128"/>
  <c r="D21" i="128"/>
  <c r="A21" i="131"/>
  <c r="B21" i="128"/>
  <c r="A9" i="131"/>
  <c r="D9" i="128"/>
  <c r="B123" i="128"/>
  <c r="D123" i="128"/>
  <c r="A123" i="131"/>
  <c r="E123" i="128"/>
  <c r="D71" i="128"/>
  <c r="A71" i="131"/>
  <c r="E71" i="128"/>
  <c r="B71" i="128"/>
  <c r="D47" i="128"/>
  <c r="A47" i="131"/>
  <c r="B47" i="128"/>
  <c r="A12" i="131"/>
  <c r="D12" i="128"/>
  <c r="B12" i="128"/>
  <c r="D82" i="128"/>
  <c r="E82" i="128"/>
  <c r="A82" i="131"/>
  <c r="B82" i="128"/>
  <c r="A27" i="131"/>
  <c r="D27" i="128"/>
  <c r="B27" i="128"/>
  <c r="B9" i="128"/>
  <c r="G52" i="123"/>
  <c r="G18" i="127"/>
  <c r="G19" i="127"/>
  <c r="C44" i="127"/>
  <c r="E44" i="127" s="1"/>
  <c r="F72" i="47"/>
  <c r="D55" i="125"/>
  <c r="F55" i="125" s="1"/>
  <c r="D61" i="126"/>
  <c r="F61" i="126" s="1"/>
  <c r="G48" i="124"/>
  <c r="G40" i="124"/>
  <c r="G57" i="123"/>
  <c r="D49" i="124"/>
  <c r="F49" i="124" s="1"/>
  <c r="C35" i="127"/>
  <c r="E35" i="127" s="1"/>
  <c r="C34" i="125"/>
  <c r="E34" i="125" s="1"/>
  <c r="G10" i="122"/>
  <c r="G52" i="122"/>
  <c r="D42" i="123"/>
  <c r="F42" i="123" s="1"/>
  <c r="G38" i="126"/>
  <c r="G19" i="122"/>
  <c r="C47" i="124"/>
  <c r="E47" i="124" s="1"/>
  <c r="G59" i="126"/>
  <c r="C53" i="127"/>
  <c r="E53" i="127" s="1"/>
  <c r="G30" i="122"/>
  <c r="G63" i="126"/>
  <c r="G5" i="124"/>
  <c r="C42" i="126"/>
  <c r="E42" i="126" s="1"/>
  <c r="G54" i="126"/>
  <c r="C41" i="124"/>
  <c r="E41" i="124" s="1"/>
  <c r="D59" i="126"/>
  <c r="F59" i="126" s="1"/>
  <c r="D60" i="126"/>
  <c r="F60" i="126" s="1"/>
  <c r="D63" i="124"/>
  <c r="F63" i="124" s="1"/>
  <c r="G17" i="124"/>
  <c r="D43" i="124"/>
  <c r="F43" i="124" s="1"/>
  <c r="G50" i="123"/>
  <c r="C38" i="123"/>
  <c r="E38" i="123" s="1"/>
  <c r="F104" i="47"/>
  <c r="D32" i="127"/>
  <c r="F32" i="127" s="1"/>
  <c r="G52" i="127"/>
  <c r="F57" i="47"/>
  <c r="F47" i="47"/>
  <c r="D37" i="123"/>
  <c r="F37" i="123" s="1"/>
  <c r="C45" i="126"/>
  <c r="E45" i="126" s="1"/>
  <c r="D37" i="127"/>
  <c r="F37" i="127" s="1"/>
  <c r="D54" i="123"/>
  <c r="F54" i="123" s="1"/>
  <c r="D65" i="122"/>
  <c r="F65" i="122" s="1"/>
  <c r="C65" i="126"/>
  <c r="E65" i="126" s="1"/>
  <c r="D55" i="123"/>
  <c r="F55" i="123" s="1"/>
  <c r="G47" i="125"/>
  <c r="C48" i="127"/>
  <c r="E48" i="127" s="1"/>
  <c r="D50" i="123"/>
  <c r="F50" i="123" s="1"/>
  <c r="G46" i="125"/>
  <c r="G61" i="125"/>
  <c r="G27" i="127"/>
  <c r="D39" i="125"/>
  <c r="F39" i="125" s="1"/>
  <c r="C60" i="124"/>
  <c r="E60" i="124" s="1"/>
  <c r="D43" i="122"/>
  <c r="F43" i="122" s="1"/>
  <c r="G50" i="126"/>
  <c r="G3" i="124"/>
  <c r="C64" i="127"/>
  <c r="E64" i="127" s="1"/>
  <c r="C62" i="125"/>
  <c r="E62" i="125" s="1"/>
  <c r="G54" i="124"/>
  <c r="G60" i="122"/>
  <c r="D44" i="123"/>
  <c r="F44" i="123" s="1"/>
  <c r="G21" i="122"/>
  <c r="D66" i="123"/>
  <c r="F66" i="123" s="1"/>
  <c r="G22" i="126"/>
  <c r="C34" i="124"/>
  <c r="E34" i="124" s="1"/>
  <c r="F82" i="47"/>
  <c r="F132" i="47"/>
  <c r="G46" i="127"/>
  <c r="E2" i="115"/>
  <c r="G61" i="123"/>
  <c r="G32" i="124"/>
  <c r="D38" i="127"/>
  <c r="F38" i="127" s="1"/>
  <c r="D62" i="126"/>
  <c r="F62" i="126" s="1"/>
  <c r="G29" i="122"/>
  <c r="D34" i="127"/>
  <c r="F34" i="127" s="1"/>
  <c r="C43" i="126"/>
  <c r="E43" i="126" s="1"/>
  <c r="C51" i="123"/>
  <c r="E51" i="123" s="1"/>
  <c r="G37" i="126"/>
  <c r="D38" i="122"/>
  <c r="F38" i="122" s="1"/>
  <c r="F112" i="47"/>
  <c r="G51" i="123"/>
  <c r="F83" i="47"/>
  <c r="C39" i="127"/>
  <c r="E39" i="127" s="1"/>
  <c r="C65" i="124"/>
  <c r="E65" i="124" s="1"/>
  <c r="C60" i="123"/>
  <c r="E60" i="123" s="1"/>
  <c r="F42" i="47"/>
  <c r="D62" i="125"/>
  <c r="F62" i="125" s="1"/>
  <c r="D52" i="124"/>
  <c r="F52" i="124" s="1"/>
  <c r="D45" i="124"/>
  <c r="F45" i="124" s="1"/>
  <c r="D40" i="124"/>
  <c r="F40" i="124" s="1"/>
  <c r="G66" i="125"/>
  <c r="D54" i="126"/>
  <c r="F54" i="126" s="1"/>
  <c r="F123" i="47"/>
  <c r="D43" i="126"/>
  <c r="F43" i="126" s="1"/>
  <c r="C48" i="125"/>
  <c r="E48" i="125" s="1"/>
  <c r="G54" i="122"/>
  <c r="G16" i="124"/>
  <c r="C51" i="127"/>
  <c r="E51" i="127" s="1"/>
  <c r="D33" i="126"/>
  <c r="F33" i="126" s="1"/>
  <c r="G62" i="124"/>
  <c r="G59" i="124"/>
  <c r="D51" i="126"/>
  <c r="F51" i="126" s="1"/>
  <c r="G48" i="123"/>
  <c r="G52" i="126"/>
  <c r="C53" i="125"/>
  <c r="E53" i="125" s="1"/>
  <c r="G66" i="122"/>
  <c r="G65" i="125"/>
  <c r="G16" i="127"/>
  <c r="G3" i="122"/>
  <c r="D54" i="124"/>
  <c r="F54" i="124" s="1"/>
  <c r="G14" i="122"/>
  <c r="G19" i="124"/>
  <c r="G15" i="122"/>
  <c r="G17" i="127"/>
  <c r="G44" i="126"/>
  <c r="G49" i="125"/>
  <c r="C39" i="124"/>
  <c r="E39" i="124" s="1"/>
  <c r="G53" i="127"/>
  <c r="C50" i="126"/>
  <c r="E50" i="126" s="1"/>
  <c r="D45" i="127"/>
  <c r="F45" i="127" s="1"/>
  <c r="F88" i="47"/>
  <c r="C45" i="125"/>
  <c r="E45" i="125" s="1"/>
  <c r="G54" i="127"/>
  <c r="G47" i="122"/>
  <c r="G14" i="127"/>
  <c r="G63" i="124"/>
  <c r="F56" i="47"/>
  <c r="F114" i="47"/>
  <c r="G61" i="122"/>
  <c r="G56" i="124"/>
  <c r="C39" i="126"/>
  <c r="E39" i="126" s="1"/>
  <c r="G50" i="127"/>
  <c r="G30" i="126"/>
  <c r="F84" i="47"/>
  <c r="G26" i="122"/>
  <c r="F100" i="47"/>
  <c r="F16" i="47"/>
  <c r="G64" i="127"/>
  <c r="D32" i="124"/>
  <c r="F32" i="124" s="1"/>
  <c r="G48" i="127"/>
  <c r="C57" i="125"/>
  <c r="E57" i="125" s="1"/>
  <c r="F51" i="47"/>
  <c r="C55" i="123"/>
  <c r="E55" i="123" s="1"/>
  <c r="C37" i="123"/>
  <c r="E37" i="123" s="1"/>
  <c r="G63" i="122"/>
  <c r="G57" i="125"/>
  <c r="G47" i="127"/>
  <c r="G28" i="122"/>
  <c r="D43" i="125"/>
  <c r="F43" i="125" s="1"/>
  <c r="D59" i="123"/>
  <c r="F59" i="123" s="1"/>
  <c r="D64" i="127"/>
  <c r="F64" i="127" s="1"/>
  <c r="D57" i="126"/>
  <c r="F57" i="126" s="1"/>
  <c r="G36" i="127"/>
  <c r="G26" i="127"/>
  <c r="G30" i="127"/>
  <c r="F24" i="47"/>
  <c r="D43" i="123"/>
  <c r="F43" i="123" s="1"/>
  <c r="C63" i="124"/>
  <c r="E63" i="124" s="1"/>
  <c r="F89" i="47"/>
  <c r="C61" i="124"/>
  <c r="E61" i="124" s="1"/>
  <c r="G22" i="122"/>
  <c r="D44" i="122"/>
  <c r="F44" i="122" s="1"/>
  <c r="F119" i="47"/>
  <c r="D40" i="122"/>
  <c r="F40" i="122" s="1"/>
  <c r="F136" i="47"/>
  <c r="F106" i="47"/>
  <c r="G21" i="127"/>
  <c r="C42" i="127"/>
  <c r="E42" i="127" s="1"/>
  <c r="G3" i="126"/>
  <c r="C55" i="126"/>
  <c r="E55" i="126" s="1"/>
  <c r="F101" i="47"/>
  <c r="D41" i="124"/>
  <c r="F41" i="124" s="1"/>
  <c r="G57" i="127"/>
  <c r="G20" i="127"/>
  <c r="G6" i="126"/>
  <c r="G18" i="124"/>
  <c r="G55" i="122"/>
  <c r="F78" i="47"/>
  <c r="G34" i="127"/>
  <c r="C56" i="123"/>
  <c r="E56" i="123" s="1"/>
  <c r="G66" i="124"/>
  <c r="G4" i="122"/>
  <c r="G64" i="125"/>
  <c r="G41" i="127"/>
  <c r="G42" i="125"/>
  <c r="D58" i="122"/>
  <c r="F58" i="122" s="1"/>
  <c r="D46" i="123"/>
  <c r="F46" i="123" s="1"/>
  <c r="G31" i="126"/>
  <c r="G49" i="123"/>
  <c r="G24" i="126"/>
  <c r="C36" i="125"/>
  <c r="E36" i="125" s="1"/>
  <c r="G43" i="122"/>
  <c r="G58" i="126"/>
  <c r="C46" i="127"/>
  <c r="E46" i="127" s="1"/>
  <c r="D47" i="127"/>
  <c r="F47" i="127" s="1"/>
  <c r="F18" i="47"/>
  <c r="D63" i="127"/>
  <c r="F63" i="127" s="1"/>
  <c r="C59" i="125"/>
  <c r="E59" i="125" s="1"/>
  <c r="D52" i="127"/>
  <c r="F52" i="127" s="1"/>
  <c r="D60" i="125"/>
  <c r="F60" i="125" s="1"/>
  <c r="F71" i="47"/>
  <c r="F133" i="47"/>
  <c r="F28" i="47"/>
  <c r="G64" i="122"/>
  <c r="C41" i="126"/>
  <c r="E41" i="126" s="1"/>
  <c r="D44" i="127"/>
  <c r="F44" i="127" s="1"/>
  <c r="G65" i="127"/>
  <c r="C66" i="125"/>
  <c r="E66" i="125" s="1"/>
  <c r="G62" i="125"/>
  <c r="G5" i="127"/>
  <c r="C65" i="125"/>
  <c r="E65" i="125" s="1"/>
  <c r="G42" i="127"/>
  <c r="F43" i="47"/>
  <c r="G60" i="126"/>
  <c r="G36" i="126"/>
  <c r="G36" i="122"/>
  <c r="F45" i="47"/>
  <c r="F94" i="47"/>
  <c r="D42" i="125"/>
  <c r="F42" i="125" s="1"/>
  <c r="D64" i="126"/>
  <c r="F64" i="126" s="1"/>
  <c r="C52" i="127"/>
  <c r="E52" i="127" s="1"/>
  <c r="C44" i="124"/>
  <c r="E44" i="124" s="1"/>
  <c r="G36" i="123"/>
  <c r="D57" i="122"/>
  <c r="F57" i="122" s="1"/>
  <c r="D32" i="123"/>
  <c r="F32" i="123" s="1"/>
  <c r="C59" i="126"/>
  <c r="E59" i="126" s="1"/>
  <c r="G35" i="122"/>
  <c r="G56" i="125"/>
  <c r="F99" i="47"/>
  <c r="G37" i="122"/>
  <c r="D47" i="122"/>
  <c r="F47" i="122" s="1"/>
  <c r="C52" i="126"/>
  <c r="E52" i="126" s="1"/>
  <c r="D33" i="125"/>
  <c r="F33" i="125" s="1"/>
  <c r="C41" i="127"/>
  <c r="E41" i="127" s="1"/>
  <c r="G15" i="124"/>
  <c r="G15" i="126"/>
  <c r="D53" i="123"/>
  <c r="F53" i="123" s="1"/>
  <c r="G21" i="126"/>
  <c r="D60" i="127"/>
  <c r="F60" i="127" s="1"/>
  <c r="D49" i="127"/>
  <c r="F49" i="127" s="1"/>
  <c r="C46" i="123"/>
  <c r="E46" i="123" s="1"/>
  <c r="C40" i="124"/>
  <c r="E40" i="124" s="1"/>
  <c r="C38" i="126"/>
  <c r="E38" i="126" s="1"/>
  <c r="D47" i="126"/>
  <c r="F47" i="126" s="1"/>
  <c r="F60" i="47"/>
  <c r="D46" i="125"/>
  <c r="F46" i="125" s="1"/>
  <c r="C36" i="126"/>
  <c r="E36" i="126" s="1"/>
  <c r="G60" i="123"/>
  <c r="F86" i="47"/>
  <c r="G46" i="124"/>
  <c r="F15" i="47"/>
  <c r="F65" i="47"/>
  <c r="C58" i="125"/>
  <c r="E58" i="125" s="1"/>
  <c r="D35" i="125"/>
  <c r="F35" i="125" s="1"/>
  <c r="G59" i="123"/>
  <c r="D56" i="123"/>
  <c r="F56" i="123" s="1"/>
  <c r="F81" i="47"/>
  <c r="G9" i="124"/>
  <c r="D51" i="122"/>
  <c r="F51" i="122" s="1"/>
  <c r="C43" i="124"/>
  <c r="E43" i="124" s="1"/>
  <c r="D56" i="122"/>
  <c r="F56" i="122" s="1"/>
  <c r="D65" i="127"/>
  <c r="F65" i="127" s="1"/>
  <c r="F70" i="47"/>
  <c r="G48" i="122"/>
  <c r="D54" i="127"/>
  <c r="F54" i="127" s="1"/>
  <c r="C54" i="123"/>
  <c r="E54" i="123" s="1"/>
  <c r="G43" i="124"/>
  <c r="G46" i="126"/>
  <c r="D45" i="126"/>
  <c r="F45" i="126" s="1"/>
  <c r="D53" i="122"/>
  <c r="F53" i="122" s="1"/>
  <c r="D57" i="125"/>
  <c r="F57" i="125" s="1"/>
  <c r="G10" i="126"/>
  <c r="D52" i="126"/>
  <c r="F52" i="126" s="1"/>
  <c r="G38" i="123"/>
  <c r="G40" i="123"/>
  <c r="D42" i="124"/>
  <c r="F42" i="124" s="1"/>
  <c r="C63" i="123"/>
  <c r="E63" i="123" s="1"/>
  <c r="C52" i="124"/>
  <c r="E52" i="124" s="1"/>
  <c r="C49" i="127"/>
  <c r="E49" i="127" s="1"/>
  <c r="F85" i="47"/>
  <c r="C46" i="125"/>
  <c r="E46" i="125" s="1"/>
  <c r="G19" i="126"/>
  <c r="G35" i="126"/>
  <c r="F61" i="47"/>
  <c r="D59" i="125"/>
  <c r="F59" i="125" s="1"/>
  <c r="D53" i="127"/>
  <c r="F53" i="127" s="1"/>
  <c r="D60" i="124"/>
  <c r="F60" i="124" s="1"/>
  <c r="F14" i="47"/>
  <c r="G7" i="124"/>
  <c r="D45" i="125"/>
  <c r="F45" i="125" s="1"/>
  <c r="D61" i="127"/>
  <c r="F61" i="127" s="1"/>
  <c r="G62" i="127"/>
  <c r="F22" i="47"/>
  <c r="G58" i="125"/>
  <c r="G33" i="122"/>
  <c r="F30" i="47"/>
  <c r="C66" i="127"/>
  <c r="E66" i="127" s="1"/>
  <c r="G53" i="125"/>
  <c r="D58" i="124"/>
  <c r="F58" i="124" s="1"/>
  <c r="C43" i="125"/>
  <c r="E43" i="125" s="1"/>
  <c r="C49" i="126"/>
  <c r="E49" i="126" s="1"/>
  <c r="C51" i="126"/>
  <c r="E51" i="126" s="1"/>
  <c r="G66" i="126"/>
  <c r="C59" i="127"/>
  <c r="E59" i="127" s="1"/>
  <c r="D44" i="125"/>
  <c r="F44" i="125" s="1"/>
  <c r="F105" i="47"/>
  <c r="G35" i="123"/>
  <c r="G39" i="126"/>
  <c r="D62" i="122"/>
  <c r="F62" i="122" s="1"/>
  <c r="D61" i="122"/>
  <c r="F61" i="122" s="1"/>
  <c r="D38" i="126"/>
  <c r="F38" i="126" s="1"/>
  <c r="F137" i="47"/>
  <c r="G41" i="124"/>
  <c r="D54" i="122"/>
  <c r="F54" i="122" s="1"/>
  <c r="G32" i="127"/>
  <c r="G52" i="124"/>
  <c r="D66" i="125"/>
  <c r="F66" i="125" s="1"/>
  <c r="D46" i="122"/>
  <c r="F46" i="122" s="1"/>
  <c r="D40" i="126"/>
  <c r="F40" i="126" s="1"/>
  <c r="D48" i="126"/>
  <c r="F48" i="126" s="1"/>
  <c r="D36" i="127"/>
  <c r="F36" i="127" s="1"/>
  <c r="D55" i="126"/>
  <c r="F55" i="126" s="1"/>
  <c r="G48" i="126"/>
  <c r="G5" i="126"/>
  <c r="C52" i="123"/>
  <c r="E52" i="123" s="1"/>
  <c r="F97" i="47"/>
  <c r="D55" i="127"/>
  <c r="F55" i="127" s="1"/>
  <c r="F127" i="47"/>
  <c r="G36" i="125"/>
  <c r="D43" i="127"/>
  <c r="F43" i="127" s="1"/>
  <c r="G40" i="127"/>
  <c r="G8" i="124"/>
  <c r="C34" i="126"/>
  <c r="E34" i="126" s="1"/>
  <c r="D35" i="123"/>
  <c r="F35" i="123" s="1"/>
  <c r="D41" i="122"/>
  <c r="F41" i="122" s="1"/>
  <c r="C38" i="125"/>
  <c r="E38" i="125" s="1"/>
  <c r="D63" i="125"/>
  <c r="F63" i="125" s="1"/>
  <c r="G45" i="127"/>
  <c r="D41" i="126"/>
  <c r="F41" i="126" s="1"/>
  <c r="G35" i="125"/>
  <c r="G38" i="122"/>
  <c r="G50" i="122"/>
  <c r="F96" i="47"/>
  <c r="D48" i="122"/>
  <c r="F48" i="122" s="1"/>
  <c r="C66" i="124"/>
  <c r="E66" i="124" s="1"/>
  <c r="C59" i="124"/>
  <c r="E59" i="124" s="1"/>
  <c r="D35" i="127"/>
  <c r="F35" i="127" s="1"/>
  <c r="C53" i="123"/>
  <c r="E53" i="123" s="1"/>
  <c r="F111" i="47"/>
  <c r="D35" i="122"/>
  <c r="F35" i="122" s="1"/>
  <c r="D34" i="126"/>
  <c r="F34" i="126" s="1"/>
  <c r="G59" i="127"/>
  <c r="G7" i="127"/>
  <c r="G57" i="122"/>
  <c r="C41" i="123"/>
  <c r="E41" i="123" s="1"/>
  <c r="C36" i="127"/>
  <c r="E36" i="127" s="1"/>
  <c r="G55" i="127"/>
  <c r="G53" i="122"/>
  <c r="D62" i="123"/>
  <c r="F62" i="123" s="1"/>
  <c r="D59" i="122"/>
  <c r="F59" i="122" s="1"/>
  <c r="G24" i="124"/>
  <c r="D56" i="126"/>
  <c r="F56" i="126" s="1"/>
  <c r="D50" i="126"/>
  <c r="F50" i="126" s="1"/>
  <c r="G61" i="124"/>
  <c r="G39" i="127"/>
  <c r="C45" i="127"/>
  <c r="E45" i="127" s="1"/>
  <c r="F103" i="47"/>
  <c r="G31" i="122"/>
  <c r="C63" i="126"/>
  <c r="E63" i="126" s="1"/>
  <c r="F41" i="47"/>
  <c r="G58" i="127"/>
  <c r="C66" i="123"/>
  <c r="E66" i="123" s="1"/>
  <c r="C60" i="126"/>
  <c r="E60" i="126" s="1"/>
  <c r="F74" i="47"/>
  <c r="G61" i="127"/>
  <c r="D66" i="126"/>
  <c r="F66" i="126" s="1"/>
  <c r="C39" i="123"/>
  <c r="E39" i="123" s="1"/>
  <c r="G4" i="126"/>
  <c r="D52" i="123"/>
  <c r="F52" i="123" s="1"/>
  <c r="G45" i="123"/>
  <c r="D46" i="126"/>
  <c r="F46" i="126" s="1"/>
  <c r="G56" i="126"/>
  <c r="C56" i="125"/>
  <c r="E56" i="125" s="1"/>
  <c r="C62" i="127"/>
  <c r="E62" i="127" s="1"/>
  <c r="D37" i="122"/>
  <c r="F37" i="122" s="1"/>
  <c r="G31" i="124"/>
  <c r="G39" i="125"/>
  <c r="D42" i="122"/>
  <c r="F42" i="122" s="1"/>
  <c r="G45" i="122"/>
  <c r="C46" i="126"/>
  <c r="E46" i="126" s="1"/>
  <c r="D65" i="125"/>
  <c r="F65" i="125" s="1"/>
  <c r="G43" i="123"/>
  <c r="D48" i="123"/>
  <c r="F48" i="123" s="1"/>
  <c r="F90" i="47"/>
  <c r="G39" i="122"/>
  <c r="F98" i="47"/>
  <c r="G63" i="125"/>
  <c r="C35" i="123"/>
  <c r="E35" i="123" s="1"/>
  <c r="G35" i="127"/>
  <c r="C39" i="125"/>
  <c r="E39" i="125" s="1"/>
  <c r="D49" i="126"/>
  <c r="F49" i="126" s="1"/>
  <c r="C58" i="126"/>
  <c r="E58" i="126" s="1"/>
  <c r="G55" i="123"/>
  <c r="C44" i="126"/>
  <c r="E44" i="126" s="1"/>
  <c r="G28" i="126"/>
  <c r="C64" i="125"/>
  <c r="E64" i="125" s="1"/>
  <c r="C49" i="123"/>
  <c r="E49" i="123" s="1"/>
  <c r="F19" i="47"/>
  <c r="D41" i="123"/>
  <c r="F41" i="123" s="1"/>
  <c r="C54" i="127"/>
  <c r="E54" i="127" s="1"/>
  <c r="F67" i="47"/>
  <c r="D36" i="123"/>
  <c r="F36" i="123" s="1"/>
  <c r="G37" i="127"/>
  <c r="G44" i="124"/>
  <c r="G23" i="126"/>
  <c r="C32" i="124"/>
  <c r="E32" i="124" s="1"/>
  <c r="G11" i="124"/>
  <c r="F23" i="47"/>
  <c r="C53" i="124"/>
  <c r="E53" i="124" s="1"/>
  <c r="G6" i="122"/>
  <c r="G26" i="126"/>
  <c r="C50" i="123"/>
  <c r="E50" i="123" s="1"/>
  <c r="D53" i="125"/>
  <c r="F53" i="125" s="1"/>
  <c r="C37" i="127"/>
  <c r="E37" i="127" s="1"/>
  <c r="C36" i="124"/>
  <c r="E36" i="124" s="1"/>
  <c r="C65" i="123"/>
  <c r="E65" i="123" s="1"/>
  <c r="C60" i="125"/>
  <c r="E60" i="125" s="1"/>
  <c r="C42" i="123"/>
  <c r="E42" i="123" s="1"/>
  <c r="D49" i="123"/>
  <c r="F49" i="123" s="1"/>
  <c r="D32" i="125"/>
  <c r="F32" i="125" s="1"/>
  <c r="G52" i="125"/>
  <c r="C32" i="125"/>
  <c r="E32" i="125" s="1"/>
  <c r="G30" i="124"/>
  <c r="G55" i="126"/>
  <c r="F110" i="47"/>
  <c r="C38" i="127"/>
  <c r="E38" i="127" s="1"/>
  <c r="G23" i="122"/>
  <c r="D50" i="124"/>
  <c r="F50" i="124" s="1"/>
  <c r="G43" i="125"/>
  <c r="F53" i="47"/>
  <c r="F36" i="47"/>
  <c r="G51" i="124"/>
  <c r="C33" i="124"/>
  <c r="E33" i="124" s="1"/>
  <c r="G62" i="126"/>
  <c r="C64" i="123"/>
  <c r="E64" i="123" s="1"/>
  <c r="G59" i="122"/>
  <c r="D36" i="125"/>
  <c r="F36" i="125" s="1"/>
  <c r="F44" i="47"/>
  <c r="D63" i="126"/>
  <c r="F63" i="126" s="1"/>
  <c r="D57" i="123"/>
  <c r="F57" i="123" s="1"/>
  <c r="D45" i="122"/>
  <c r="F45" i="122" s="1"/>
  <c r="G56" i="123"/>
  <c r="G50" i="124"/>
  <c r="D59" i="127"/>
  <c r="F59" i="127" s="1"/>
  <c r="C55" i="124"/>
  <c r="E55" i="124" s="1"/>
  <c r="F58" i="47"/>
  <c r="D32" i="126"/>
  <c r="F32" i="126" s="1"/>
  <c r="F50" i="47"/>
  <c r="F38" i="47"/>
  <c r="C37" i="125"/>
  <c r="E37" i="125" s="1"/>
  <c r="F76" i="47"/>
  <c r="F26" i="47"/>
  <c r="F37" i="47"/>
  <c r="G7" i="122"/>
  <c r="G46" i="123"/>
  <c r="G37" i="125"/>
  <c r="G39" i="124"/>
  <c r="F91" i="47"/>
  <c r="G11" i="127"/>
  <c r="G24" i="122"/>
  <c r="D37" i="125"/>
  <c r="F37" i="125" s="1"/>
  <c r="F35" i="47"/>
  <c r="D42" i="126"/>
  <c r="F42" i="126" s="1"/>
  <c r="G8" i="122"/>
  <c r="G42" i="122"/>
  <c r="C34" i="127"/>
  <c r="E34" i="127" s="1"/>
  <c r="G60" i="124"/>
  <c r="F21" i="47"/>
  <c r="F46" i="47"/>
  <c r="F92" i="47"/>
  <c r="D51" i="127"/>
  <c r="F51" i="127" s="1"/>
  <c r="D38" i="123"/>
  <c r="F38" i="123" s="1"/>
  <c r="G15" i="127"/>
  <c r="G58" i="124"/>
  <c r="G58" i="122"/>
  <c r="C50" i="127"/>
  <c r="E50" i="127" s="1"/>
  <c r="G51" i="126"/>
  <c r="G17" i="122"/>
  <c r="G13" i="126"/>
  <c r="G49" i="122"/>
  <c r="F27" i="47"/>
  <c r="D35" i="124"/>
  <c r="F35" i="124" s="1"/>
  <c r="G13" i="124"/>
  <c r="G25" i="124"/>
  <c r="G60" i="127"/>
  <c r="D44" i="124"/>
  <c r="F44" i="124" s="1"/>
  <c r="C57" i="126"/>
  <c r="E57" i="126" s="1"/>
  <c r="G12" i="124"/>
  <c r="C58" i="127"/>
  <c r="E58" i="127" s="1"/>
  <c r="G33" i="124"/>
  <c r="C66" i="126"/>
  <c r="E66" i="126" s="1"/>
  <c r="G31" i="127"/>
  <c r="D35" i="126"/>
  <c r="F35" i="126" s="1"/>
  <c r="F102" i="47"/>
  <c r="C62" i="124"/>
  <c r="E62" i="124" s="1"/>
  <c r="C36" i="123"/>
  <c r="E36" i="123" s="1"/>
  <c r="G65" i="126"/>
  <c r="C60" i="127"/>
  <c r="E60" i="127" s="1"/>
  <c r="G55" i="124"/>
  <c r="F69" i="47"/>
  <c r="F12" i="47"/>
  <c r="C48" i="126"/>
  <c r="E48" i="126" s="1"/>
  <c r="D65" i="124"/>
  <c r="F65" i="124" s="1"/>
  <c r="G24" i="127"/>
  <c r="D50" i="125"/>
  <c r="F50" i="125" s="1"/>
  <c r="D61" i="124"/>
  <c r="F61" i="124" s="1"/>
  <c r="D47" i="123"/>
  <c r="F47" i="123" s="1"/>
  <c r="G44" i="123"/>
  <c r="G11" i="122"/>
  <c r="G36" i="124"/>
  <c r="G21" i="124"/>
  <c r="F40" i="47"/>
  <c r="D57" i="124"/>
  <c r="F57" i="124" s="1"/>
  <c r="F29" i="47"/>
  <c r="C57" i="127"/>
  <c r="E57" i="127" s="1"/>
  <c r="C57" i="123"/>
  <c r="E57" i="123" s="1"/>
  <c r="G16" i="126"/>
  <c r="C47" i="127"/>
  <c r="E47" i="127" s="1"/>
  <c r="F59" i="47"/>
  <c r="D51" i="125"/>
  <c r="F51" i="125" s="1"/>
  <c r="D36" i="122"/>
  <c r="F36" i="122" s="1"/>
  <c r="F118" i="47"/>
  <c r="G41" i="125"/>
  <c r="G65" i="124"/>
  <c r="C42" i="124"/>
  <c r="E42" i="124" s="1"/>
  <c r="D42" i="127"/>
  <c r="F42" i="127" s="1"/>
  <c r="F87" i="47"/>
  <c r="D34" i="123"/>
  <c r="F34" i="123" s="1"/>
  <c r="D33" i="124"/>
  <c r="F33" i="124" s="1"/>
  <c r="G57" i="126"/>
  <c r="F134" i="47"/>
  <c r="G37" i="124"/>
  <c r="G63" i="127"/>
  <c r="F126" i="47"/>
  <c r="D37" i="124"/>
  <c r="F37" i="124" s="1"/>
  <c r="F62" i="47"/>
  <c r="C38" i="124"/>
  <c r="E38" i="124" s="1"/>
  <c r="C47" i="123"/>
  <c r="E47" i="123" s="1"/>
  <c r="D54" i="125"/>
  <c r="F54" i="125" s="1"/>
  <c r="G38" i="125"/>
  <c r="C62" i="126"/>
  <c r="E62" i="126" s="1"/>
  <c r="C49" i="124"/>
  <c r="E49" i="124" s="1"/>
  <c r="G57" i="124"/>
  <c r="D50" i="122"/>
  <c r="F50" i="122" s="1"/>
  <c r="F49" i="47"/>
  <c r="C34" i="123"/>
  <c r="E34" i="123" s="1"/>
  <c r="C45" i="123"/>
  <c r="E45" i="123" s="1"/>
  <c r="C32" i="127"/>
  <c r="E32" i="127" s="1"/>
  <c r="G64" i="126"/>
  <c r="G56" i="122"/>
  <c r="G51" i="122"/>
  <c r="D58" i="125"/>
  <c r="F58" i="125" s="1"/>
  <c r="G51" i="125"/>
  <c r="D56" i="125"/>
  <c r="F56" i="125" s="1"/>
  <c r="G27" i="124"/>
  <c r="C37" i="126"/>
  <c r="E37" i="126" s="1"/>
  <c r="F107" i="47"/>
  <c r="G48" i="125"/>
  <c r="D33" i="122"/>
  <c r="F33" i="122" s="1"/>
  <c r="G20" i="124"/>
  <c r="D44" i="126"/>
  <c r="F44" i="126" s="1"/>
  <c r="D39" i="126"/>
  <c r="F39" i="126" s="1"/>
  <c r="C54" i="126"/>
  <c r="E54" i="126" s="1"/>
  <c r="G46" i="122"/>
  <c r="G28" i="127"/>
  <c r="D34" i="124"/>
  <c r="F34" i="124" s="1"/>
  <c r="G8" i="127"/>
  <c r="D60" i="123"/>
  <c r="F60" i="123" s="1"/>
  <c r="G12" i="127"/>
  <c r="G22" i="127"/>
  <c r="C41" i="125"/>
  <c r="E41" i="125" s="1"/>
  <c r="G65" i="123"/>
  <c r="G56" i="127"/>
  <c r="D50" i="127"/>
  <c r="F50" i="127" s="1"/>
  <c r="G54" i="125"/>
  <c r="G6" i="124"/>
  <c r="D58" i="126"/>
  <c r="F58" i="126" s="1"/>
  <c r="G60" i="125"/>
  <c r="G14" i="126"/>
  <c r="F54" i="47"/>
  <c r="G27" i="122"/>
  <c r="C63" i="125"/>
  <c r="E63" i="125" s="1"/>
  <c r="D34" i="122"/>
  <c r="F34" i="122" s="1"/>
  <c r="G35" i="124"/>
  <c r="D48" i="124"/>
  <c r="F48" i="124" s="1"/>
  <c r="F64" i="47"/>
  <c r="D47" i="125"/>
  <c r="F47" i="125" s="1"/>
  <c r="G12" i="122"/>
  <c r="C65" i="127"/>
  <c r="E65" i="127" s="1"/>
  <c r="C43" i="123"/>
  <c r="E43" i="123" s="1"/>
  <c r="G29" i="127"/>
  <c r="G42" i="123"/>
  <c r="D40" i="125"/>
  <c r="F40" i="125" s="1"/>
  <c r="G64" i="124"/>
  <c r="F77" i="47"/>
  <c r="G38" i="127"/>
  <c r="C52" i="125"/>
  <c r="E52" i="125" s="1"/>
  <c r="G44" i="127"/>
  <c r="G4" i="127"/>
  <c r="D38" i="125"/>
  <c r="F38" i="125" s="1"/>
  <c r="D32" i="122"/>
  <c r="F32" i="122" s="1"/>
  <c r="D55" i="122"/>
  <c r="F55" i="122" s="1"/>
  <c r="D36" i="126"/>
  <c r="F36" i="126" s="1"/>
  <c r="G53" i="123"/>
  <c r="C55" i="125"/>
  <c r="E55" i="125" s="1"/>
  <c r="G20" i="122"/>
  <c r="D59" i="124"/>
  <c r="F59" i="124" s="1"/>
  <c r="G47" i="123"/>
  <c r="D34" i="125"/>
  <c r="F34" i="125" s="1"/>
  <c r="C33" i="123"/>
  <c r="E33" i="123" s="1"/>
  <c r="C54" i="125"/>
  <c r="E54" i="125" s="1"/>
  <c r="F31" i="47"/>
  <c r="G53" i="124"/>
  <c r="G40" i="122"/>
  <c r="C47" i="125"/>
  <c r="E47" i="125" s="1"/>
  <c r="G6" i="127"/>
  <c r="G43" i="127"/>
  <c r="C48" i="123"/>
  <c r="E48" i="123" s="1"/>
  <c r="F52" i="47"/>
  <c r="G41" i="122"/>
  <c r="C42" i="125"/>
  <c r="E42" i="125" s="1"/>
  <c r="D65" i="126"/>
  <c r="F65" i="126" s="1"/>
  <c r="D37" i="126"/>
  <c r="F37" i="126" s="1"/>
  <c r="F117" i="47"/>
  <c r="D63" i="122"/>
  <c r="F63" i="122" s="1"/>
  <c r="D49" i="122"/>
  <c r="F49" i="122" s="1"/>
  <c r="C32" i="126"/>
  <c r="E32" i="126" s="1"/>
  <c r="F20" i="47"/>
  <c r="C51" i="124"/>
  <c r="E51" i="124" s="1"/>
  <c r="F66" i="47"/>
  <c r="D58" i="123"/>
  <c r="F58" i="123" s="1"/>
  <c r="D58" i="127"/>
  <c r="F58" i="127" s="1"/>
  <c r="G61" i="126"/>
  <c r="G66" i="127"/>
  <c r="G45" i="126"/>
  <c r="F17" i="47"/>
  <c r="C62" i="123"/>
  <c r="E62" i="123" s="1"/>
  <c r="G13" i="127"/>
  <c r="D46" i="127"/>
  <c r="F46" i="127" s="1"/>
  <c r="F109" i="47"/>
  <c r="D63" i="123"/>
  <c r="F63" i="123" s="1"/>
  <c r="G3" i="127"/>
  <c r="G9" i="122"/>
  <c r="C40" i="127"/>
  <c r="E40" i="127" s="1"/>
  <c r="C48" i="124"/>
  <c r="E48" i="124" s="1"/>
  <c r="D33" i="123"/>
  <c r="F33" i="123" s="1"/>
  <c r="G33" i="126"/>
  <c r="C35" i="125"/>
  <c r="E35" i="125" s="1"/>
  <c r="F79" i="47"/>
  <c r="D48" i="125"/>
  <c r="F48" i="125" s="1"/>
  <c r="F116" i="47"/>
  <c r="G51" i="127"/>
  <c r="G41" i="126"/>
  <c r="C47" i="126"/>
  <c r="E47" i="126" s="1"/>
  <c r="D55" i="124"/>
  <c r="F55" i="124" s="1"/>
  <c r="C63" i="127"/>
  <c r="E63" i="127" s="1"/>
  <c r="C61" i="125"/>
  <c r="E61" i="125" s="1"/>
  <c r="G34" i="124"/>
  <c r="D61" i="123"/>
  <c r="F61" i="123" s="1"/>
  <c r="G9" i="127"/>
  <c r="G38" i="124"/>
  <c r="G5" i="122"/>
  <c r="D65" i="123"/>
  <c r="F65" i="123" s="1"/>
  <c r="C54" i="124"/>
  <c r="E54" i="124" s="1"/>
  <c r="G55" i="125"/>
  <c r="C64" i="124"/>
  <c r="E64" i="124" s="1"/>
  <c r="G29" i="124"/>
  <c r="D48" i="127"/>
  <c r="F48" i="127" s="1"/>
  <c r="C40" i="123"/>
  <c r="E40" i="123" s="1"/>
  <c r="C58" i="124"/>
  <c r="E58" i="124" s="1"/>
  <c r="F75" i="47"/>
  <c r="G44" i="125"/>
  <c r="F120" i="47"/>
  <c r="C61" i="123"/>
  <c r="E61" i="123" s="1"/>
  <c r="G47" i="124"/>
  <c r="F55" i="47"/>
  <c r="D64" i="124"/>
  <c r="F64" i="124" s="1"/>
  <c r="G66" i="123"/>
  <c r="C50" i="124"/>
  <c r="E50" i="124" s="1"/>
  <c r="C55" i="127"/>
  <c r="E55" i="127" s="1"/>
  <c r="G63" i="123"/>
  <c r="D49" i="125"/>
  <c r="F49" i="125" s="1"/>
  <c r="F130" i="47"/>
  <c r="D41" i="127"/>
  <c r="F41" i="127" s="1"/>
  <c r="D33" i="127"/>
  <c r="F33" i="127" s="1"/>
  <c r="G9" i="126"/>
  <c r="D45" i="123"/>
  <c r="F45" i="123" s="1"/>
  <c r="C32" i="123"/>
  <c r="E32" i="123" s="1"/>
  <c r="F25" i="47"/>
  <c r="F32" i="47"/>
  <c r="D66" i="122"/>
  <c r="F66" i="122" s="1"/>
  <c r="D57" i="127"/>
  <c r="F57" i="127" s="1"/>
  <c r="G25" i="122"/>
  <c r="G34" i="126"/>
  <c r="G33" i="127"/>
  <c r="G62" i="122"/>
  <c r="F34" i="47"/>
  <c r="C37" i="124"/>
  <c r="E37" i="124" s="1"/>
  <c r="G42" i="124"/>
  <c r="D39" i="123"/>
  <c r="F39" i="123" s="1"/>
  <c r="D66" i="124"/>
  <c r="F66" i="124" s="1"/>
  <c r="D39" i="124"/>
  <c r="F39" i="124" s="1"/>
  <c r="G59" i="125"/>
  <c r="G49" i="124"/>
  <c r="C56" i="126"/>
  <c r="E56" i="126" s="1"/>
  <c r="G53" i="126"/>
  <c r="G27" i="126"/>
  <c r="F108" i="47"/>
  <c r="C64" i="126"/>
  <c r="E64" i="126" s="1"/>
  <c r="F63" i="47"/>
  <c r="G41" i="123"/>
  <c r="G14" i="124"/>
  <c r="G22" i="124"/>
  <c r="C46" i="124"/>
  <c r="E46" i="124" s="1"/>
  <c r="D36" i="124"/>
  <c r="F36" i="124" s="1"/>
  <c r="F115" i="47"/>
  <c r="G40" i="125"/>
  <c r="C53" i="126"/>
  <c r="E53" i="126" s="1"/>
  <c r="D53" i="124"/>
  <c r="F53" i="124" s="1"/>
  <c r="G32" i="122"/>
  <c r="G10" i="127"/>
  <c r="C56" i="127"/>
  <c r="E56" i="127" s="1"/>
  <c r="C56" i="124"/>
  <c r="E56" i="124" s="1"/>
  <c r="D62" i="127"/>
  <c r="F62" i="127" s="1"/>
  <c r="F11" i="47"/>
  <c r="F113" i="47"/>
  <c r="G64" i="123"/>
  <c r="F128" i="47"/>
  <c r="F135" i="47"/>
  <c r="G39" i="123"/>
  <c r="F124" i="47"/>
  <c r="F121" i="47"/>
  <c r="G49" i="127"/>
  <c r="G43" i="126"/>
  <c r="C33" i="127"/>
  <c r="E33" i="127" s="1"/>
  <c r="G45" i="124"/>
  <c r="G23" i="127"/>
  <c r="D64" i="122"/>
  <c r="F64" i="122" s="1"/>
  <c r="D51" i="123"/>
  <c r="F51" i="123" s="1"/>
  <c r="C43" i="127"/>
  <c r="E43" i="127" s="1"/>
  <c r="F125" i="47"/>
  <c r="D51" i="124"/>
  <c r="F51" i="124" s="1"/>
  <c r="C61" i="127"/>
  <c r="E61" i="127" s="1"/>
  <c r="G44" i="122"/>
  <c r="C50" i="125"/>
  <c r="E50" i="125" s="1"/>
  <c r="G18" i="122"/>
  <c r="D56" i="124"/>
  <c r="F56" i="124" s="1"/>
  <c r="F13" i="47"/>
  <c r="C44" i="123"/>
  <c r="E44" i="123" s="1"/>
  <c r="G4" i="124"/>
  <c r="F131" i="47"/>
  <c r="G62" i="123"/>
  <c r="D38" i="124"/>
  <c r="F38" i="124" s="1"/>
  <c r="G34" i="122"/>
  <c r="F48" i="47"/>
  <c r="F93" i="47"/>
  <c r="G26" i="124"/>
  <c r="F129" i="47"/>
  <c r="G10" i="124"/>
  <c r="D52" i="122"/>
  <c r="F52" i="122" s="1"/>
  <c r="D52" i="125"/>
  <c r="F52" i="125" s="1"/>
  <c r="G8" i="126"/>
  <c r="G12" i="126"/>
  <c r="G58" i="123"/>
  <c r="D56" i="127"/>
  <c r="F56" i="127" s="1"/>
  <c r="F39" i="47"/>
  <c r="F138" i="47"/>
  <c r="G40" i="126"/>
  <c r="F33" i="47"/>
  <c r="C49" i="125"/>
  <c r="E49" i="125" s="1"/>
  <c r="C35" i="124"/>
  <c r="E35" i="124" s="1"/>
  <c r="D60" i="122"/>
  <c r="F60" i="122" s="1"/>
  <c r="G25" i="126"/>
  <c r="G42" i="126"/>
  <c r="D46" i="124"/>
  <c r="F46" i="124" s="1"/>
  <c r="G18" i="126"/>
  <c r="F73" i="47"/>
  <c r="D40" i="123"/>
  <c r="F40" i="123" s="1"/>
  <c r="G25" i="127"/>
  <c r="D64" i="123"/>
  <c r="F64" i="123" s="1"/>
  <c r="D66" i="127"/>
  <c r="F66" i="127" s="1"/>
  <c r="F122" i="47"/>
  <c r="D39" i="127"/>
  <c r="F39" i="127" s="1"/>
  <c r="G49" i="126"/>
  <c r="F68" i="47"/>
  <c r="C40" i="125"/>
  <c r="E40" i="125" s="1"/>
  <c r="C57" i="124"/>
  <c r="E57" i="124" s="1"/>
  <c r="G13" i="122"/>
  <c r="G54" i="123"/>
  <c r="C33" i="125"/>
  <c r="E33" i="125" s="1"/>
  <c r="D39" i="122"/>
  <c r="F39" i="122" s="1"/>
  <c r="C40" i="126"/>
  <c r="E40" i="126" s="1"/>
  <c r="C58" i="123"/>
  <c r="E58" i="123" s="1"/>
  <c r="D64" i="125"/>
  <c r="F64" i="125" s="1"/>
  <c r="G50" i="125"/>
  <c r="G16" i="122"/>
  <c r="G20" i="126"/>
  <c r="D41" i="125"/>
  <c r="F41" i="125" s="1"/>
  <c r="D62" i="124"/>
  <c r="F62" i="124" s="1"/>
  <c r="C33" i="126"/>
  <c r="E33" i="126" s="1"/>
  <c r="G47" i="126"/>
  <c r="G23" i="124"/>
  <c r="G29" i="126"/>
  <c r="C51" i="125"/>
  <c r="E51" i="125" s="1"/>
  <c r="C35" i="126"/>
  <c r="E35" i="126" s="1"/>
  <c r="C44" i="125"/>
  <c r="E44" i="125" s="1"/>
  <c r="D47" i="124"/>
  <c r="F47" i="124" s="1"/>
  <c r="F95" i="47"/>
  <c r="C45" i="124"/>
  <c r="E45" i="124" s="1"/>
  <c r="F80" i="47"/>
  <c r="D61" i="125"/>
  <c r="F61" i="125" s="1"/>
  <c r="D53" i="126"/>
  <c r="F53" i="126" s="1"/>
  <c r="G7" i="126"/>
  <c r="G28" i="124"/>
  <c r="D40" i="127"/>
  <c r="F40" i="127" s="1"/>
  <c r="G32" i="126"/>
  <c r="G37" i="123"/>
  <c r="C59" i="123"/>
  <c r="E59" i="123" s="1"/>
  <c r="C61" i="126"/>
  <c r="E61" i="126" s="1"/>
  <c r="G17" i="126"/>
  <c r="G45" i="125"/>
  <c r="G65" i="122"/>
  <c r="G11" i="126"/>
  <c r="D95" i="128"/>
  <c r="B95" i="128"/>
  <c r="E95" i="128"/>
  <c r="A95" i="131"/>
  <c r="C33" i="122"/>
  <c r="E33" i="122" s="1"/>
  <c r="C34" i="122"/>
  <c r="E34" i="122" s="1"/>
  <c r="C32" i="122"/>
  <c r="E32" i="122" s="1"/>
  <c r="C47" i="122"/>
  <c r="E47" i="122" s="1"/>
  <c r="C59" i="122"/>
  <c r="E59" i="122" s="1"/>
  <c r="C40" i="122"/>
  <c r="E40" i="122" s="1"/>
  <c r="C52" i="122"/>
  <c r="E52" i="122" s="1"/>
  <c r="C58" i="122"/>
  <c r="E58" i="122" s="1"/>
  <c r="C57" i="122"/>
  <c r="E57" i="122" s="1"/>
  <c r="C42" i="122"/>
  <c r="E42" i="122" s="1"/>
  <c r="C44" i="122"/>
  <c r="E44" i="122" s="1"/>
  <c r="C53" i="122"/>
  <c r="E53" i="122" s="1"/>
  <c r="C43" i="122"/>
  <c r="E43" i="122" s="1"/>
  <c r="C63" i="122"/>
  <c r="E63" i="122" s="1"/>
  <c r="C45" i="122"/>
  <c r="E45" i="122" s="1"/>
  <c r="C54" i="122"/>
  <c r="E54" i="122" s="1"/>
  <c r="C62" i="122"/>
  <c r="E62" i="122" s="1"/>
  <c r="C50" i="122"/>
  <c r="E50" i="122" s="1"/>
  <c r="C38" i="122"/>
  <c r="E38" i="122" s="1"/>
  <c r="C37" i="122"/>
  <c r="E37" i="122" s="1"/>
  <c r="C39" i="122"/>
  <c r="E39" i="122" s="1"/>
  <c r="C46" i="122"/>
  <c r="E46" i="122" s="1"/>
  <c r="C36" i="122"/>
  <c r="E36" i="122" s="1"/>
  <c r="C55" i="122"/>
  <c r="E55" i="122" s="1"/>
  <c r="C64" i="122"/>
  <c r="E64" i="122" s="1"/>
  <c r="C31" i="122"/>
  <c r="E31" i="122" s="1"/>
  <c r="C49" i="122"/>
  <c r="E49" i="122" s="1"/>
  <c r="C61" i="122"/>
  <c r="E61" i="122" s="1"/>
  <c r="C65" i="122"/>
  <c r="E65" i="122" s="1"/>
  <c r="C66" i="122"/>
  <c r="E66" i="122" s="1"/>
  <c r="C41" i="122"/>
  <c r="E41" i="122" s="1"/>
  <c r="C51" i="122"/>
  <c r="E51" i="122" s="1"/>
  <c r="C60" i="122"/>
  <c r="E60" i="122" s="1"/>
  <c r="C35" i="122"/>
  <c r="E35" i="122" s="1"/>
  <c r="C56" i="122"/>
  <c r="E56" i="122" s="1"/>
  <c r="C48" i="122"/>
  <c r="E48" i="122" s="1"/>
  <c r="S7" i="47"/>
  <c r="C3" i="128"/>
  <c r="F13" i="116"/>
  <c r="C13" i="116" s="1"/>
  <c r="F14" i="116"/>
  <c r="C14" i="116" s="1"/>
  <c r="F15" i="116"/>
  <c r="C15" i="116" s="1"/>
  <c r="F8" i="116"/>
  <c r="C8" i="116" s="1"/>
  <c r="F10" i="116"/>
  <c r="C10" i="116" s="1"/>
  <c r="F9" i="116"/>
  <c r="C9" i="116" s="1"/>
  <c r="F7" i="116"/>
  <c r="C7" i="116" s="1"/>
  <c r="F12" i="116"/>
  <c r="C12" i="116" s="1"/>
  <c r="F5" i="116"/>
  <c r="C5" i="116" s="1"/>
  <c r="F16" i="116"/>
  <c r="C16" i="116" s="1"/>
  <c r="F11" i="116"/>
  <c r="C11" i="116" s="1"/>
  <c r="F4" i="116"/>
  <c r="C4" i="116" s="1"/>
  <c r="F6" i="116"/>
  <c r="C6" i="116" s="1"/>
  <c r="F17" i="116"/>
  <c r="C17" i="116" s="1"/>
  <c r="D119" i="128"/>
  <c r="E119" i="128"/>
  <c r="A119" i="131"/>
  <c r="B119" i="128"/>
  <c r="E62" i="128"/>
  <c r="D62" i="128"/>
  <c r="A62" i="131"/>
  <c r="B62" i="128"/>
  <c r="D7" i="128"/>
  <c r="A7" i="131"/>
  <c r="B7" i="128"/>
  <c r="D56" i="128"/>
  <c r="A56" i="131"/>
  <c r="B56" i="128"/>
  <c r="B87" i="128"/>
  <c r="A87" i="131"/>
  <c r="D87" i="128"/>
  <c r="E87" i="128"/>
  <c r="B106" i="128"/>
  <c r="E106" i="128"/>
  <c r="D106" i="128"/>
  <c r="A106" i="131"/>
  <c r="E97" i="128"/>
  <c r="B97" i="128"/>
  <c r="D97" i="128"/>
  <c r="A97" i="131"/>
  <c r="A5" i="131"/>
  <c r="D5" i="128"/>
  <c r="B5" i="128"/>
  <c r="B105" i="128"/>
  <c r="D105" i="128"/>
  <c r="E105" i="128"/>
  <c r="A105" i="131"/>
  <c r="D63" i="128"/>
  <c r="E63" i="128"/>
  <c r="B63" i="128"/>
  <c r="A63" i="131"/>
  <c r="A24" i="131"/>
  <c r="D24" i="128"/>
  <c r="B24" i="128"/>
  <c r="A25" i="131"/>
  <c r="D25" i="128"/>
  <c r="B25" i="128"/>
  <c r="A65" i="131"/>
  <c r="B65" i="128"/>
  <c r="D65" i="128"/>
  <c r="E65" i="128"/>
  <c r="A45" i="131"/>
  <c r="D45" i="128"/>
  <c r="B45" i="128"/>
  <c r="A92" i="131"/>
  <c r="E92" i="128"/>
  <c r="B92" i="128"/>
  <c r="D92" i="128"/>
  <c r="A122" i="131"/>
  <c r="B122" i="128"/>
  <c r="D122" i="128"/>
  <c r="E122" i="128"/>
  <c r="D50" i="128"/>
  <c r="A50" i="131"/>
  <c r="B50" i="128"/>
  <c r="A58" i="131"/>
  <c r="D58" i="128"/>
  <c r="B58" i="128"/>
  <c r="E72" i="128"/>
  <c r="D72" i="128"/>
  <c r="B72" i="128"/>
  <c r="A72" i="131"/>
  <c r="D7" i="111"/>
  <c r="D4" i="111"/>
  <c r="D5" i="111"/>
  <c r="D8" i="111"/>
  <c r="D6" i="111"/>
  <c r="J119" i="112"/>
  <c r="J256" i="112"/>
  <c r="F228" i="112"/>
  <c r="J167" i="112"/>
  <c r="F84" i="112"/>
  <c r="J166" i="112"/>
  <c r="J155" i="112"/>
  <c r="J52" i="112"/>
  <c r="J74" i="112"/>
  <c r="J95" i="112"/>
  <c r="F102" i="112"/>
  <c r="J153" i="112"/>
  <c r="F222" i="112"/>
  <c r="F72" i="112"/>
  <c r="J113" i="112"/>
  <c r="J116" i="112"/>
  <c r="F116" i="112"/>
  <c r="F113" i="112"/>
  <c r="J72" i="112"/>
  <c r="F167" i="112"/>
  <c r="F144" i="112"/>
  <c r="J213" i="112"/>
  <c r="F177" i="112"/>
  <c r="J124" i="112"/>
  <c r="J55" i="112"/>
  <c r="J185" i="112"/>
  <c r="J69" i="112"/>
  <c r="F155" i="112"/>
  <c r="J39" i="112"/>
  <c r="J252" i="112"/>
  <c r="J50" i="112"/>
  <c r="F241" i="112"/>
  <c r="J145" i="112"/>
  <c r="J14" i="112"/>
  <c r="J76" i="112"/>
  <c r="F106" i="112"/>
  <c r="J35" i="112"/>
  <c r="J73" i="112"/>
  <c r="F213" i="112"/>
  <c r="J106" i="112"/>
  <c r="J196" i="112"/>
  <c r="J103" i="112"/>
  <c r="F166" i="112"/>
  <c r="F110" i="112"/>
  <c r="F62" i="112"/>
  <c r="J181" i="112"/>
  <c r="J232" i="112"/>
  <c r="F121" i="112"/>
  <c r="J64" i="112"/>
  <c r="J247" i="112"/>
  <c r="J16" i="112"/>
  <c r="F191" i="112"/>
  <c r="F168" i="112"/>
  <c r="F109" i="112"/>
  <c r="J188" i="112"/>
  <c r="F98" i="112"/>
  <c r="F229" i="112"/>
  <c r="F214" i="112"/>
  <c r="J248" i="112"/>
  <c r="J131" i="112"/>
  <c r="F135" i="112"/>
  <c r="F239" i="112"/>
  <c r="F78" i="112"/>
  <c r="F71" i="112"/>
  <c r="F145" i="112"/>
  <c r="J99" i="112"/>
  <c r="F223" i="112"/>
  <c r="J209" i="112"/>
  <c r="J108" i="112"/>
  <c r="J222" i="112"/>
  <c r="J93" i="112"/>
  <c r="F187" i="112"/>
  <c r="J54" i="112"/>
  <c r="F220" i="112"/>
  <c r="J114" i="112"/>
  <c r="J225" i="112"/>
  <c r="F195" i="112"/>
  <c r="F81" i="112"/>
  <c r="F139" i="112"/>
  <c r="F134" i="112"/>
  <c r="J259" i="112"/>
  <c r="J13" i="112"/>
  <c r="F176" i="112"/>
  <c r="F120" i="112"/>
  <c r="J102" i="112"/>
  <c r="J251" i="112"/>
  <c r="F127" i="112"/>
  <c r="J79" i="112"/>
  <c r="F125" i="112"/>
  <c r="F63" i="112"/>
  <c r="J122" i="112"/>
  <c r="J255" i="112"/>
  <c r="F217" i="112"/>
  <c r="F170" i="112"/>
  <c r="J139" i="112"/>
  <c r="J240" i="112"/>
  <c r="F73" i="112"/>
  <c r="J37" i="112"/>
  <c r="J47" i="112"/>
  <c r="J96" i="112"/>
  <c r="F96" i="112"/>
  <c r="F157" i="112"/>
  <c r="F199" i="112"/>
  <c r="F242" i="112"/>
  <c r="F185" i="112"/>
  <c r="J38" i="112"/>
  <c r="F87" i="112"/>
  <c r="F202" i="112"/>
  <c r="F88" i="112"/>
  <c r="F203" i="112"/>
  <c r="J101" i="112"/>
  <c r="J175" i="112"/>
  <c r="J15" i="112"/>
  <c r="J19" i="112"/>
  <c r="F43" i="112"/>
  <c r="F42" i="112"/>
  <c r="F9" i="112"/>
  <c r="F56" i="112"/>
  <c r="F29" i="112"/>
  <c r="F10" i="112"/>
  <c r="F59" i="112"/>
  <c r="J221" i="112"/>
  <c r="J53" i="112"/>
  <c r="J18" i="112"/>
  <c r="J149" i="112"/>
  <c r="F159" i="112"/>
  <c r="J223" i="112"/>
  <c r="J143" i="112"/>
  <c r="F190" i="112"/>
  <c r="J132" i="112"/>
  <c r="F90" i="112"/>
  <c r="F196" i="112"/>
  <c r="J239" i="112"/>
  <c r="J215" i="112"/>
  <c r="F151" i="112"/>
  <c r="J85" i="112"/>
  <c r="J36" i="112"/>
  <c r="J210" i="112"/>
  <c r="J136" i="112"/>
  <c r="F208" i="112"/>
  <c r="J63" i="112"/>
  <c r="F128" i="112"/>
  <c r="J244" i="112"/>
  <c r="J98" i="112"/>
  <c r="J142" i="112"/>
  <c r="F215" i="112"/>
  <c r="F92" i="112"/>
  <c r="J56" i="112"/>
  <c r="F178" i="112"/>
  <c r="J92" i="112"/>
  <c r="J230" i="112"/>
  <c r="F148" i="112"/>
  <c r="F89" i="112"/>
  <c r="J17" i="112"/>
  <c r="J156" i="112"/>
  <c r="F183" i="112"/>
  <c r="J147" i="112"/>
  <c r="F173" i="112"/>
  <c r="J43" i="112"/>
  <c r="J31" i="112"/>
  <c r="J77" i="112"/>
  <c r="F61" i="112"/>
  <c r="F204" i="112"/>
  <c r="J135" i="112"/>
  <c r="F124" i="112"/>
  <c r="J165" i="112"/>
  <c r="J125" i="112"/>
  <c r="J191" i="112"/>
  <c r="F162" i="112"/>
  <c r="F174" i="112"/>
  <c r="F250" i="112"/>
  <c r="J4" i="112"/>
  <c r="J94" i="112"/>
  <c r="F136" i="112"/>
  <c r="J234" i="112"/>
  <c r="J229" i="112"/>
  <c r="J26" i="112"/>
  <c r="J46" i="112"/>
  <c r="F253" i="112"/>
  <c r="J161" i="112"/>
  <c r="J198" i="112"/>
  <c r="J24" i="112"/>
  <c r="J211" i="112"/>
  <c r="J231" i="112"/>
  <c r="J148" i="112"/>
  <c r="F186" i="112"/>
  <c r="J130" i="112"/>
  <c r="F70" i="112"/>
  <c r="F189" i="112"/>
  <c r="F209" i="112"/>
  <c r="J89" i="112"/>
  <c r="F251" i="112"/>
  <c r="J199" i="112"/>
  <c r="J180" i="112"/>
  <c r="F249" i="112"/>
  <c r="J22" i="112"/>
  <c r="J109" i="112"/>
  <c r="F67" i="112"/>
  <c r="F219" i="112"/>
  <c r="F146" i="112"/>
  <c r="J197" i="112"/>
  <c r="F247" i="112"/>
  <c r="J190" i="112"/>
  <c r="F130" i="112"/>
  <c r="J97" i="112"/>
  <c r="J238" i="112"/>
  <c r="J84" i="112"/>
  <c r="F137" i="112"/>
  <c r="F60" i="112"/>
  <c r="F122" i="112"/>
  <c r="F201" i="112"/>
  <c r="J233" i="112"/>
  <c r="F132" i="112"/>
  <c r="F236" i="112"/>
  <c r="J25" i="112"/>
  <c r="F212" i="112"/>
  <c r="J235" i="112"/>
  <c r="F244" i="112"/>
  <c r="F154" i="112"/>
  <c r="J51" i="112"/>
  <c r="F99" i="112"/>
  <c r="J224" i="112"/>
  <c r="J203" i="112"/>
  <c r="F97" i="112"/>
  <c r="F83" i="112"/>
  <c r="J164" i="112"/>
  <c r="F115" i="112"/>
  <c r="F123" i="112"/>
  <c r="J129" i="112"/>
  <c r="F234" i="112"/>
  <c r="J126" i="112"/>
  <c r="F243" i="112"/>
  <c r="F194" i="112"/>
  <c r="J195" i="112"/>
  <c r="F53" i="112"/>
  <c r="F48" i="112"/>
  <c r="F21" i="112"/>
  <c r="F34" i="112"/>
  <c r="F28" i="112"/>
  <c r="F23" i="112"/>
  <c r="F39" i="112"/>
  <c r="J12" i="112"/>
  <c r="J48" i="112"/>
  <c r="J206" i="112"/>
  <c r="J193" i="112"/>
  <c r="J34" i="112"/>
  <c r="F138" i="112"/>
  <c r="J82" i="112"/>
  <c r="F103" i="112"/>
  <c r="J159" i="112"/>
  <c r="F111" i="112"/>
  <c r="J78" i="112"/>
  <c r="F158" i="112"/>
  <c r="F238" i="112"/>
  <c r="J134" i="112"/>
  <c r="F210" i="112"/>
  <c r="J172" i="112"/>
  <c r="J183" i="112"/>
  <c r="F259" i="112"/>
  <c r="J21" i="112"/>
  <c r="J237" i="112"/>
  <c r="J83" i="112"/>
  <c r="J105" i="112"/>
  <c r="F119" i="112"/>
  <c r="J107" i="112"/>
  <c r="J157" i="112"/>
  <c r="F85" i="112"/>
  <c r="F101" i="112"/>
  <c r="F94" i="112"/>
  <c r="J58" i="112"/>
  <c r="F147" i="112"/>
  <c r="J127" i="112"/>
  <c r="F221" i="112"/>
  <c r="F164" i="112"/>
  <c r="J186" i="112"/>
  <c r="J158" i="112"/>
  <c r="J10" i="112"/>
  <c r="J88" i="112"/>
  <c r="J242" i="112"/>
  <c r="J71" i="112"/>
  <c r="F75" i="112"/>
  <c r="J27" i="112"/>
  <c r="J90" i="112"/>
  <c r="J67" i="112"/>
  <c r="F235" i="112"/>
  <c r="J184" i="112"/>
  <c r="J160" i="112"/>
  <c r="J253" i="112"/>
  <c r="J66" i="112"/>
  <c r="J258" i="112"/>
  <c r="J70" i="112"/>
  <c r="J111" i="112"/>
  <c r="J182" i="112"/>
  <c r="F172" i="112"/>
  <c r="F225" i="112"/>
  <c r="J162" i="112"/>
  <c r="F257" i="112"/>
  <c r="F231" i="112"/>
  <c r="F142" i="112"/>
  <c r="J257" i="112"/>
  <c r="F207" i="112"/>
  <c r="J49" i="112"/>
  <c r="F152" i="112"/>
  <c r="J146" i="112"/>
  <c r="F153" i="112"/>
  <c r="F160" i="112"/>
  <c r="F165" i="112"/>
  <c r="F82" i="112"/>
  <c r="J120" i="112"/>
  <c r="J30" i="112"/>
  <c r="J236" i="112"/>
  <c r="J241" i="112"/>
  <c r="F240" i="112"/>
  <c r="J187" i="112"/>
  <c r="J154" i="112"/>
  <c r="F108" i="112"/>
  <c r="F77" i="112"/>
  <c r="F91" i="112"/>
  <c r="F104" i="112"/>
  <c r="F232" i="112"/>
  <c r="J133" i="112"/>
  <c r="F175" i="112"/>
  <c r="J207" i="112"/>
  <c r="F129" i="112"/>
  <c r="J7" i="112"/>
  <c r="F131" i="112"/>
  <c r="J91" i="112"/>
  <c r="F197" i="112"/>
  <c r="J245" i="112"/>
  <c r="F218" i="112"/>
  <c r="F74" i="112"/>
  <c r="F233" i="112"/>
  <c r="J11" i="112"/>
  <c r="F246" i="112"/>
  <c r="J5" i="112"/>
  <c r="J194" i="112"/>
  <c r="F237" i="112"/>
  <c r="J204" i="112"/>
  <c r="F149" i="112"/>
  <c r="J60" i="112"/>
  <c r="J80" i="112"/>
  <c r="J104" i="112"/>
  <c r="J42" i="112"/>
  <c r="J20" i="112"/>
  <c r="F105" i="112"/>
  <c r="F163" i="112"/>
  <c r="J81" i="112"/>
  <c r="F182" i="112"/>
  <c r="F140" i="112"/>
  <c r="J151" i="112"/>
  <c r="F254" i="112"/>
  <c r="J29" i="112"/>
  <c r="F117" i="112"/>
  <c r="F169" i="112"/>
  <c r="F161" i="112"/>
  <c r="F49" i="112"/>
  <c r="F11" i="112"/>
  <c r="F36" i="112"/>
  <c r="F6" i="112"/>
  <c r="F12" i="112"/>
  <c r="F15" i="112"/>
  <c r="F52" i="112"/>
  <c r="J28" i="112"/>
  <c r="J144" i="112"/>
  <c r="F107" i="112"/>
  <c r="J128" i="112"/>
  <c r="F205" i="112"/>
  <c r="J62" i="112"/>
  <c r="F224" i="112"/>
  <c r="J32" i="112"/>
  <c r="F230" i="112"/>
  <c r="J176" i="112"/>
  <c r="F258" i="112"/>
  <c r="F192" i="112"/>
  <c r="F112" i="112"/>
  <c r="F198" i="112"/>
  <c r="J177" i="112"/>
  <c r="F141" i="112"/>
  <c r="F193" i="112"/>
  <c r="J220" i="112"/>
  <c r="F255" i="112"/>
  <c r="J218" i="112"/>
  <c r="F179" i="112"/>
  <c r="F64" i="112"/>
  <c r="J137" i="112"/>
  <c r="J140" i="112"/>
  <c r="J226" i="112"/>
  <c r="F226" i="112"/>
  <c r="J178" i="112"/>
  <c r="F133" i="112"/>
  <c r="J68" i="112"/>
  <c r="J212" i="112"/>
  <c r="J23" i="112"/>
  <c r="F114" i="112"/>
  <c r="J138" i="112"/>
  <c r="J174" i="112"/>
  <c r="J40" i="112"/>
  <c r="F65" i="112"/>
  <c r="J200" i="112"/>
  <c r="J152" i="112"/>
  <c r="J110" i="112"/>
  <c r="J228" i="112"/>
  <c r="F156" i="112"/>
  <c r="F68" i="112"/>
  <c r="J87" i="112"/>
  <c r="J61" i="112"/>
  <c r="F206" i="112"/>
  <c r="J250" i="112"/>
  <c r="F86" i="112"/>
  <c r="J205" i="112"/>
  <c r="F79" i="112"/>
  <c r="J33" i="112"/>
  <c r="J118" i="112"/>
  <c r="J208" i="112"/>
  <c r="J249" i="112"/>
  <c r="F211" i="112"/>
  <c r="J121" i="112"/>
  <c r="F227" i="112"/>
  <c r="J163" i="112"/>
  <c r="J123" i="112"/>
  <c r="F184" i="112"/>
  <c r="J86" i="112"/>
  <c r="J112" i="112"/>
  <c r="J202" i="112"/>
  <c r="J227" i="112"/>
  <c r="F181" i="112"/>
  <c r="F150" i="112"/>
  <c r="J217" i="112"/>
  <c r="J100" i="112"/>
  <c r="F180" i="112"/>
  <c r="F216" i="112"/>
  <c r="J192" i="112"/>
  <c r="F69" i="112"/>
  <c r="J189" i="112"/>
  <c r="J168" i="112"/>
  <c r="J59" i="112"/>
  <c r="F248" i="112"/>
  <c r="F66" i="112"/>
  <c r="J6" i="112"/>
  <c r="J44" i="112"/>
  <c r="F80" i="112"/>
  <c r="F93" i="112"/>
  <c r="J115" i="112"/>
  <c r="F252" i="112"/>
  <c r="F118" i="112"/>
  <c r="F76" i="112"/>
  <c r="J201" i="112"/>
  <c r="J150" i="112"/>
  <c r="J243" i="112"/>
  <c r="J246" i="112"/>
  <c r="J219" i="112"/>
  <c r="J179" i="112"/>
  <c r="F100" i="112"/>
  <c r="J170" i="112"/>
  <c r="J75" i="112"/>
  <c r="J65" i="112"/>
  <c r="J8" i="112"/>
  <c r="F200" i="112"/>
  <c r="J254" i="112"/>
  <c r="F188" i="112"/>
  <c r="F126" i="112"/>
  <c r="J57" i="112"/>
  <c r="J117" i="112"/>
  <c r="F245" i="112"/>
  <c r="J45" i="112"/>
  <c r="F256" i="112"/>
  <c r="J169" i="112"/>
  <c r="J171" i="112"/>
  <c r="J141" i="112"/>
  <c r="F95" i="112"/>
  <c r="F171" i="112"/>
  <c r="F143" i="112"/>
  <c r="J41" i="112"/>
  <c r="J214" i="112"/>
  <c r="J173" i="112"/>
  <c r="J9" i="112"/>
  <c r="F38" i="112"/>
  <c r="F50" i="112"/>
  <c r="F19" i="112"/>
  <c r="F26" i="112"/>
  <c r="F44" i="112"/>
  <c r="F20" i="112"/>
  <c r="F54" i="112"/>
  <c r="J216" i="112"/>
  <c r="F18" i="112"/>
  <c r="F25" i="112"/>
  <c r="F51" i="112"/>
  <c r="F58" i="112"/>
  <c r="F55" i="112"/>
  <c r="F46" i="112"/>
  <c r="F4" i="112"/>
  <c r="F16" i="112"/>
  <c r="F22" i="112"/>
  <c r="F35" i="112"/>
  <c r="F8" i="112"/>
  <c r="F41" i="112"/>
  <c r="F32" i="112"/>
  <c r="F45" i="112"/>
  <c r="F27" i="112"/>
  <c r="F37" i="112"/>
  <c r="F5" i="112"/>
  <c r="F17" i="112"/>
  <c r="F30" i="112"/>
  <c r="F14" i="112"/>
  <c r="F47" i="112"/>
  <c r="F13" i="112"/>
  <c r="F57" i="112"/>
  <c r="F33" i="112"/>
  <c r="F7" i="112"/>
  <c r="F24" i="112"/>
  <c r="F40" i="112"/>
  <c r="A85" i="131"/>
  <c r="E85" i="128"/>
  <c r="D85" i="128"/>
  <c r="B85" i="128"/>
  <c r="D37" i="128"/>
  <c r="A37" i="131"/>
  <c r="B37" i="128"/>
  <c r="D27" i="125"/>
  <c r="D21" i="123"/>
  <c r="C3" i="123"/>
  <c r="C10" i="122"/>
  <c r="D29" i="126"/>
  <c r="D21" i="122"/>
  <c r="D3" i="124"/>
  <c r="C30" i="126"/>
  <c r="D19" i="122"/>
  <c r="C10" i="123"/>
  <c r="C15" i="126"/>
  <c r="D8" i="125"/>
  <c r="C3" i="126"/>
  <c r="C12" i="124"/>
  <c r="D22" i="124"/>
  <c r="D12" i="126"/>
  <c r="C6" i="125"/>
  <c r="D18" i="127"/>
  <c r="D7" i="126"/>
  <c r="D21" i="124"/>
  <c r="D11" i="122"/>
  <c r="C27" i="124"/>
  <c r="D3" i="126"/>
  <c r="D16" i="123"/>
  <c r="C16" i="123"/>
  <c r="C24" i="125"/>
  <c r="C11" i="122"/>
  <c r="C26" i="124"/>
  <c r="C16" i="126"/>
  <c r="C30" i="127"/>
  <c r="C7" i="124"/>
  <c r="D11" i="123"/>
  <c r="D28" i="126"/>
  <c r="C19" i="126"/>
  <c r="D29" i="127"/>
  <c r="D31" i="126"/>
  <c r="C31" i="125"/>
  <c r="C26" i="126"/>
  <c r="D21" i="127"/>
  <c r="C4" i="122"/>
  <c r="D24" i="123"/>
  <c r="C20" i="126"/>
  <c r="C14" i="126"/>
  <c r="C21" i="126"/>
  <c r="C5" i="125"/>
  <c r="D17" i="124"/>
  <c r="D20" i="123"/>
  <c r="D8" i="127"/>
  <c r="C18" i="123"/>
  <c r="C23" i="125"/>
  <c r="C19" i="125"/>
  <c r="C23" i="127"/>
  <c r="D18" i="123"/>
  <c r="C9" i="126"/>
  <c r="D6" i="123"/>
  <c r="D27" i="124"/>
  <c r="C30" i="122"/>
  <c r="C25" i="122"/>
  <c r="D3" i="123"/>
  <c r="C22" i="123"/>
  <c r="C8" i="127"/>
  <c r="D14" i="122"/>
  <c r="D5" i="125"/>
  <c r="C30" i="125"/>
  <c r="D25" i="125"/>
  <c r="D4" i="127"/>
  <c r="D13" i="122"/>
  <c r="D10" i="126"/>
  <c r="C5" i="123"/>
  <c r="D10" i="125"/>
  <c r="D27" i="123"/>
  <c r="C8" i="126"/>
  <c r="C19" i="123"/>
  <c r="C28" i="122"/>
  <c r="D30" i="124"/>
  <c r="D19" i="123"/>
  <c r="D14" i="125"/>
  <c r="C11" i="124"/>
  <c r="D15" i="123"/>
  <c r="D14" i="126"/>
  <c r="D25" i="122"/>
  <c r="D19" i="125"/>
  <c r="D28" i="122"/>
  <c r="D10" i="122"/>
  <c r="D16" i="124"/>
  <c r="C14" i="125"/>
  <c r="C4" i="126"/>
  <c r="C17" i="122"/>
  <c r="D31" i="124"/>
  <c r="D23" i="126"/>
  <c r="C21" i="124"/>
  <c r="C10" i="124"/>
  <c r="D7" i="127"/>
  <c r="D8" i="126"/>
  <c r="D29" i="124"/>
  <c r="D4" i="126"/>
  <c r="D23" i="125"/>
  <c r="C25" i="125"/>
  <c r="C31" i="126"/>
  <c r="D15" i="124"/>
  <c r="D18" i="122"/>
  <c r="D21" i="125"/>
  <c r="C5" i="124"/>
  <c r="C19" i="122"/>
  <c r="D10" i="127"/>
  <c r="D30" i="126"/>
  <c r="C25" i="123"/>
  <c r="C13" i="127"/>
  <c r="D30" i="125"/>
  <c r="C16" i="125"/>
  <c r="D5" i="124"/>
  <c r="C23" i="122"/>
  <c r="D27" i="122"/>
  <c r="D22" i="125"/>
  <c r="D4" i="124"/>
  <c r="D28" i="125"/>
  <c r="C14" i="122"/>
  <c r="D13" i="127"/>
  <c r="C9" i="122"/>
  <c r="D22" i="122"/>
  <c r="D4" i="125"/>
  <c r="C21" i="127"/>
  <c r="C25" i="126"/>
  <c r="D7" i="123"/>
  <c r="C4" i="125"/>
  <c r="D11" i="124"/>
  <c r="C28" i="124"/>
  <c r="C28" i="123"/>
  <c r="C21" i="123"/>
  <c r="D6" i="127"/>
  <c r="D5" i="126"/>
  <c r="C30" i="124"/>
  <c r="D12" i="124"/>
  <c r="C11" i="126"/>
  <c r="D24" i="127"/>
  <c r="C21" i="122"/>
  <c r="D30" i="127"/>
  <c r="C8" i="125"/>
  <c r="D12" i="122"/>
  <c r="C9" i="123"/>
  <c r="D8" i="123"/>
  <c r="C17" i="125"/>
  <c r="D3" i="127"/>
  <c r="D28" i="127"/>
  <c r="D6" i="126"/>
  <c r="D26" i="125"/>
  <c r="C24" i="122"/>
  <c r="D25" i="124"/>
  <c r="D17" i="123"/>
  <c r="C15" i="125"/>
  <c r="C13" i="122"/>
  <c r="C23" i="123"/>
  <c r="C17" i="126"/>
  <c r="D22" i="127"/>
  <c r="D26" i="127"/>
  <c r="D31" i="125"/>
  <c r="C28" i="127"/>
  <c r="D8" i="124"/>
  <c r="D7" i="125"/>
  <c r="D19" i="124"/>
  <c r="C9" i="127"/>
  <c r="C26" i="122"/>
  <c r="C30" i="123"/>
  <c r="D23" i="122"/>
  <c r="D19" i="126"/>
  <c r="C29" i="127"/>
  <c r="D6" i="122"/>
  <c r="D4" i="123"/>
  <c r="D3" i="125"/>
  <c r="D17" i="127"/>
  <c r="C18" i="125"/>
  <c r="C4" i="123"/>
  <c r="C31" i="124"/>
  <c r="D6" i="124"/>
  <c r="C14" i="127"/>
  <c r="C8" i="122"/>
  <c r="C31" i="127"/>
  <c r="C18" i="126"/>
  <c r="C21" i="125"/>
  <c r="D9" i="124"/>
  <c r="C5" i="122"/>
  <c r="C5" i="127"/>
  <c r="C7" i="122"/>
  <c r="C11" i="125"/>
  <c r="D15" i="127"/>
  <c r="D9" i="126"/>
  <c r="D23" i="124"/>
  <c r="D31" i="127"/>
  <c r="D7" i="124"/>
  <c r="C3" i="125"/>
  <c r="D8" i="122"/>
  <c r="D18" i="126"/>
  <c r="C20" i="127"/>
  <c r="C20" i="124"/>
  <c r="C6" i="122"/>
  <c r="C10" i="127"/>
  <c r="C5" i="126"/>
  <c r="C25" i="127"/>
  <c r="D13" i="125"/>
  <c r="C16" i="122"/>
  <c r="D31" i="123"/>
  <c r="D16" i="122"/>
  <c r="C12" i="126"/>
  <c r="D12" i="125"/>
  <c r="D24" i="124"/>
  <c r="C13" i="123"/>
  <c r="C23" i="126"/>
  <c r="D26" i="126"/>
  <c r="D26" i="123"/>
  <c r="D29" i="125"/>
  <c r="C7" i="123"/>
  <c r="C27" i="123"/>
  <c r="D23" i="127"/>
  <c r="D18" i="124"/>
  <c r="C22" i="122"/>
  <c r="D4" i="122"/>
  <c r="C13" i="126"/>
  <c r="C26" i="125"/>
  <c r="C24" i="127"/>
  <c r="C10" i="125"/>
  <c r="C6" i="126"/>
  <c r="C12" i="125"/>
  <c r="D3" i="122"/>
  <c r="D20" i="126"/>
  <c r="D11" i="127"/>
  <c r="D26" i="122"/>
  <c r="C18" i="124"/>
  <c r="C29" i="125"/>
  <c r="C29" i="122"/>
  <c r="C12" i="122"/>
  <c r="C15" i="124"/>
  <c r="C20" i="122"/>
  <c r="C18" i="127"/>
  <c r="D30" i="122"/>
  <c r="D9" i="127"/>
  <c r="C7" i="126"/>
  <c r="D13" i="126"/>
  <c r="C9" i="124"/>
  <c r="C6" i="124"/>
  <c r="C14" i="123"/>
  <c r="C3" i="124"/>
  <c r="C3" i="127"/>
  <c r="D14" i="124"/>
  <c r="D6" i="125"/>
  <c r="C27" i="126"/>
  <c r="C13" i="124"/>
  <c r="C27" i="125"/>
  <c r="D9" i="125"/>
  <c r="C19" i="127"/>
  <c r="D20" i="122"/>
  <c r="C9" i="125"/>
  <c r="D10" i="123"/>
  <c r="D21" i="126"/>
  <c r="D9" i="122"/>
  <c r="C17" i="127"/>
  <c r="C24" i="123"/>
  <c r="D14" i="123"/>
  <c r="C31" i="123"/>
  <c r="D17" i="122"/>
  <c r="C15" i="123"/>
  <c r="D13" i="123"/>
  <c r="D18" i="125"/>
  <c r="C22" i="125"/>
  <c r="C14" i="124"/>
  <c r="D29" i="123"/>
  <c r="C16" i="127"/>
  <c r="C4" i="127"/>
  <c r="C24" i="126"/>
  <c r="D9" i="123"/>
  <c r="D11" i="126"/>
  <c r="C15" i="127"/>
  <c r="D22" i="126"/>
  <c r="D24" i="125"/>
  <c r="C12" i="127"/>
  <c r="D15" i="125"/>
  <c r="D28" i="124"/>
  <c r="D26" i="124"/>
  <c r="D14" i="127"/>
  <c r="C7" i="125"/>
  <c r="C17" i="124"/>
  <c r="D22" i="123"/>
  <c r="C18" i="122"/>
  <c r="D16" i="125"/>
  <c r="D23" i="123"/>
  <c r="D12" i="127"/>
  <c r="D15" i="122"/>
  <c r="C8" i="124"/>
  <c r="D5" i="127"/>
  <c r="C24" i="124"/>
  <c r="D17" i="126"/>
  <c r="D7" i="122"/>
  <c r="D5" i="123"/>
  <c r="D31" i="122"/>
  <c r="D5" i="122"/>
  <c r="D10" i="124"/>
  <c r="C27" i="127"/>
  <c r="D15" i="126"/>
  <c r="C3" i="122"/>
  <c r="C11" i="123"/>
  <c r="C6" i="123"/>
  <c r="D17" i="125"/>
  <c r="C10" i="126"/>
  <c r="C28" i="125"/>
  <c r="D20" i="125"/>
  <c r="D25" i="123"/>
  <c r="C17" i="123"/>
  <c r="D25" i="127"/>
  <c r="C7" i="127"/>
  <c r="C15" i="122"/>
  <c r="C8" i="123"/>
  <c r="C26" i="127"/>
  <c r="C12" i="123"/>
  <c r="D20" i="127"/>
  <c r="D29" i="122"/>
  <c r="D30" i="123"/>
  <c r="C20" i="123"/>
  <c r="D25" i="126"/>
  <c r="D19" i="127"/>
  <c r="C27" i="122"/>
  <c r="C29" i="124"/>
  <c r="C19" i="124"/>
  <c r="D16" i="127"/>
  <c r="C26" i="123"/>
  <c r="C11" i="127"/>
  <c r="D20" i="124"/>
  <c r="C22" i="124"/>
  <c r="D11" i="125"/>
  <c r="C16" i="124"/>
  <c r="C25" i="124"/>
  <c r="D13" i="124"/>
  <c r="C23" i="124"/>
  <c r="C13" i="125"/>
  <c r="D12" i="123"/>
  <c r="C20" i="125"/>
  <c r="D24" i="122"/>
  <c r="C6" i="127"/>
  <c r="D27" i="127"/>
  <c r="C22" i="127"/>
  <c r="D16" i="126"/>
  <c r="C4" i="124"/>
  <c r="D28" i="123"/>
  <c r="D27" i="126"/>
  <c r="C22" i="126"/>
  <c r="C29" i="123"/>
  <c r="C28" i="126"/>
  <c r="D24" i="126"/>
  <c r="C29" i="126"/>
  <c r="E27" i="122" l="1"/>
  <c r="E4" i="124"/>
  <c r="E30" i="124"/>
  <c r="E6" i="125"/>
  <c r="F25" i="125"/>
  <c r="F30" i="127"/>
  <c r="F9" i="127"/>
  <c r="F21" i="125"/>
  <c r="F29" i="127"/>
  <c r="E22" i="126"/>
  <c r="E13" i="125"/>
  <c r="E4" i="125"/>
  <c r="F24" i="123"/>
  <c r="F8" i="127"/>
  <c r="E31" i="126"/>
  <c r="E26" i="126"/>
  <c r="F5" i="127"/>
  <c r="F20" i="122"/>
  <c r="F9" i="126"/>
  <c r="E10" i="127"/>
  <c r="E31" i="124"/>
  <c r="F31" i="127"/>
  <c r="F20" i="125"/>
  <c r="E3" i="125"/>
  <c r="E8" i="124"/>
  <c r="F12" i="125"/>
  <c r="E19" i="125"/>
  <c r="F8" i="126"/>
  <c r="F22" i="126"/>
  <c r="F18" i="126"/>
  <c r="E7" i="127"/>
  <c r="E21" i="124"/>
  <c r="F5" i="123"/>
  <c r="F19" i="122"/>
  <c r="E4" i="126"/>
  <c r="E21" i="122"/>
  <c r="E11" i="122"/>
  <c r="F26" i="122"/>
  <c r="E21" i="126"/>
  <c r="E12" i="126"/>
  <c r="F14" i="124"/>
  <c r="F23" i="124"/>
  <c r="F14" i="125"/>
  <c r="E27" i="125"/>
  <c r="E14" i="124"/>
  <c r="F25" i="126"/>
  <c r="E8" i="123"/>
  <c r="F18" i="123"/>
  <c r="E30" i="125"/>
  <c r="F3" i="125"/>
  <c r="F10" i="125"/>
  <c r="E23" i="125"/>
  <c r="E18" i="124"/>
  <c r="E17" i="124"/>
  <c r="F17" i="124"/>
  <c r="F31" i="126"/>
  <c r="E27" i="123"/>
  <c r="F8" i="122"/>
  <c r="F23" i="126"/>
  <c r="F17" i="125"/>
  <c r="F20" i="127"/>
  <c r="F18" i="122"/>
  <c r="E27" i="124"/>
  <c r="F26" i="124"/>
  <c r="F26" i="126"/>
  <c r="E10" i="124"/>
  <c r="F21" i="126"/>
  <c r="E12" i="124"/>
  <c r="F17" i="123"/>
  <c r="F5" i="122"/>
  <c r="E23" i="124"/>
  <c r="E15" i="126"/>
  <c r="F21" i="123"/>
  <c r="F3" i="127"/>
  <c r="F3" i="124"/>
  <c r="F6" i="122"/>
  <c r="E14" i="127"/>
  <c r="F26" i="125"/>
  <c r="F13" i="123"/>
  <c r="E8" i="125"/>
  <c r="F16" i="122"/>
  <c r="E14" i="125"/>
  <c r="E26" i="127"/>
  <c r="F13" i="127"/>
  <c r="F24" i="124"/>
  <c r="E23" i="127"/>
  <c r="F21" i="127"/>
  <c r="F22" i="123"/>
  <c r="F29" i="123"/>
  <c r="F6" i="125"/>
  <c r="E24" i="125"/>
  <c r="F19" i="127"/>
  <c r="E5" i="126"/>
  <c r="F28" i="124"/>
  <c r="E29" i="126"/>
  <c r="E8" i="122"/>
  <c r="E18" i="122"/>
  <c r="E30" i="122"/>
  <c r="E29" i="125"/>
  <c r="F29" i="126"/>
  <c r="E22" i="125"/>
  <c r="E17" i="123"/>
  <c r="F27" i="123"/>
  <c r="F11" i="123"/>
  <c r="F19" i="124"/>
  <c r="E28" i="123"/>
  <c r="F7" i="125"/>
  <c r="E31" i="125"/>
  <c r="F30" i="122"/>
  <c r="F10" i="122"/>
  <c r="E16" i="125"/>
  <c r="F14" i="126"/>
  <c r="E25" i="126"/>
  <c r="E12" i="127"/>
  <c r="F30" i="123"/>
  <c r="E19" i="126"/>
  <c r="F17" i="126"/>
  <c r="F25" i="122"/>
  <c r="E17" i="125"/>
  <c r="E22" i="123"/>
  <c r="F3" i="123"/>
  <c r="F12" i="124"/>
  <c r="E7" i="123"/>
  <c r="F24" i="127"/>
  <c r="E5" i="124"/>
  <c r="F8" i="123"/>
  <c r="F8" i="125"/>
  <c r="F29" i="122"/>
  <c r="F20" i="124"/>
  <c r="F23" i="127"/>
  <c r="F6" i="127"/>
  <c r="E11" i="124"/>
  <c r="F11" i="124"/>
  <c r="F24" i="125"/>
  <c r="E28" i="126"/>
  <c r="E6" i="122"/>
  <c r="E19" i="122"/>
  <c r="E4" i="122"/>
  <c r="E11" i="125"/>
  <c r="F6" i="123"/>
  <c r="F20" i="123"/>
  <c r="F9" i="125"/>
  <c r="F24" i="122"/>
  <c r="E6" i="127"/>
  <c r="F29" i="124"/>
  <c r="F16" i="126"/>
  <c r="F9" i="123"/>
  <c r="E9" i="123"/>
  <c r="F11" i="125"/>
  <c r="E24" i="122"/>
  <c r="E3" i="122"/>
  <c r="E14" i="122"/>
  <c r="E10" i="122"/>
  <c r="E23" i="122"/>
  <c r="E5" i="122"/>
  <c r="E19" i="124"/>
  <c r="E4" i="123"/>
  <c r="F27" i="125"/>
  <c r="F4" i="123"/>
  <c r="E10" i="123"/>
  <c r="F8" i="124"/>
  <c r="E13" i="124"/>
  <c r="E18" i="127"/>
  <c r="F5" i="124"/>
  <c r="E9" i="126"/>
  <c r="F3" i="122"/>
  <c r="E13" i="123"/>
  <c r="E19" i="123"/>
  <c r="F25" i="127"/>
  <c r="F9" i="124"/>
  <c r="F11" i="122"/>
  <c r="F28" i="123"/>
  <c r="F4" i="125"/>
  <c r="E16" i="124"/>
  <c r="F22" i="125"/>
  <c r="F28" i="125"/>
  <c r="F10" i="123"/>
  <c r="F20" i="126"/>
  <c r="E18" i="123"/>
  <c r="F26" i="127"/>
  <c r="F27" i="127"/>
  <c r="E5" i="125"/>
  <c r="E3" i="127"/>
  <c r="F11" i="126"/>
  <c r="F22" i="124"/>
  <c r="F3" i="126"/>
  <c r="F27" i="126"/>
  <c r="E10" i="125"/>
  <c r="E9" i="125"/>
  <c r="F13" i="125"/>
  <c r="F13" i="126"/>
  <c r="E11" i="126"/>
  <c r="E23" i="123"/>
  <c r="E13" i="126"/>
  <c r="E30" i="127"/>
  <c r="E15" i="125"/>
  <c r="E29" i="127"/>
  <c r="F14" i="127"/>
  <c r="F25" i="123"/>
  <c r="F28" i="127"/>
  <c r="F12" i="122"/>
  <c r="E11" i="127"/>
  <c r="F26" i="123"/>
  <c r="E28" i="125"/>
  <c r="F6" i="126"/>
  <c r="F7" i="122"/>
  <c r="E19" i="127"/>
  <c r="F12" i="123"/>
  <c r="E31" i="123"/>
  <c r="F23" i="123"/>
  <c r="E15" i="123"/>
  <c r="F13" i="124"/>
  <c r="E27" i="126"/>
  <c r="E21" i="123"/>
  <c r="E22" i="124"/>
  <c r="E13" i="127"/>
  <c r="E20" i="127"/>
  <c r="F15" i="125"/>
  <c r="E18" i="125"/>
  <c r="E8" i="126"/>
  <c r="E8" i="127"/>
  <c r="E12" i="125"/>
  <c r="F23" i="122"/>
  <c r="F18" i="124"/>
  <c r="E20" i="123"/>
  <c r="E25" i="124"/>
  <c r="E24" i="127"/>
  <c r="E16" i="126"/>
  <c r="F19" i="123"/>
  <c r="E25" i="125"/>
  <c r="E11" i="123"/>
  <c r="F10" i="126"/>
  <c r="F16" i="125"/>
  <c r="F10" i="124"/>
  <c r="F30" i="125"/>
  <c r="F18" i="127"/>
  <c r="F25" i="124"/>
  <c r="E28" i="122"/>
  <c r="E16" i="122"/>
  <c r="E13" i="122"/>
  <c r="F16" i="127"/>
  <c r="F24" i="126"/>
  <c r="F5" i="126"/>
  <c r="E6" i="124"/>
  <c r="F22" i="122"/>
  <c r="E3" i="126"/>
  <c r="F21" i="124"/>
  <c r="E22" i="122"/>
  <c r="E25" i="122"/>
  <c r="E25" i="123"/>
  <c r="F17" i="127"/>
  <c r="E16" i="123"/>
  <c r="F22" i="127"/>
  <c r="E16" i="127"/>
  <c r="E24" i="126"/>
  <c r="E6" i="126"/>
  <c r="F7" i="123"/>
  <c r="E21" i="125"/>
  <c r="E29" i="122"/>
  <c r="E17" i="122"/>
  <c r="E12" i="122"/>
  <c r="E15" i="122"/>
  <c r="E26" i="122"/>
  <c r="E20" i="122"/>
  <c r="E7" i="122"/>
  <c r="E9" i="122"/>
  <c r="E27" i="127"/>
  <c r="E6" i="123"/>
  <c r="F15" i="127"/>
  <c r="E14" i="126"/>
  <c r="F30" i="126"/>
  <c r="F15" i="126"/>
  <c r="F15" i="124"/>
  <c r="E7" i="126"/>
  <c r="F31" i="122"/>
  <c r="E5" i="123"/>
  <c r="F28" i="122"/>
  <c r="E22" i="127"/>
  <c r="E17" i="126"/>
  <c r="F12" i="126"/>
  <c r="F11" i="127"/>
  <c r="E5" i="127"/>
  <c r="F5" i="125"/>
  <c r="E15" i="124"/>
  <c r="F4" i="124"/>
  <c r="F30" i="124"/>
  <c r="E7" i="124"/>
  <c r="E28" i="124"/>
  <c r="E15" i="127"/>
  <c r="E31" i="127"/>
  <c r="F31" i="123"/>
  <c r="F6" i="124"/>
  <c r="F28" i="126"/>
  <c r="F14" i="123"/>
  <c r="F10" i="127"/>
  <c r="F16" i="124"/>
  <c r="E20" i="126"/>
  <c r="E29" i="124"/>
  <c r="F4" i="126"/>
  <c r="E18" i="126"/>
  <c r="E30" i="126"/>
  <c r="F13" i="122"/>
  <c r="E10" i="126"/>
  <c r="E30" i="123"/>
  <c r="F27" i="122"/>
  <c r="E24" i="124"/>
  <c r="E21" i="127"/>
  <c r="E9" i="124"/>
  <c r="F19" i="126"/>
  <c r="E24" i="123"/>
  <c r="F15" i="122"/>
  <c r="F12" i="127"/>
  <c r="F9" i="122"/>
  <c r="E23" i="126"/>
  <c r="F29" i="125"/>
  <c r="E26" i="123"/>
  <c r="E3" i="123"/>
  <c r="F4" i="122"/>
  <c r="E29" i="123"/>
  <c r="F15" i="123"/>
  <c r="F14" i="122"/>
  <c r="F7" i="127"/>
  <c r="F23" i="125"/>
  <c r="E9" i="127"/>
  <c r="E20" i="125"/>
  <c r="E14" i="123"/>
  <c r="E7" i="125"/>
  <c r="F18" i="125"/>
  <c r="F16" i="123"/>
  <c r="F19" i="125"/>
  <c r="F31" i="125"/>
  <c r="F17" i="122"/>
  <c r="F31" i="124"/>
  <c r="E25" i="127"/>
  <c r="E17" i="127"/>
  <c r="F4" i="127"/>
  <c r="F7" i="124"/>
  <c r="E4" i="127"/>
  <c r="E12" i="123"/>
  <c r="E3" i="124"/>
  <c r="E28" i="127"/>
  <c r="F21" i="122"/>
  <c r="F27" i="124"/>
  <c r="F7" i="126"/>
  <c r="E26" i="125"/>
  <c r="E26" i="124"/>
  <c r="E20" i="124"/>
  <c r="U92" i="131"/>
  <c r="AB92" i="131"/>
  <c r="G92" i="131"/>
  <c r="BM92" i="131"/>
  <c r="BL92" i="131"/>
  <c r="AL92" i="131"/>
  <c r="AT92" i="131"/>
  <c r="AM92" i="131"/>
  <c r="Q92" i="131"/>
  <c r="BD92" i="131"/>
  <c r="J92" i="131"/>
  <c r="B92" i="131"/>
  <c r="O92" i="131"/>
  <c r="F92" i="131"/>
  <c r="AD92" i="131"/>
  <c r="AV92" i="131"/>
  <c r="S92" i="131"/>
  <c r="BC92" i="131"/>
  <c r="BE92" i="131"/>
  <c r="AC92" i="131"/>
  <c r="C92" i="131"/>
  <c r="E92" i="131"/>
  <c r="T92" i="131"/>
  <c r="M92" i="131"/>
  <c r="AK92" i="131"/>
  <c r="P92" i="131"/>
  <c r="N92" i="131"/>
  <c r="BN92" i="131"/>
  <c r="L92" i="131"/>
  <c r="AU92" i="131"/>
  <c r="I92" i="131"/>
  <c r="H92" i="131"/>
  <c r="M35" i="122"/>
  <c r="N35" i="122"/>
  <c r="L35" i="122"/>
  <c r="N39" i="122"/>
  <c r="M39" i="122"/>
  <c r="L39" i="122"/>
  <c r="N54" i="122"/>
  <c r="M54" i="122"/>
  <c r="L54" i="122"/>
  <c r="N40" i="122"/>
  <c r="L40" i="122"/>
  <c r="M40" i="122"/>
  <c r="N35" i="126"/>
  <c r="L35" i="126"/>
  <c r="M35" i="126"/>
  <c r="N40" i="126"/>
  <c r="M40" i="126"/>
  <c r="L40" i="126"/>
  <c r="Q38" i="124"/>
  <c r="O38" i="124"/>
  <c r="K38" i="124"/>
  <c r="P38" i="124"/>
  <c r="O33" i="127"/>
  <c r="P33" i="127"/>
  <c r="K33" i="127"/>
  <c r="Q33" i="127"/>
  <c r="P64" i="124"/>
  <c r="K64" i="124"/>
  <c r="O64" i="124"/>
  <c r="Q64" i="124"/>
  <c r="N40" i="123"/>
  <c r="M40" i="123"/>
  <c r="L40" i="123"/>
  <c r="Q48" i="125"/>
  <c r="P48" i="125"/>
  <c r="K48" i="125"/>
  <c r="O48" i="125"/>
  <c r="O49" i="122"/>
  <c r="Q49" i="122"/>
  <c r="P49" i="122"/>
  <c r="K49" i="122"/>
  <c r="M48" i="123"/>
  <c r="L48" i="123"/>
  <c r="N48" i="123"/>
  <c r="K50" i="127"/>
  <c r="O50" i="127"/>
  <c r="P50" i="127"/>
  <c r="Q50" i="127"/>
  <c r="N42" i="124"/>
  <c r="M42" i="124"/>
  <c r="L42" i="124"/>
  <c r="M58" i="127"/>
  <c r="N58" i="127"/>
  <c r="L58" i="127"/>
  <c r="M64" i="123"/>
  <c r="N64" i="123"/>
  <c r="L64" i="123"/>
  <c r="O49" i="123"/>
  <c r="K49" i="123"/>
  <c r="Q49" i="123"/>
  <c r="P49" i="123"/>
  <c r="O49" i="126"/>
  <c r="K49" i="126"/>
  <c r="Q49" i="126"/>
  <c r="P49" i="126"/>
  <c r="O37" i="122"/>
  <c r="K37" i="122"/>
  <c r="Q37" i="122"/>
  <c r="P37" i="122"/>
  <c r="M60" i="126"/>
  <c r="L60" i="126"/>
  <c r="N60" i="126"/>
  <c r="K35" i="123"/>
  <c r="Q35" i="123"/>
  <c r="P35" i="123"/>
  <c r="O35" i="123"/>
  <c r="P55" i="126"/>
  <c r="O55" i="126"/>
  <c r="Q55" i="126"/>
  <c r="K55" i="126"/>
  <c r="O46" i="122"/>
  <c r="K46" i="122"/>
  <c r="Q46" i="122"/>
  <c r="P46" i="122"/>
  <c r="O53" i="127"/>
  <c r="P53" i="127"/>
  <c r="K53" i="127"/>
  <c r="Q53" i="127"/>
  <c r="O53" i="122"/>
  <c r="Q53" i="122"/>
  <c r="P53" i="122"/>
  <c r="K53" i="122"/>
  <c r="Q65" i="127"/>
  <c r="O65" i="127"/>
  <c r="P65" i="127"/>
  <c r="K65" i="127"/>
  <c r="P46" i="125"/>
  <c r="Q46" i="125"/>
  <c r="K46" i="125"/>
  <c r="O46" i="125"/>
  <c r="N41" i="127"/>
  <c r="L41" i="127"/>
  <c r="M41" i="127"/>
  <c r="N46" i="127"/>
  <c r="M46" i="127"/>
  <c r="L46" i="127"/>
  <c r="M55" i="126"/>
  <c r="N55" i="126"/>
  <c r="L55" i="126"/>
  <c r="N63" i="124"/>
  <c r="L63" i="124"/>
  <c r="M63" i="124"/>
  <c r="O59" i="123"/>
  <c r="Q59" i="123"/>
  <c r="P59" i="123"/>
  <c r="K59" i="123"/>
  <c r="N45" i="125"/>
  <c r="L45" i="125"/>
  <c r="M45" i="125"/>
  <c r="O51" i="126"/>
  <c r="K51" i="126"/>
  <c r="P51" i="126"/>
  <c r="Q51" i="126"/>
  <c r="K40" i="124"/>
  <c r="Q40" i="124"/>
  <c r="O40" i="124"/>
  <c r="P40" i="124"/>
  <c r="Q43" i="122"/>
  <c r="O43" i="122"/>
  <c r="K43" i="122"/>
  <c r="P43" i="122"/>
  <c r="O54" i="123"/>
  <c r="K54" i="123"/>
  <c r="P54" i="123"/>
  <c r="Q54" i="123"/>
  <c r="M41" i="124"/>
  <c r="N41" i="124"/>
  <c r="L41" i="124"/>
  <c r="O61" i="126"/>
  <c r="Q61" i="126"/>
  <c r="K61" i="126"/>
  <c r="P61" i="126"/>
  <c r="BE21" i="131"/>
  <c r="BD21" i="131"/>
  <c r="C21" i="131"/>
  <c r="BN21" i="131"/>
  <c r="BL21" i="131"/>
  <c r="BC21" i="131"/>
  <c r="BM21" i="131"/>
  <c r="B21" i="131"/>
  <c r="BE26" i="131"/>
  <c r="BD26" i="131"/>
  <c r="BM26" i="131"/>
  <c r="BL26" i="131"/>
  <c r="B26" i="131"/>
  <c r="BN26" i="131"/>
  <c r="BC26" i="131"/>
  <c r="C26" i="131"/>
  <c r="P129" i="131"/>
  <c r="BN129" i="131"/>
  <c r="S129" i="131"/>
  <c r="BL129" i="131"/>
  <c r="G129" i="131"/>
  <c r="M129" i="131"/>
  <c r="H129" i="131"/>
  <c r="C129" i="131"/>
  <c r="I129" i="131"/>
  <c r="BM129" i="131"/>
  <c r="O129" i="131"/>
  <c r="J129" i="131"/>
  <c r="AB129" i="131"/>
  <c r="AL129" i="131"/>
  <c r="BE129" i="131"/>
  <c r="N129" i="131"/>
  <c r="BC129" i="131"/>
  <c r="L129" i="131"/>
  <c r="AM129" i="131"/>
  <c r="AV129" i="131"/>
  <c r="AT129" i="131"/>
  <c r="Q129" i="131"/>
  <c r="AC129" i="131"/>
  <c r="AD129" i="131"/>
  <c r="B129" i="131"/>
  <c r="T129" i="131"/>
  <c r="U129" i="131"/>
  <c r="F129" i="131"/>
  <c r="E129" i="131"/>
  <c r="BD129" i="131"/>
  <c r="AU129" i="131"/>
  <c r="AK129" i="131"/>
  <c r="A297" i="61"/>
  <c r="AI84" i="47"/>
  <c r="AJ84" i="47"/>
  <c r="AK84" i="47"/>
  <c r="AK70" i="47"/>
  <c r="AJ70" i="47"/>
  <c r="AI70" i="47"/>
  <c r="A241" i="61"/>
  <c r="AK76" i="47"/>
  <c r="AJ76" i="47"/>
  <c r="A265" i="61"/>
  <c r="AI76" i="47"/>
  <c r="AJ88" i="47"/>
  <c r="AK88" i="47"/>
  <c r="AI88" i="47"/>
  <c r="A313" i="61"/>
  <c r="AK133" i="47"/>
  <c r="AI133" i="47"/>
  <c r="AJ133" i="47"/>
  <c r="A493" i="61"/>
  <c r="A301" i="61"/>
  <c r="AJ85" i="47"/>
  <c r="AI85" i="47"/>
  <c r="AK85" i="47"/>
  <c r="A505" i="61"/>
  <c r="AJ136" i="47"/>
  <c r="AK136" i="47"/>
  <c r="AI136" i="47"/>
  <c r="AJ105" i="47"/>
  <c r="A381" i="61"/>
  <c r="AK105" i="47"/>
  <c r="AI105" i="47"/>
  <c r="AK129" i="47"/>
  <c r="AJ129" i="47"/>
  <c r="A477" i="61"/>
  <c r="AI129" i="47"/>
  <c r="N115" i="131"/>
  <c r="P115" i="131"/>
  <c r="BE115" i="131"/>
  <c r="AL115" i="131"/>
  <c r="AB115" i="131"/>
  <c r="BC115" i="131"/>
  <c r="AD115" i="131"/>
  <c r="F115" i="131"/>
  <c r="T115" i="131"/>
  <c r="M115" i="131"/>
  <c r="AU115" i="131"/>
  <c r="U115" i="131"/>
  <c r="AK115" i="131"/>
  <c r="G115" i="131"/>
  <c r="AC115" i="131"/>
  <c r="BL115" i="131"/>
  <c r="AM115" i="131"/>
  <c r="I115" i="131"/>
  <c r="BN115" i="131"/>
  <c r="H115" i="131"/>
  <c r="C115" i="131"/>
  <c r="E115" i="131"/>
  <c r="BM115" i="131"/>
  <c r="Q115" i="131"/>
  <c r="AV115" i="131"/>
  <c r="O115" i="131"/>
  <c r="S115" i="131"/>
  <c r="AT115" i="131"/>
  <c r="L115" i="131"/>
  <c r="J115" i="131"/>
  <c r="B115" i="131"/>
  <c r="BD115" i="131"/>
  <c r="P90" i="131"/>
  <c r="M90" i="131"/>
  <c r="BN90" i="131"/>
  <c r="O90" i="131"/>
  <c r="S90" i="131"/>
  <c r="C90" i="131"/>
  <c r="G90" i="131"/>
  <c r="AB90" i="131"/>
  <c r="T90" i="131"/>
  <c r="BE90" i="131"/>
  <c r="I90" i="131"/>
  <c r="AT90" i="131"/>
  <c r="E90" i="131"/>
  <c r="AM90" i="131"/>
  <c r="AL90" i="131"/>
  <c r="AK90" i="131"/>
  <c r="H90" i="131"/>
  <c r="U90" i="131"/>
  <c r="BC90" i="131"/>
  <c r="F90" i="131"/>
  <c r="B90" i="131"/>
  <c r="BL90" i="131"/>
  <c r="J90" i="131"/>
  <c r="Q90" i="131"/>
  <c r="BD90" i="131"/>
  <c r="AD90" i="131"/>
  <c r="N90" i="131"/>
  <c r="AV90" i="131"/>
  <c r="AU90" i="131"/>
  <c r="AC90" i="131"/>
  <c r="L90" i="131"/>
  <c r="BM90" i="131"/>
  <c r="P127" i="131"/>
  <c r="AM127" i="131"/>
  <c r="C127" i="131"/>
  <c r="U127" i="131"/>
  <c r="E127" i="131"/>
  <c r="J127" i="131"/>
  <c r="M127" i="131"/>
  <c r="N127" i="131"/>
  <c r="I127" i="131"/>
  <c r="BN127" i="131"/>
  <c r="T127" i="131"/>
  <c r="L127" i="131"/>
  <c r="AK127" i="131"/>
  <c r="F127" i="131"/>
  <c r="O127" i="131"/>
  <c r="S127" i="131"/>
  <c r="BM127" i="131"/>
  <c r="BL127" i="131"/>
  <c r="AL127" i="131"/>
  <c r="AB127" i="131"/>
  <c r="BE127" i="131"/>
  <c r="H127" i="131"/>
  <c r="BC127" i="131"/>
  <c r="B127" i="131"/>
  <c r="Q127" i="131"/>
  <c r="AC127" i="131"/>
  <c r="BD127" i="131"/>
  <c r="AV127" i="131"/>
  <c r="AT127" i="131"/>
  <c r="AU127" i="131"/>
  <c r="AD127" i="131"/>
  <c r="G127" i="131"/>
  <c r="L70" i="131"/>
  <c r="AT70" i="131"/>
  <c r="P70" i="131"/>
  <c r="H70" i="131"/>
  <c r="BE70" i="131"/>
  <c r="AM70" i="131"/>
  <c r="BN70" i="131"/>
  <c r="AU70" i="131"/>
  <c r="B70" i="131"/>
  <c r="AV70" i="131"/>
  <c r="J70" i="131"/>
  <c r="E70" i="131"/>
  <c r="T70" i="131"/>
  <c r="AD70" i="131"/>
  <c r="G70" i="131"/>
  <c r="O70" i="131"/>
  <c r="S70" i="131"/>
  <c r="U70" i="131"/>
  <c r="N70" i="131"/>
  <c r="F70" i="131"/>
  <c r="AK70" i="131"/>
  <c r="C70" i="131"/>
  <c r="AL70" i="131"/>
  <c r="I70" i="131"/>
  <c r="BL70" i="131"/>
  <c r="BC70" i="131"/>
  <c r="AC70" i="131"/>
  <c r="Q70" i="131"/>
  <c r="BM70" i="131"/>
  <c r="M70" i="131"/>
  <c r="BD70" i="131"/>
  <c r="AB70" i="131"/>
  <c r="BN48" i="131"/>
  <c r="BD48" i="131"/>
  <c r="C48" i="131"/>
  <c r="BC48" i="131"/>
  <c r="BL48" i="131"/>
  <c r="B48" i="131"/>
  <c r="BM48" i="131"/>
  <c r="BE48" i="131"/>
  <c r="M88" i="131"/>
  <c r="L88" i="131"/>
  <c r="F88" i="131"/>
  <c r="AV88" i="131"/>
  <c r="BM88" i="131"/>
  <c r="AD88" i="131"/>
  <c r="Q88" i="131"/>
  <c r="T88" i="131"/>
  <c r="I88" i="131"/>
  <c r="G88" i="131"/>
  <c r="AB88" i="131"/>
  <c r="J88" i="131"/>
  <c r="B88" i="131"/>
  <c r="C88" i="131"/>
  <c r="BD88" i="131"/>
  <c r="E88" i="131"/>
  <c r="BN88" i="131"/>
  <c r="P88" i="131"/>
  <c r="BC88" i="131"/>
  <c r="AC88" i="131"/>
  <c r="AM88" i="131"/>
  <c r="H88" i="131"/>
  <c r="S88" i="131"/>
  <c r="AL88" i="131"/>
  <c r="AT88" i="131"/>
  <c r="AU88" i="131"/>
  <c r="BL88" i="131"/>
  <c r="BE88" i="131"/>
  <c r="U88" i="131"/>
  <c r="N88" i="131"/>
  <c r="O88" i="131"/>
  <c r="AK88" i="131"/>
  <c r="B124" i="131"/>
  <c r="U124" i="131"/>
  <c r="BC124" i="131"/>
  <c r="BN124" i="131"/>
  <c r="H124" i="131"/>
  <c r="AL124" i="131"/>
  <c r="S124" i="131"/>
  <c r="P124" i="131"/>
  <c r="BE124" i="131"/>
  <c r="AD124" i="131"/>
  <c r="BM124" i="131"/>
  <c r="AT124" i="131"/>
  <c r="M124" i="131"/>
  <c r="AK124" i="131"/>
  <c r="G124" i="131"/>
  <c r="N124" i="131"/>
  <c r="BD124" i="131"/>
  <c r="F124" i="131"/>
  <c r="AU124" i="131"/>
  <c r="O124" i="131"/>
  <c r="E124" i="131"/>
  <c r="AB124" i="131"/>
  <c r="I124" i="131"/>
  <c r="C124" i="131"/>
  <c r="AC124" i="131"/>
  <c r="AV124" i="131"/>
  <c r="L124" i="131"/>
  <c r="J124" i="131"/>
  <c r="AM124" i="131"/>
  <c r="T124" i="131"/>
  <c r="Q124" i="131"/>
  <c r="BL124" i="131"/>
  <c r="BC20" i="131"/>
  <c r="B20" i="131"/>
  <c r="BL20" i="131"/>
  <c r="BD20" i="131"/>
  <c r="BM20" i="131"/>
  <c r="BN20" i="131"/>
  <c r="BE20" i="131"/>
  <c r="C20" i="131"/>
  <c r="I89" i="131"/>
  <c r="T89" i="131"/>
  <c r="E89" i="131"/>
  <c r="AU89" i="131"/>
  <c r="BM89" i="131"/>
  <c r="BN89" i="131"/>
  <c r="U89" i="131"/>
  <c r="Q89" i="131"/>
  <c r="B89" i="131"/>
  <c r="AC89" i="131"/>
  <c r="H89" i="131"/>
  <c r="F89" i="131"/>
  <c r="J89" i="131"/>
  <c r="L89" i="131"/>
  <c r="AK89" i="131"/>
  <c r="AM89" i="131"/>
  <c r="AV89" i="131"/>
  <c r="AB89" i="131"/>
  <c r="G89" i="131"/>
  <c r="N89" i="131"/>
  <c r="BC89" i="131"/>
  <c r="S89" i="131"/>
  <c r="AL89" i="131"/>
  <c r="C89" i="131"/>
  <c r="O89" i="131"/>
  <c r="AD89" i="131"/>
  <c r="BE89" i="131"/>
  <c r="P89" i="131"/>
  <c r="BD89" i="131"/>
  <c r="AT89" i="131"/>
  <c r="M89" i="131"/>
  <c r="BL89" i="131"/>
  <c r="AB66" i="131"/>
  <c r="AK66" i="131"/>
  <c r="C66" i="131"/>
  <c r="L66" i="131"/>
  <c r="AV66" i="131"/>
  <c r="BM66" i="131"/>
  <c r="Q66" i="131"/>
  <c r="P66" i="131"/>
  <c r="AD66" i="131"/>
  <c r="BE66" i="131"/>
  <c r="E66" i="131"/>
  <c r="AC66" i="131"/>
  <c r="J66" i="131"/>
  <c r="AU66" i="131"/>
  <c r="B66" i="131"/>
  <c r="H66" i="131"/>
  <c r="BC66" i="131"/>
  <c r="AL66" i="131"/>
  <c r="BD66" i="131"/>
  <c r="U66" i="131"/>
  <c r="AM66" i="131"/>
  <c r="O66" i="131"/>
  <c r="N66" i="131"/>
  <c r="G66" i="131"/>
  <c r="S66" i="131"/>
  <c r="I66" i="131"/>
  <c r="M66" i="131"/>
  <c r="T66" i="131"/>
  <c r="BL66" i="131"/>
  <c r="F66" i="131"/>
  <c r="BN66" i="131"/>
  <c r="AT66" i="131"/>
  <c r="C25" i="131"/>
  <c r="BE25" i="131"/>
  <c r="BN25" i="131"/>
  <c r="BD25" i="131"/>
  <c r="BL25" i="131"/>
  <c r="BC25" i="131"/>
  <c r="B25" i="131"/>
  <c r="BM25" i="131"/>
  <c r="L64" i="122"/>
  <c r="N64" i="122"/>
  <c r="M64" i="122"/>
  <c r="N37" i="122"/>
  <c r="L37" i="122"/>
  <c r="M37" i="122"/>
  <c r="L59" i="122"/>
  <c r="M59" i="122"/>
  <c r="N59" i="122"/>
  <c r="M57" i="124"/>
  <c r="L57" i="124"/>
  <c r="N57" i="124"/>
  <c r="O64" i="123"/>
  <c r="Q64" i="123"/>
  <c r="K64" i="123"/>
  <c r="P64" i="123"/>
  <c r="M32" i="123"/>
  <c r="L32" i="123"/>
  <c r="N32" i="123"/>
  <c r="N55" i="127"/>
  <c r="M55" i="127"/>
  <c r="L55" i="127"/>
  <c r="L54" i="124"/>
  <c r="M54" i="124"/>
  <c r="N54" i="124"/>
  <c r="K63" i="123"/>
  <c r="O63" i="123"/>
  <c r="P63" i="123"/>
  <c r="Q63" i="123"/>
  <c r="N42" i="125"/>
  <c r="L42" i="125"/>
  <c r="M42" i="125"/>
  <c r="N55" i="125"/>
  <c r="L55" i="125"/>
  <c r="M55" i="125"/>
  <c r="O40" i="125"/>
  <c r="Q40" i="125"/>
  <c r="K40" i="125"/>
  <c r="P40" i="125"/>
  <c r="Q58" i="126"/>
  <c r="O58" i="126"/>
  <c r="K58" i="126"/>
  <c r="P58" i="126"/>
  <c r="O44" i="126"/>
  <c r="P44" i="126"/>
  <c r="K44" i="126"/>
  <c r="Q44" i="126"/>
  <c r="N37" i="126"/>
  <c r="M37" i="126"/>
  <c r="L37" i="126"/>
  <c r="K58" i="125"/>
  <c r="Q58" i="125"/>
  <c r="P58" i="125"/>
  <c r="O58" i="125"/>
  <c r="N32" i="127"/>
  <c r="L32" i="127"/>
  <c r="M32" i="127"/>
  <c r="O34" i="123"/>
  <c r="K34" i="123"/>
  <c r="Q34" i="123"/>
  <c r="P34" i="123"/>
  <c r="Q51" i="125"/>
  <c r="K51" i="125"/>
  <c r="P51" i="125"/>
  <c r="O51" i="125"/>
  <c r="M57" i="123"/>
  <c r="N57" i="123"/>
  <c r="L57" i="123"/>
  <c r="M36" i="123"/>
  <c r="L36" i="123"/>
  <c r="N36" i="123"/>
  <c r="M50" i="127"/>
  <c r="L50" i="127"/>
  <c r="N50" i="127"/>
  <c r="K38" i="123"/>
  <c r="P38" i="123"/>
  <c r="Q38" i="123"/>
  <c r="O38" i="123"/>
  <c r="N37" i="125"/>
  <c r="L37" i="125"/>
  <c r="M37" i="125"/>
  <c r="L38" i="127"/>
  <c r="M38" i="127"/>
  <c r="N38" i="127"/>
  <c r="N32" i="125"/>
  <c r="L32" i="125"/>
  <c r="M32" i="125"/>
  <c r="N42" i="123"/>
  <c r="M42" i="123"/>
  <c r="L42" i="123"/>
  <c r="N37" i="127"/>
  <c r="L37" i="127"/>
  <c r="M37" i="127"/>
  <c r="N32" i="124"/>
  <c r="M32" i="124"/>
  <c r="L32" i="124"/>
  <c r="Q36" i="123"/>
  <c r="O36" i="123"/>
  <c r="P36" i="123"/>
  <c r="K36" i="123"/>
  <c r="L44" i="126"/>
  <c r="N44" i="126"/>
  <c r="M44" i="126"/>
  <c r="L39" i="125"/>
  <c r="N39" i="125"/>
  <c r="M39" i="125"/>
  <c r="K42" i="122"/>
  <c r="P42" i="122"/>
  <c r="O42" i="122"/>
  <c r="Q42" i="122"/>
  <c r="L62" i="127"/>
  <c r="N62" i="127"/>
  <c r="M62" i="127"/>
  <c r="K66" i="126"/>
  <c r="O66" i="126"/>
  <c r="Q66" i="126"/>
  <c r="P66" i="126"/>
  <c r="M66" i="123"/>
  <c r="L66" i="123"/>
  <c r="N66" i="123"/>
  <c r="M66" i="124"/>
  <c r="L66" i="124"/>
  <c r="N66" i="124"/>
  <c r="K63" i="125"/>
  <c r="P63" i="125"/>
  <c r="O63" i="125"/>
  <c r="Q63" i="125"/>
  <c r="N34" i="126"/>
  <c r="M34" i="126"/>
  <c r="L34" i="126"/>
  <c r="L52" i="123"/>
  <c r="N52" i="123"/>
  <c r="M52" i="123"/>
  <c r="O36" i="127"/>
  <c r="Q36" i="127"/>
  <c r="P36" i="127"/>
  <c r="K36" i="127"/>
  <c r="P66" i="125"/>
  <c r="K66" i="125"/>
  <c r="O66" i="125"/>
  <c r="Q66" i="125"/>
  <c r="Q62" i="122"/>
  <c r="K62" i="122"/>
  <c r="P62" i="122"/>
  <c r="O62" i="122"/>
  <c r="O44" i="125"/>
  <c r="Q44" i="125"/>
  <c r="P44" i="125"/>
  <c r="K44" i="125"/>
  <c r="N49" i="126"/>
  <c r="L49" i="126"/>
  <c r="M49" i="126"/>
  <c r="M66" i="127"/>
  <c r="N66" i="127"/>
  <c r="L66" i="127"/>
  <c r="K59" i="125"/>
  <c r="P59" i="125"/>
  <c r="O59" i="125"/>
  <c r="Q59" i="125"/>
  <c r="N46" i="125"/>
  <c r="L46" i="125"/>
  <c r="M46" i="125"/>
  <c r="N63" i="123"/>
  <c r="L63" i="123"/>
  <c r="M63" i="123"/>
  <c r="K52" i="126"/>
  <c r="O52" i="126"/>
  <c r="Q52" i="126"/>
  <c r="P52" i="126"/>
  <c r="P45" i="126"/>
  <c r="O45" i="126"/>
  <c r="Q45" i="126"/>
  <c r="K45" i="126"/>
  <c r="P54" i="127"/>
  <c r="Q54" i="127"/>
  <c r="K54" i="127"/>
  <c r="O54" i="127"/>
  <c r="K56" i="122"/>
  <c r="Q56" i="122"/>
  <c r="O56" i="122"/>
  <c r="P56" i="122"/>
  <c r="N58" i="125"/>
  <c r="L58" i="125"/>
  <c r="M58" i="125"/>
  <c r="L46" i="123"/>
  <c r="N46" i="123"/>
  <c r="M46" i="123"/>
  <c r="O53" i="123"/>
  <c r="Q53" i="123"/>
  <c r="K53" i="123"/>
  <c r="P53" i="123"/>
  <c r="O33" i="125"/>
  <c r="Q33" i="125"/>
  <c r="P33" i="125"/>
  <c r="K33" i="125"/>
  <c r="P32" i="123"/>
  <c r="K32" i="123"/>
  <c r="O32" i="123"/>
  <c r="Q32" i="123"/>
  <c r="N52" i="127"/>
  <c r="L52" i="127"/>
  <c r="M52" i="127"/>
  <c r="N41" i="126"/>
  <c r="L41" i="126"/>
  <c r="M41" i="126"/>
  <c r="K63" i="127"/>
  <c r="Q63" i="127"/>
  <c r="O63" i="127"/>
  <c r="P63" i="127"/>
  <c r="P43" i="123"/>
  <c r="K43" i="123"/>
  <c r="Q43" i="123"/>
  <c r="O43" i="123"/>
  <c r="P43" i="125"/>
  <c r="O43" i="125"/>
  <c r="Q43" i="125"/>
  <c r="K43" i="125"/>
  <c r="N57" i="125"/>
  <c r="M57" i="125"/>
  <c r="L57" i="125"/>
  <c r="L39" i="124"/>
  <c r="N39" i="124"/>
  <c r="M39" i="124"/>
  <c r="N53" i="125"/>
  <c r="M53" i="125"/>
  <c r="L53" i="125"/>
  <c r="P45" i="124"/>
  <c r="K45" i="124"/>
  <c r="Q45" i="124"/>
  <c r="O45" i="124"/>
  <c r="M60" i="123"/>
  <c r="N60" i="123"/>
  <c r="L60" i="123"/>
  <c r="N51" i="123"/>
  <c r="L51" i="123"/>
  <c r="M51" i="123"/>
  <c r="P62" i="126"/>
  <c r="O62" i="126"/>
  <c r="Q62" i="126"/>
  <c r="K62" i="126"/>
  <c r="F23" i="115"/>
  <c r="F27" i="115"/>
  <c r="F30" i="115"/>
  <c r="F2" i="115"/>
  <c r="F34" i="115" s="1"/>
  <c r="F16" i="115"/>
  <c r="F24" i="115"/>
  <c r="F6" i="115"/>
  <c r="F31" i="115"/>
  <c r="F12" i="115"/>
  <c r="F10" i="115"/>
  <c r="F28" i="115"/>
  <c r="F5" i="115"/>
  <c r="G2" i="115"/>
  <c r="F11" i="115"/>
  <c r="F4" i="115"/>
  <c r="F7" i="115"/>
  <c r="F17" i="115"/>
  <c r="F13" i="115"/>
  <c r="F20" i="115"/>
  <c r="F22" i="115"/>
  <c r="F14" i="115"/>
  <c r="F15" i="115"/>
  <c r="F9" i="115"/>
  <c r="F3" i="115"/>
  <c r="F8" i="115"/>
  <c r="F25" i="115"/>
  <c r="F19" i="115"/>
  <c r="F21" i="115"/>
  <c r="F29" i="115"/>
  <c r="F18" i="115"/>
  <c r="F26" i="115"/>
  <c r="M34" i="124"/>
  <c r="L34" i="124"/>
  <c r="N34" i="124"/>
  <c r="K44" i="123"/>
  <c r="O44" i="123"/>
  <c r="P44" i="123"/>
  <c r="Q44" i="123"/>
  <c r="N64" i="127"/>
  <c r="M64" i="127"/>
  <c r="L64" i="127"/>
  <c r="L60" i="124"/>
  <c r="M60" i="124"/>
  <c r="N60" i="124"/>
  <c r="P55" i="123"/>
  <c r="O55" i="123"/>
  <c r="K55" i="123"/>
  <c r="Q55" i="123"/>
  <c r="P37" i="127"/>
  <c r="O37" i="127"/>
  <c r="Q37" i="127"/>
  <c r="K37" i="127"/>
  <c r="M38" i="123"/>
  <c r="L38" i="123"/>
  <c r="N38" i="123"/>
  <c r="Q63" i="124"/>
  <c r="O63" i="124"/>
  <c r="K63" i="124"/>
  <c r="P63" i="124"/>
  <c r="O55" i="125"/>
  <c r="P55" i="125"/>
  <c r="K55" i="125"/>
  <c r="Q55" i="125"/>
  <c r="BL12" i="131"/>
  <c r="C12" i="131"/>
  <c r="BC12" i="131"/>
  <c r="BD12" i="131"/>
  <c r="B12" i="131"/>
  <c r="BN12" i="131"/>
  <c r="BE12" i="131"/>
  <c r="BM12" i="131"/>
  <c r="BD47" i="131"/>
  <c r="BN47" i="131"/>
  <c r="B47" i="131"/>
  <c r="BE47" i="131"/>
  <c r="C47" i="131"/>
  <c r="BM47" i="131"/>
  <c r="BL47" i="131"/>
  <c r="BC47" i="131"/>
  <c r="A377" i="61"/>
  <c r="AI104" i="47"/>
  <c r="AJ104" i="47"/>
  <c r="AK104" i="47"/>
  <c r="A261" i="61"/>
  <c r="AK75" i="47"/>
  <c r="AJ75" i="47"/>
  <c r="AI75" i="47"/>
  <c r="AI121" i="47"/>
  <c r="AJ121" i="47"/>
  <c r="A445" i="61"/>
  <c r="AK121" i="47"/>
  <c r="AK103" i="47"/>
  <c r="AI103" i="47"/>
  <c r="AJ103" i="47"/>
  <c r="A373" i="61"/>
  <c r="AI97" i="47"/>
  <c r="A349" i="61"/>
  <c r="AJ97" i="47"/>
  <c r="AK97" i="47"/>
  <c r="A501" i="61"/>
  <c r="AK135" i="47"/>
  <c r="AJ135" i="47"/>
  <c r="AI135" i="47"/>
  <c r="A369" i="61"/>
  <c r="AI102" i="47"/>
  <c r="AK102" i="47"/>
  <c r="AJ102" i="47"/>
  <c r="AJ130" i="47"/>
  <c r="AK130" i="47"/>
  <c r="A481" i="61"/>
  <c r="AI130" i="47"/>
  <c r="AI109" i="47"/>
  <c r="AK109" i="47"/>
  <c r="AJ109" i="47"/>
  <c r="A397" i="61"/>
  <c r="AJ81" i="47"/>
  <c r="AK81" i="47"/>
  <c r="AI81" i="47"/>
  <c r="A285" i="61"/>
  <c r="AK106" i="47"/>
  <c r="AI106" i="47"/>
  <c r="A385" i="61"/>
  <c r="AJ106" i="47"/>
  <c r="AK123" i="47"/>
  <c r="A453" i="61"/>
  <c r="AJ123" i="47"/>
  <c r="AI123" i="47"/>
  <c r="A485" i="61"/>
  <c r="AI131" i="47"/>
  <c r="AJ131" i="47"/>
  <c r="AK131" i="47"/>
  <c r="A437" i="61"/>
  <c r="AJ119" i="47"/>
  <c r="AK119" i="47"/>
  <c r="AI119" i="47"/>
  <c r="AI122" i="47"/>
  <c r="AJ122" i="47"/>
  <c r="A449" i="61"/>
  <c r="AK122" i="47"/>
  <c r="AJ111" i="47"/>
  <c r="AK111" i="47"/>
  <c r="A405" i="61"/>
  <c r="AI111" i="47"/>
  <c r="AI80" i="47"/>
  <c r="AJ80" i="47"/>
  <c r="AK80" i="47"/>
  <c r="A281" i="61"/>
  <c r="G104" i="131"/>
  <c r="I104" i="131"/>
  <c r="AL104" i="131"/>
  <c r="AU104" i="131"/>
  <c r="Q104" i="131"/>
  <c r="F104" i="131"/>
  <c r="BE104" i="131"/>
  <c r="BN104" i="131"/>
  <c r="C104" i="131"/>
  <c r="AC104" i="131"/>
  <c r="BM104" i="131"/>
  <c r="BD104" i="131"/>
  <c r="AT104" i="131"/>
  <c r="S104" i="131"/>
  <c r="BL104" i="131"/>
  <c r="L104" i="131"/>
  <c r="B104" i="131"/>
  <c r="J104" i="131"/>
  <c r="AM104" i="131"/>
  <c r="O104" i="131"/>
  <c r="M104" i="131"/>
  <c r="E104" i="131"/>
  <c r="AB104" i="131"/>
  <c r="AK104" i="131"/>
  <c r="BC104" i="131"/>
  <c r="AD104" i="131"/>
  <c r="U104" i="131"/>
  <c r="T104" i="131"/>
  <c r="P104" i="131"/>
  <c r="H104" i="131"/>
  <c r="AV104" i="131"/>
  <c r="N104" i="131"/>
  <c r="AM7" i="47"/>
  <c r="BA7" i="47"/>
  <c r="BB7" i="47" s="1"/>
  <c r="B84" i="131"/>
  <c r="BN84" i="131"/>
  <c r="AC84" i="131"/>
  <c r="S84" i="131"/>
  <c r="H84" i="131"/>
  <c r="O84" i="131"/>
  <c r="AK84" i="131"/>
  <c r="AV84" i="131"/>
  <c r="AT84" i="131"/>
  <c r="C84" i="131"/>
  <c r="AM84" i="131"/>
  <c r="AB84" i="131"/>
  <c r="U84" i="131"/>
  <c r="AL84" i="131"/>
  <c r="E84" i="131"/>
  <c r="N84" i="131"/>
  <c r="G84" i="131"/>
  <c r="P84" i="131"/>
  <c r="BL84" i="131"/>
  <c r="BE84" i="131"/>
  <c r="J84" i="131"/>
  <c r="BD84" i="131"/>
  <c r="F84" i="131"/>
  <c r="I84" i="131"/>
  <c r="L84" i="131"/>
  <c r="Q84" i="131"/>
  <c r="T84" i="131"/>
  <c r="BC84" i="131"/>
  <c r="M84" i="131"/>
  <c r="AD84" i="131"/>
  <c r="BM84" i="131"/>
  <c r="AU84" i="131"/>
  <c r="BD35" i="131"/>
  <c r="BC35" i="131"/>
  <c r="BE35" i="131"/>
  <c r="BL35" i="131"/>
  <c r="BN35" i="131"/>
  <c r="B35" i="131"/>
  <c r="C35" i="131"/>
  <c r="BM35" i="131"/>
  <c r="M103" i="131"/>
  <c r="I103" i="131"/>
  <c r="L103" i="131"/>
  <c r="S103" i="131"/>
  <c r="C103" i="131"/>
  <c r="AK103" i="131"/>
  <c r="BL103" i="131"/>
  <c r="Q103" i="131"/>
  <c r="AC103" i="131"/>
  <c r="AB103" i="131"/>
  <c r="AD103" i="131"/>
  <c r="AL103" i="131"/>
  <c r="B103" i="131"/>
  <c r="BD103" i="131"/>
  <c r="P103" i="131"/>
  <c r="N103" i="131"/>
  <c r="J103" i="131"/>
  <c r="O103" i="131"/>
  <c r="AT103" i="131"/>
  <c r="BC103" i="131"/>
  <c r="H103" i="131"/>
  <c r="U103" i="131"/>
  <c r="G103" i="131"/>
  <c r="T103" i="131"/>
  <c r="AV103" i="131"/>
  <c r="F103" i="131"/>
  <c r="BN103" i="131"/>
  <c r="E103" i="131"/>
  <c r="AM103" i="131"/>
  <c r="BE103" i="131"/>
  <c r="BM103" i="131"/>
  <c r="AU103" i="131"/>
  <c r="BN6" i="131"/>
  <c r="BC6" i="131"/>
  <c r="BD6" i="131"/>
  <c r="B6" i="131"/>
  <c r="BE6" i="131"/>
  <c r="BL6" i="131"/>
  <c r="BM6" i="131"/>
  <c r="C6" i="131"/>
  <c r="BD23" i="131"/>
  <c r="B23" i="131"/>
  <c r="C23" i="131"/>
  <c r="BE23" i="131"/>
  <c r="BM23" i="131"/>
  <c r="BL23" i="131"/>
  <c r="BC23" i="131"/>
  <c r="BN23" i="131"/>
  <c r="BD13" i="131"/>
  <c r="BC13" i="131"/>
  <c r="BE13" i="131"/>
  <c r="B13" i="131"/>
  <c r="BM13" i="131"/>
  <c r="BL13" i="131"/>
  <c r="C13" i="131"/>
  <c r="BN13" i="131"/>
  <c r="BL61" i="131"/>
  <c r="AD61" i="131"/>
  <c r="BC61" i="131"/>
  <c r="C61" i="131"/>
  <c r="AB61" i="131"/>
  <c r="F61" i="131"/>
  <c r="G61" i="131"/>
  <c r="BE61" i="131"/>
  <c r="M61" i="131"/>
  <c r="N61" i="131"/>
  <c r="B61" i="131"/>
  <c r="L61" i="131"/>
  <c r="J61" i="131"/>
  <c r="BM61" i="131"/>
  <c r="AT61" i="131"/>
  <c r="T61" i="131"/>
  <c r="AL61" i="131"/>
  <c r="E61" i="131"/>
  <c r="U61" i="131"/>
  <c r="I61" i="131"/>
  <c r="AK61" i="131"/>
  <c r="H61" i="131"/>
  <c r="BN61" i="131"/>
  <c r="AV61" i="131"/>
  <c r="AC61" i="131"/>
  <c r="Q61" i="131"/>
  <c r="AU61" i="131"/>
  <c r="AM61" i="131"/>
  <c r="O61" i="131"/>
  <c r="BD61" i="131"/>
  <c r="P61" i="131"/>
  <c r="S61" i="131"/>
  <c r="BM29" i="131"/>
  <c r="B29" i="131"/>
  <c r="BD29" i="131"/>
  <c r="C29" i="131"/>
  <c r="BL29" i="131"/>
  <c r="BE29" i="131"/>
  <c r="BN29" i="131"/>
  <c r="BC29" i="131"/>
  <c r="C53" i="131"/>
  <c r="BD53" i="131"/>
  <c r="BL53" i="131"/>
  <c r="BE53" i="131"/>
  <c r="BM53" i="131"/>
  <c r="BN53" i="131"/>
  <c r="B53" i="131"/>
  <c r="BC53" i="131"/>
  <c r="BC34" i="131"/>
  <c r="B34" i="131"/>
  <c r="C34" i="131"/>
  <c r="BN34" i="131"/>
  <c r="BM34" i="131"/>
  <c r="BD34" i="131"/>
  <c r="BE34" i="131"/>
  <c r="BL34" i="131"/>
  <c r="BM41" i="131"/>
  <c r="B41" i="131"/>
  <c r="BN41" i="131"/>
  <c r="BC41" i="131"/>
  <c r="C41" i="131"/>
  <c r="BL41" i="131"/>
  <c r="BD41" i="131"/>
  <c r="BE41" i="131"/>
  <c r="BM46" i="131"/>
  <c r="B46" i="131"/>
  <c r="BC46" i="131"/>
  <c r="BD46" i="131"/>
  <c r="BN46" i="131"/>
  <c r="BE46" i="131"/>
  <c r="BL46" i="131"/>
  <c r="C46" i="131"/>
  <c r="G110" i="131"/>
  <c r="BD110" i="131"/>
  <c r="BN110" i="131"/>
  <c r="E110" i="131"/>
  <c r="AC110" i="131"/>
  <c r="F110" i="131"/>
  <c r="T110" i="131"/>
  <c r="AV110" i="131"/>
  <c r="AB110" i="131"/>
  <c r="Q110" i="131"/>
  <c r="AK110" i="131"/>
  <c r="BL110" i="131"/>
  <c r="AM110" i="131"/>
  <c r="N110" i="131"/>
  <c r="AD110" i="131"/>
  <c r="AT110" i="131"/>
  <c r="S110" i="131"/>
  <c r="BC110" i="131"/>
  <c r="J110" i="131"/>
  <c r="AU110" i="131"/>
  <c r="BE110" i="131"/>
  <c r="O110" i="131"/>
  <c r="I110" i="131"/>
  <c r="AL110" i="131"/>
  <c r="BM110" i="131"/>
  <c r="M110" i="131"/>
  <c r="U110" i="131"/>
  <c r="L110" i="131"/>
  <c r="C110" i="131"/>
  <c r="B110" i="131"/>
  <c r="P110" i="131"/>
  <c r="H110" i="131"/>
  <c r="BD39" i="131"/>
  <c r="BM39" i="131"/>
  <c r="C39" i="131"/>
  <c r="BN39" i="131"/>
  <c r="BC39" i="131"/>
  <c r="B39" i="131"/>
  <c r="BE39" i="131"/>
  <c r="BL39" i="131"/>
  <c r="C32" i="131"/>
  <c r="BL32" i="131"/>
  <c r="BC32" i="131"/>
  <c r="BN32" i="131"/>
  <c r="B32" i="131"/>
  <c r="BD32" i="131"/>
  <c r="BE32" i="131"/>
  <c r="BM32" i="131"/>
  <c r="I68" i="131"/>
  <c r="B68" i="131"/>
  <c r="L68" i="131"/>
  <c r="N68" i="131"/>
  <c r="O68" i="131"/>
  <c r="AC68" i="131"/>
  <c r="F68" i="131"/>
  <c r="H68" i="131"/>
  <c r="AD68" i="131"/>
  <c r="BD68" i="131"/>
  <c r="BL68" i="131"/>
  <c r="AL68" i="131"/>
  <c r="AV68" i="131"/>
  <c r="U68" i="131"/>
  <c r="AB68" i="131"/>
  <c r="AT68" i="131"/>
  <c r="J68" i="131"/>
  <c r="AU68" i="131"/>
  <c r="BN68" i="131"/>
  <c r="G68" i="131"/>
  <c r="M68" i="131"/>
  <c r="BM68" i="131"/>
  <c r="BC68" i="131"/>
  <c r="S68" i="131"/>
  <c r="P68" i="131"/>
  <c r="T68" i="131"/>
  <c r="AM68" i="131"/>
  <c r="Q68" i="131"/>
  <c r="BE68" i="131"/>
  <c r="AK68" i="131"/>
  <c r="E68" i="131"/>
  <c r="C68" i="131"/>
  <c r="N118" i="131"/>
  <c r="AU118" i="131"/>
  <c r="T118" i="131"/>
  <c r="AC118" i="131"/>
  <c r="C118" i="131"/>
  <c r="BN118" i="131"/>
  <c r="AK118" i="131"/>
  <c r="M118" i="131"/>
  <c r="F118" i="131"/>
  <c r="BL118" i="131"/>
  <c r="J118" i="131"/>
  <c r="AT118" i="131"/>
  <c r="AL118" i="131"/>
  <c r="AV118" i="131"/>
  <c r="G118" i="131"/>
  <c r="E118" i="131"/>
  <c r="Q118" i="131"/>
  <c r="BD118" i="131"/>
  <c r="B118" i="131"/>
  <c r="BE118" i="131"/>
  <c r="AD118" i="131"/>
  <c r="BM118" i="131"/>
  <c r="BC118" i="131"/>
  <c r="AM118" i="131"/>
  <c r="H118" i="131"/>
  <c r="P118" i="131"/>
  <c r="L118" i="131"/>
  <c r="U118" i="131"/>
  <c r="AB118" i="131"/>
  <c r="I118" i="131"/>
  <c r="O118" i="131"/>
  <c r="S118" i="131"/>
  <c r="AT107" i="131"/>
  <c r="AU107" i="131"/>
  <c r="B107" i="131"/>
  <c r="P107" i="131"/>
  <c r="L107" i="131"/>
  <c r="M107" i="131"/>
  <c r="N107" i="131"/>
  <c r="E107" i="131"/>
  <c r="J107" i="131"/>
  <c r="AV107" i="131"/>
  <c r="Q107" i="131"/>
  <c r="BL107" i="131"/>
  <c r="I107" i="131"/>
  <c r="AC107" i="131"/>
  <c r="BM107" i="131"/>
  <c r="S107" i="131"/>
  <c r="AL107" i="131"/>
  <c r="O107" i="131"/>
  <c r="BE107" i="131"/>
  <c r="AM107" i="131"/>
  <c r="AD107" i="131"/>
  <c r="AK107" i="131"/>
  <c r="BN107" i="131"/>
  <c r="AB107" i="131"/>
  <c r="T107" i="131"/>
  <c r="G107" i="131"/>
  <c r="BD107" i="131"/>
  <c r="BC107" i="131"/>
  <c r="H107" i="131"/>
  <c r="U107" i="131"/>
  <c r="C107" i="131"/>
  <c r="F107" i="131"/>
  <c r="N96" i="131"/>
  <c r="AB96" i="131"/>
  <c r="T96" i="131"/>
  <c r="M96" i="131"/>
  <c r="BN96" i="131"/>
  <c r="S96" i="131"/>
  <c r="C96" i="131"/>
  <c r="AL96" i="131"/>
  <c r="AU96" i="131"/>
  <c r="H96" i="131"/>
  <c r="P96" i="131"/>
  <c r="E96" i="131"/>
  <c r="AC96" i="131"/>
  <c r="L96" i="131"/>
  <c r="U96" i="131"/>
  <c r="AD96" i="131"/>
  <c r="F96" i="131"/>
  <c r="AV96" i="131"/>
  <c r="J96" i="131"/>
  <c r="BC96" i="131"/>
  <c r="G96" i="131"/>
  <c r="O96" i="131"/>
  <c r="BD96" i="131"/>
  <c r="AK96" i="131"/>
  <c r="AM96" i="131"/>
  <c r="BL96" i="131"/>
  <c r="I96" i="131"/>
  <c r="BE96" i="131"/>
  <c r="AT96" i="131"/>
  <c r="B96" i="131"/>
  <c r="BM96" i="131"/>
  <c r="Q96" i="131"/>
  <c r="L114" i="131"/>
  <c r="O114" i="131"/>
  <c r="BN114" i="131"/>
  <c r="E114" i="131"/>
  <c r="AV114" i="131"/>
  <c r="BM114" i="131"/>
  <c r="B114" i="131"/>
  <c r="G114" i="131"/>
  <c r="AT114" i="131"/>
  <c r="BD114" i="131"/>
  <c r="AU114" i="131"/>
  <c r="AD114" i="131"/>
  <c r="S114" i="131"/>
  <c r="U114" i="131"/>
  <c r="M114" i="131"/>
  <c r="AB114" i="131"/>
  <c r="T114" i="131"/>
  <c r="AL114" i="131"/>
  <c r="BE114" i="131"/>
  <c r="C114" i="131"/>
  <c r="J114" i="131"/>
  <c r="H114" i="131"/>
  <c r="BL114" i="131"/>
  <c r="Q114" i="131"/>
  <c r="N114" i="131"/>
  <c r="AC114" i="131"/>
  <c r="F114" i="131"/>
  <c r="P114" i="131"/>
  <c r="BC114" i="131"/>
  <c r="AK114" i="131"/>
  <c r="AM114" i="131"/>
  <c r="I114" i="131"/>
  <c r="BC4" i="131"/>
  <c r="BM4" i="131"/>
  <c r="BD4" i="131"/>
  <c r="B4" i="131"/>
  <c r="BN4" i="131"/>
  <c r="C4" i="131"/>
  <c r="BL4" i="131"/>
  <c r="BE4" i="131"/>
  <c r="M31" i="122"/>
  <c r="N31" i="122"/>
  <c r="L31" i="122"/>
  <c r="N53" i="122"/>
  <c r="L53" i="122"/>
  <c r="M53" i="122"/>
  <c r="N34" i="122"/>
  <c r="M34" i="122"/>
  <c r="L34" i="122"/>
  <c r="L59" i="123"/>
  <c r="M59" i="123"/>
  <c r="N59" i="123"/>
  <c r="L58" i="123"/>
  <c r="M58" i="123"/>
  <c r="N58" i="123"/>
  <c r="Q56" i="127"/>
  <c r="P56" i="127"/>
  <c r="K56" i="127"/>
  <c r="O56" i="127"/>
  <c r="N64" i="126"/>
  <c r="L64" i="126"/>
  <c r="M64" i="126"/>
  <c r="M56" i="126"/>
  <c r="L56" i="126"/>
  <c r="N56" i="126"/>
  <c r="L47" i="126"/>
  <c r="N47" i="126"/>
  <c r="M47" i="126"/>
  <c r="O33" i="123"/>
  <c r="P33" i="123"/>
  <c r="K33" i="123"/>
  <c r="Q33" i="123"/>
  <c r="P65" i="126"/>
  <c r="K65" i="126"/>
  <c r="Q65" i="126"/>
  <c r="O65" i="126"/>
  <c r="L33" i="123"/>
  <c r="N33" i="123"/>
  <c r="M33" i="123"/>
  <c r="P55" i="122"/>
  <c r="K55" i="122"/>
  <c r="Q55" i="122"/>
  <c r="O55" i="122"/>
  <c r="L43" i="123"/>
  <c r="N43" i="123"/>
  <c r="M43" i="123"/>
  <c r="O34" i="124"/>
  <c r="K34" i="124"/>
  <c r="Q34" i="124"/>
  <c r="P34" i="124"/>
  <c r="L62" i="126"/>
  <c r="N62" i="126"/>
  <c r="M62" i="126"/>
  <c r="Q33" i="124"/>
  <c r="K33" i="124"/>
  <c r="O33" i="124"/>
  <c r="P33" i="124"/>
  <c r="O57" i="124"/>
  <c r="P57" i="124"/>
  <c r="Q57" i="124"/>
  <c r="K57" i="124"/>
  <c r="O37" i="125"/>
  <c r="P37" i="125"/>
  <c r="K37" i="125"/>
  <c r="Q37" i="125"/>
  <c r="O32" i="126"/>
  <c r="K32" i="126"/>
  <c r="P32" i="126"/>
  <c r="Q32" i="126"/>
  <c r="P63" i="126"/>
  <c r="Q63" i="126"/>
  <c r="O63" i="126"/>
  <c r="K63" i="126"/>
  <c r="L36" i="124"/>
  <c r="M36" i="124"/>
  <c r="N36" i="124"/>
  <c r="P41" i="123"/>
  <c r="O41" i="123"/>
  <c r="Q41" i="123"/>
  <c r="K41" i="123"/>
  <c r="K46" i="126"/>
  <c r="P46" i="126"/>
  <c r="O46" i="126"/>
  <c r="Q46" i="126"/>
  <c r="N63" i="126"/>
  <c r="M63" i="126"/>
  <c r="L63" i="126"/>
  <c r="K56" i="126"/>
  <c r="O56" i="126"/>
  <c r="P56" i="126"/>
  <c r="Q56" i="126"/>
  <c r="M59" i="124"/>
  <c r="L59" i="124"/>
  <c r="N59" i="124"/>
  <c r="Q54" i="122"/>
  <c r="P54" i="122"/>
  <c r="O54" i="122"/>
  <c r="K54" i="122"/>
  <c r="M51" i="126"/>
  <c r="L51" i="126"/>
  <c r="N51" i="126"/>
  <c r="P45" i="125"/>
  <c r="Q45" i="125"/>
  <c r="O45" i="125"/>
  <c r="K45" i="125"/>
  <c r="M52" i="124"/>
  <c r="L52" i="124"/>
  <c r="N52" i="124"/>
  <c r="M54" i="123"/>
  <c r="N54" i="123"/>
  <c r="L54" i="123"/>
  <c r="K35" i="125"/>
  <c r="O35" i="125"/>
  <c r="P35" i="125"/>
  <c r="Q35" i="125"/>
  <c r="N40" i="124"/>
  <c r="M40" i="124"/>
  <c r="L40" i="124"/>
  <c r="N59" i="126"/>
  <c r="M59" i="126"/>
  <c r="L59" i="126"/>
  <c r="L44" i="124"/>
  <c r="M44" i="124"/>
  <c r="N44" i="124"/>
  <c r="Q44" i="127"/>
  <c r="P44" i="127"/>
  <c r="O44" i="127"/>
  <c r="K44" i="127"/>
  <c r="N59" i="125"/>
  <c r="M59" i="125"/>
  <c r="L59" i="125"/>
  <c r="O44" i="122"/>
  <c r="Q44" i="122"/>
  <c r="K44" i="122"/>
  <c r="P44" i="122"/>
  <c r="K54" i="124"/>
  <c r="P54" i="124"/>
  <c r="Q54" i="124"/>
  <c r="O54" i="124"/>
  <c r="K43" i="126"/>
  <c r="O43" i="126"/>
  <c r="Q43" i="126"/>
  <c r="P43" i="126"/>
  <c r="N62" i="125"/>
  <c r="L62" i="125"/>
  <c r="M62" i="125"/>
  <c r="K49" i="124"/>
  <c r="O49" i="124"/>
  <c r="Q49" i="124"/>
  <c r="P49" i="124"/>
  <c r="BL128" i="131"/>
  <c r="O128" i="131"/>
  <c r="P128" i="131"/>
  <c r="BN128" i="131"/>
  <c r="S128" i="131"/>
  <c r="G128" i="131"/>
  <c r="BE128" i="131"/>
  <c r="BM128" i="131"/>
  <c r="F128" i="131"/>
  <c r="I128" i="131"/>
  <c r="AV128" i="131"/>
  <c r="H128" i="131"/>
  <c r="L128" i="131"/>
  <c r="AT128" i="131"/>
  <c r="BD128" i="131"/>
  <c r="BC128" i="131"/>
  <c r="N128" i="131"/>
  <c r="AK128" i="131"/>
  <c r="U128" i="131"/>
  <c r="Q128" i="131"/>
  <c r="B128" i="131"/>
  <c r="E128" i="131"/>
  <c r="J128" i="131"/>
  <c r="C128" i="131"/>
  <c r="AB128" i="131"/>
  <c r="AC128" i="131"/>
  <c r="AL128" i="131"/>
  <c r="T128" i="131"/>
  <c r="AM128" i="131"/>
  <c r="AU128" i="131"/>
  <c r="AD128" i="131"/>
  <c r="M128" i="131"/>
  <c r="BC11" i="131"/>
  <c r="C11" i="131"/>
  <c r="BE11" i="131"/>
  <c r="B11" i="131"/>
  <c r="BL11" i="131"/>
  <c r="BN11" i="131"/>
  <c r="BM11" i="131"/>
  <c r="BD11" i="131"/>
  <c r="AK77" i="47"/>
  <c r="AI77" i="47"/>
  <c r="A269" i="61"/>
  <c r="AJ77" i="47"/>
  <c r="A273" i="61"/>
  <c r="AK78" i="47"/>
  <c r="AI78" i="47"/>
  <c r="AJ78" i="47"/>
  <c r="AJ132" i="47"/>
  <c r="A489" i="61"/>
  <c r="AK132" i="47"/>
  <c r="AI132" i="47"/>
  <c r="AI117" i="47"/>
  <c r="AJ117" i="47"/>
  <c r="AK117" i="47"/>
  <c r="A429" i="61"/>
  <c r="AJ127" i="47"/>
  <c r="AK127" i="47"/>
  <c r="A469" i="61"/>
  <c r="AI127" i="47"/>
  <c r="AI94" i="47"/>
  <c r="AK94" i="47"/>
  <c r="AJ94" i="47"/>
  <c r="A337" i="61"/>
  <c r="BD80" i="131"/>
  <c r="AM80" i="131"/>
  <c r="L80" i="131"/>
  <c r="O80" i="131"/>
  <c r="M80" i="131"/>
  <c r="BC80" i="131"/>
  <c r="BL80" i="131"/>
  <c r="G80" i="131"/>
  <c r="AC80" i="131"/>
  <c r="AV80" i="131"/>
  <c r="F80" i="131"/>
  <c r="P80" i="131"/>
  <c r="AK80" i="131"/>
  <c r="BE80" i="131"/>
  <c r="BM80" i="131"/>
  <c r="BN80" i="131"/>
  <c r="AU80" i="131"/>
  <c r="AL80" i="131"/>
  <c r="T80" i="131"/>
  <c r="Q80" i="131"/>
  <c r="N80" i="131"/>
  <c r="C80" i="131"/>
  <c r="I80" i="131"/>
  <c r="J80" i="131"/>
  <c r="U80" i="131"/>
  <c r="E80" i="131"/>
  <c r="S80" i="131"/>
  <c r="AB80" i="131"/>
  <c r="AD80" i="131"/>
  <c r="AT80" i="131"/>
  <c r="B80" i="131"/>
  <c r="H80" i="131"/>
  <c r="F83" i="131"/>
  <c r="AB83" i="131"/>
  <c r="T83" i="131"/>
  <c r="G83" i="131"/>
  <c r="BN83" i="131"/>
  <c r="J83" i="131"/>
  <c r="S83" i="131"/>
  <c r="AU83" i="131"/>
  <c r="H83" i="131"/>
  <c r="BC83" i="131"/>
  <c r="BM83" i="131"/>
  <c r="U83" i="131"/>
  <c r="AL83" i="131"/>
  <c r="BD83" i="131"/>
  <c r="AV83" i="131"/>
  <c r="E83" i="131"/>
  <c r="N83" i="131"/>
  <c r="AC83" i="131"/>
  <c r="I83" i="131"/>
  <c r="C83" i="131"/>
  <c r="Q83" i="131"/>
  <c r="P83" i="131"/>
  <c r="AK83" i="131"/>
  <c r="B83" i="131"/>
  <c r="AT83" i="131"/>
  <c r="O83" i="131"/>
  <c r="AD83" i="131"/>
  <c r="AM83" i="131"/>
  <c r="BE83" i="131"/>
  <c r="M83" i="131"/>
  <c r="L83" i="131"/>
  <c r="BL83" i="131"/>
  <c r="BC76" i="131"/>
  <c r="L76" i="131"/>
  <c r="AV76" i="131"/>
  <c r="AK76" i="131"/>
  <c r="AU76" i="131"/>
  <c r="AL76" i="131"/>
  <c r="O76" i="131"/>
  <c r="AC76" i="131"/>
  <c r="AT76" i="131"/>
  <c r="BL76" i="131"/>
  <c r="E76" i="131"/>
  <c r="BN76" i="131"/>
  <c r="P76" i="131"/>
  <c r="M76" i="131"/>
  <c r="BM76" i="131"/>
  <c r="H76" i="131"/>
  <c r="G76" i="131"/>
  <c r="F76" i="131"/>
  <c r="U76" i="131"/>
  <c r="T76" i="131"/>
  <c r="S76" i="131"/>
  <c r="C76" i="131"/>
  <c r="AM76" i="131"/>
  <c r="I76" i="131"/>
  <c r="N76" i="131"/>
  <c r="J76" i="131"/>
  <c r="BE76" i="131"/>
  <c r="AD76" i="131"/>
  <c r="Q76" i="131"/>
  <c r="BD76" i="131"/>
  <c r="B76" i="131"/>
  <c r="AB76" i="131"/>
  <c r="G77" i="131"/>
  <c r="AD77" i="131"/>
  <c r="T77" i="131"/>
  <c r="BM77" i="131"/>
  <c r="F77" i="131"/>
  <c r="O77" i="131"/>
  <c r="U77" i="131"/>
  <c r="BC77" i="131"/>
  <c r="BL77" i="131"/>
  <c r="AB77" i="131"/>
  <c r="AM77" i="131"/>
  <c r="N77" i="131"/>
  <c r="AL77" i="131"/>
  <c r="AK77" i="131"/>
  <c r="Q77" i="131"/>
  <c r="C77" i="131"/>
  <c r="E77" i="131"/>
  <c r="AC77" i="131"/>
  <c r="BE77" i="131"/>
  <c r="H77" i="131"/>
  <c r="P77" i="131"/>
  <c r="I77" i="131"/>
  <c r="B77" i="131"/>
  <c r="S77" i="131"/>
  <c r="AV77" i="131"/>
  <c r="BD77" i="131"/>
  <c r="AT77" i="131"/>
  <c r="L77" i="131"/>
  <c r="M77" i="131"/>
  <c r="J77" i="131"/>
  <c r="BN77" i="131"/>
  <c r="AU77" i="131"/>
  <c r="C24" i="131"/>
  <c r="BE24" i="131"/>
  <c r="B24" i="131"/>
  <c r="BC24" i="131"/>
  <c r="BD24" i="131"/>
  <c r="BN24" i="131"/>
  <c r="BM24" i="131"/>
  <c r="BL24" i="131"/>
  <c r="N60" i="122"/>
  <c r="L60" i="122"/>
  <c r="M60" i="122"/>
  <c r="N55" i="122"/>
  <c r="M55" i="122"/>
  <c r="L55" i="122"/>
  <c r="N42" i="122"/>
  <c r="M42" i="122"/>
  <c r="L42" i="122"/>
  <c r="P53" i="126"/>
  <c r="Q53" i="126"/>
  <c r="K53" i="126"/>
  <c r="O53" i="126"/>
  <c r="M51" i="125"/>
  <c r="L51" i="125"/>
  <c r="N51" i="125"/>
  <c r="K39" i="122"/>
  <c r="Q39" i="122"/>
  <c r="O39" i="122"/>
  <c r="P39" i="122"/>
  <c r="P60" i="122"/>
  <c r="O60" i="122"/>
  <c r="K60" i="122"/>
  <c r="Q60" i="122"/>
  <c r="K52" i="122"/>
  <c r="P52" i="122"/>
  <c r="Q52" i="122"/>
  <c r="O52" i="122"/>
  <c r="M43" i="127"/>
  <c r="N43" i="127"/>
  <c r="L43" i="127"/>
  <c r="O57" i="127"/>
  <c r="P57" i="127"/>
  <c r="K57" i="127"/>
  <c r="Q57" i="127"/>
  <c r="P41" i="127"/>
  <c r="O41" i="127"/>
  <c r="K41" i="127"/>
  <c r="Q41" i="127"/>
  <c r="P48" i="127"/>
  <c r="Q48" i="127"/>
  <c r="K48" i="127"/>
  <c r="O48" i="127"/>
  <c r="M48" i="124"/>
  <c r="N48" i="124"/>
  <c r="L48" i="124"/>
  <c r="N51" i="124"/>
  <c r="L51" i="124"/>
  <c r="M51" i="124"/>
  <c r="P34" i="125"/>
  <c r="K34" i="125"/>
  <c r="O34" i="125"/>
  <c r="Q34" i="125"/>
  <c r="L52" i="125"/>
  <c r="N52" i="125"/>
  <c r="M52" i="125"/>
  <c r="Q48" i="124"/>
  <c r="O48" i="124"/>
  <c r="K48" i="124"/>
  <c r="P48" i="124"/>
  <c r="BN85" i="131"/>
  <c r="O85" i="131"/>
  <c r="AB85" i="131"/>
  <c r="BL85" i="131"/>
  <c r="U85" i="131"/>
  <c r="I85" i="131"/>
  <c r="M85" i="131"/>
  <c r="BM85" i="131"/>
  <c r="BE85" i="131"/>
  <c r="AK85" i="131"/>
  <c r="B85" i="131"/>
  <c r="S85" i="131"/>
  <c r="L85" i="131"/>
  <c r="P85" i="131"/>
  <c r="BC85" i="131"/>
  <c r="E85" i="131"/>
  <c r="AC85" i="131"/>
  <c r="AV85" i="131"/>
  <c r="C85" i="131"/>
  <c r="AM85" i="131"/>
  <c r="AT85" i="131"/>
  <c r="AL85" i="131"/>
  <c r="AU85" i="131"/>
  <c r="F85" i="131"/>
  <c r="BD85" i="131"/>
  <c r="Q85" i="131"/>
  <c r="N85" i="131"/>
  <c r="G85" i="131"/>
  <c r="H85" i="131"/>
  <c r="AD85" i="131"/>
  <c r="J85" i="131"/>
  <c r="T85" i="131"/>
  <c r="I122" i="131"/>
  <c r="C122" i="131"/>
  <c r="Q122" i="131"/>
  <c r="L122" i="131"/>
  <c r="BD122" i="131"/>
  <c r="J122" i="131"/>
  <c r="AM122" i="131"/>
  <c r="F122" i="131"/>
  <c r="S122" i="131"/>
  <c r="AL122" i="131"/>
  <c r="M122" i="131"/>
  <c r="AB122" i="131"/>
  <c r="BM122" i="131"/>
  <c r="BL122" i="131"/>
  <c r="AU122" i="131"/>
  <c r="AT122" i="131"/>
  <c r="AD122" i="131"/>
  <c r="T122" i="131"/>
  <c r="U122" i="131"/>
  <c r="AK122" i="131"/>
  <c r="AV122" i="131"/>
  <c r="P122" i="131"/>
  <c r="N122" i="131"/>
  <c r="BC122" i="131"/>
  <c r="O122" i="131"/>
  <c r="E122" i="131"/>
  <c r="G122" i="131"/>
  <c r="H122" i="131"/>
  <c r="B122" i="131"/>
  <c r="AC122" i="131"/>
  <c r="BE122" i="131"/>
  <c r="BN122" i="131"/>
  <c r="BM5" i="131"/>
  <c r="BE5" i="131"/>
  <c r="BL5" i="131"/>
  <c r="BN5" i="131"/>
  <c r="BD5" i="131"/>
  <c r="C5" i="131"/>
  <c r="B5" i="131"/>
  <c r="BC5" i="131"/>
  <c r="BM56" i="131"/>
  <c r="B56" i="131"/>
  <c r="BC56" i="131"/>
  <c r="C56" i="131"/>
  <c r="BN56" i="131"/>
  <c r="BL56" i="131"/>
  <c r="BD56" i="131"/>
  <c r="BE56" i="131"/>
  <c r="BN7" i="131"/>
  <c r="BD7" i="131"/>
  <c r="C7" i="131"/>
  <c r="BE7" i="131"/>
  <c r="B7" i="131"/>
  <c r="BM7" i="131"/>
  <c r="BC7" i="131"/>
  <c r="BL7" i="131"/>
  <c r="N48" i="122"/>
  <c r="M48" i="122"/>
  <c r="L48" i="122"/>
  <c r="L51" i="122"/>
  <c r="M51" i="122"/>
  <c r="N51" i="122"/>
  <c r="L61" i="122"/>
  <c r="M61" i="122"/>
  <c r="N61" i="122"/>
  <c r="N36" i="122"/>
  <c r="L36" i="122"/>
  <c r="M36" i="122"/>
  <c r="M38" i="122"/>
  <c r="N38" i="122"/>
  <c r="L38" i="122"/>
  <c r="L50" i="122"/>
  <c r="N50" i="122"/>
  <c r="M50" i="122"/>
  <c r="L63" i="122"/>
  <c r="N63" i="122"/>
  <c r="M63" i="122"/>
  <c r="N57" i="122"/>
  <c r="M57" i="122"/>
  <c r="L57" i="122"/>
  <c r="L58" i="122"/>
  <c r="M58" i="122"/>
  <c r="N58" i="122"/>
  <c r="M47" i="122"/>
  <c r="L47" i="122"/>
  <c r="N47" i="122"/>
  <c r="K40" i="127"/>
  <c r="P40" i="127"/>
  <c r="Q40" i="127"/>
  <c r="O40" i="127"/>
  <c r="P61" i="125"/>
  <c r="O61" i="125"/>
  <c r="K61" i="125"/>
  <c r="Q61" i="125"/>
  <c r="P47" i="124"/>
  <c r="Q47" i="124"/>
  <c r="O47" i="124"/>
  <c r="K47" i="124"/>
  <c r="K62" i="124"/>
  <c r="Q62" i="124"/>
  <c r="O62" i="124"/>
  <c r="P62" i="124"/>
  <c r="M33" i="125"/>
  <c r="N33" i="125"/>
  <c r="L33" i="125"/>
  <c r="M40" i="125"/>
  <c r="L40" i="125"/>
  <c r="N40" i="125"/>
  <c r="P39" i="127"/>
  <c r="O39" i="127"/>
  <c r="Q39" i="127"/>
  <c r="K39" i="127"/>
  <c r="P46" i="124"/>
  <c r="Q46" i="124"/>
  <c r="O46" i="124"/>
  <c r="K46" i="124"/>
  <c r="N35" i="124"/>
  <c r="L35" i="124"/>
  <c r="M35" i="124"/>
  <c r="P56" i="124"/>
  <c r="K56" i="124"/>
  <c r="Q56" i="124"/>
  <c r="O56" i="124"/>
  <c r="L61" i="127"/>
  <c r="N61" i="127"/>
  <c r="M61" i="127"/>
  <c r="P51" i="123"/>
  <c r="O51" i="123"/>
  <c r="Q51" i="123"/>
  <c r="K51" i="123"/>
  <c r="L33" i="127"/>
  <c r="N33" i="127"/>
  <c r="M33" i="127"/>
  <c r="L56" i="124"/>
  <c r="N56" i="124"/>
  <c r="M56" i="124"/>
  <c r="O53" i="124"/>
  <c r="Q53" i="124"/>
  <c r="P53" i="124"/>
  <c r="K53" i="124"/>
  <c r="K36" i="124"/>
  <c r="O36" i="124"/>
  <c r="Q36" i="124"/>
  <c r="P36" i="124"/>
  <c r="O66" i="122"/>
  <c r="Q66" i="122"/>
  <c r="P66" i="122"/>
  <c r="K66" i="122"/>
  <c r="Q45" i="123"/>
  <c r="O45" i="123"/>
  <c r="P45" i="123"/>
  <c r="K45" i="123"/>
  <c r="M50" i="124"/>
  <c r="N50" i="124"/>
  <c r="L50" i="124"/>
  <c r="M63" i="127"/>
  <c r="L63" i="127"/>
  <c r="N63" i="127"/>
  <c r="N35" i="125"/>
  <c r="L35" i="125"/>
  <c r="M35" i="125"/>
  <c r="N40" i="127"/>
  <c r="M40" i="127"/>
  <c r="L40" i="127"/>
  <c r="K58" i="127"/>
  <c r="O58" i="127"/>
  <c r="Q58" i="127"/>
  <c r="P58" i="127"/>
  <c r="P38" i="125"/>
  <c r="O38" i="125"/>
  <c r="K38" i="125"/>
  <c r="Q38" i="125"/>
  <c r="K60" i="123"/>
  <c r="O60" i="123"/>
  <c r="P60" i="123"/>
  <c r="Q60" i="123"/>
  <c r="L45" i="123"/>
  <c r="M45" i="123"/>
  <c r="N45" i="123"/>
  <c r="K54" i="125"/>
  <c r="P54" i="125"/>
  <c r="Q54" i="125"/>
  <c r="O54" i="125"/>
  <c r="K37" i="124"/>
  <c r="O37" i="124"/>
  <c r="Q37" i="124"/>
  <c r="P37" i="124"/>
  <c r="N57" i="127"/>
  <c r="L57" i="127"/>
  <c r="M57" i="127"/>
  <c r="Q47" i="123"/>
  <c r="P47" i="123"/>
  <c r="K47" i="123"/>
  <c r="O47" i="123"/>
  <c r="O65" i="124"/>
  <c r="Q65" i="124"/>
  <c r="P65" i="124"/>
  <c r="K65" i="124"/>
  <c r="L62" i="124"/>
  <c r="M62" i="124"/>
  <c r="N62" i="124"/>
  <c r="N66" i="126"/>
  <c r="L66" i="126"/>
  <c r="M66" i="126"/>
  <c r="M57" i="126"/>
  <c r="L57" i="126"/>
  <c r="N57" i="126"/>
  <c r="K51" i="127"/>
  <c r="Q51" i="127"/>
  <c r="P51" i="127"/>
  <c r="O51" i="127"/>
  <c r="K42" i="126"/>
  <c r="O42" i="126"/>
  <c r="P42" i="126"/>
  <c r="Q42" i="126"/>
  <c r="N55" i="124"/>
  <c r="L55" i="124"/>
  <c r="M55" i="124"/>
  <c r="O45" i="122"/>
  <c r="Q45" i="122"/>
  <c r="P45" i="122"/>
  <c r="K45" i="122"/>
  <c r="P36" i="125"/>
  <c r="O36" i="125"/>
  <c r="K36" i="125"/>
  <c r="Q36" i="125"/>
  <c r="M33" i="124"/>
  <c r="N33" i="124"/>
  <c r="L33" i="124"/>
  <c r="N60" i="125"/>
  <c r="M60" i="125"/>
  <c r="L60" i="125"/>
  <c r="P53" i="125"/>
  <c r="O53" i="125"/>
  <c r="K53" i="125"/>
  <c r="Q53" i="125"/>
  <c r="N53" i="124"/>
  <c r="M53" i="124"/>
  <c r="L53" i="124"/>
  <c r="L49" i="123"/>
  <c r="N49" i="123"/>
  <c r="M49" i="123"/>
  <c r="P65" i="125"/>
  <c r="Q65" i="125"/>
  <c r="K65" i="125"/>
  <c r="O65" i="125"/>
  <c r="L56" i="125"/>
  <c r="N56" i="125"/>
  <c r="M56" i="125"/>
  <c r="P52" i="123"/>
  <c r="Q52" i="123"/>
  <c r="K52" i="123"/>
  <c r="O52" i="123"/>
  <c r="Q59" i="122"/>
  <c r="O59" i="122"/>
  <c r="P59" i="122"/>
  <c r="K59" i="122"/>
  <c r="M36" i="127"/>
  <c r="L36" i="127"/>
  <c r="N36" i="127"/>
  <c r="N53" i="123"/>
  <c r="M53" i="123"/>
  <c r="L53" i="123"/>
  <c r="Q48" i="122"/>
  <c r="P48" i="122"/>
  <c r="K48" i="122"/>
  <c r="O48" i="122"/>
  <c r="L38" i="125"/>
  <c r="M38" i="125"/>
  <c r="N38" i="125"/>
  <c r="O48" i="126"/>
  <c r="K48" i="126"/>
  <c r="Q48" i="126"/>
  <c r="P48" i="126"/>
  <c r="M59" i="127"/>
  <c r="L59" i="127"/>
  <c r="N59" i="127"/>
  <c r="M43" i="125"/>
  <c r="L43" i="125"/>
  <c r="N43" i="125"/>
  <c r="K42" i="124"/>
  <c r="Q42" i="124"/>
  <c r="O42" i="124"/>
  <c r="P42" i="124"/>
  <c r="L43" i="124"/>
  <c r="N43" i="124"/>
  <c r="M43" i="124"/>
  <c r="Q56" i="123"/>
  <c r="P56" i="123"/>
  <c r="O56" i="123"/>
  <c r="K56" i="123"/>
  <c r="P47" i="126"/>
  <c r="K47" i="126"/>
  <c r="O47" i="126"/>
  <c r="Q47" i="126"/>
  <c r="Q49" i="127"/>
  <c r="K49" i="127"/>
  <c r="P49" i="127"/>
  <c r="O49" i="127"/>
  <c r="N52" i="126"/>
  <c r="M52" i="126"/>
  <c r="L52" i="126"/>
  <c r="P57" i="122"/>
  <c r="Q57" i="122"/>
  <c r="O57" i="122"/>
  <c r="K57" i="122"/>
  <c r="K64" i="126"/>
  <c r="O64" i="126"/>
  <c r="Q64" i="126"/>
  <c r="P64" i="126"/>
  <c r="N66" i="125"/>
  <c r="L66" i="125"/>
  <c r="M66" i="125"/>
  <c r="P60" i="125"/>
  <c r="O60" i="125"/>
  <c r="K60" i="125"/>
  <c r="Q60" i="125"/>
  <c r="L56" i="123"/>
  <c r="M56" i="123"/>
  <c r="N56" i="123"/>
  <c r="O41" i="124"/>
  <c r="Q41" i="124"/>
  <c r="K41" i="124"/>
  <c r="P41" i="124"/>
  <c r="L42" i="127"/>
  <c r="M42" i="127"/>
  <c r="N42" i="127"/>
  <c r="K40" i="122"/>
  <c r="Q40" i="122"/>
  <c r="P40" i="122"/>
  <c r="O40" i="122"/>
  <c r="L61" i="124"/>
  <c r="M61" i="124"/>
  <c r="N61" i="124"/>
  <c r="K57" i="126"/>
  <c r="P57" i="126"/>
  <c r="Q57" i="126"/>
  <c r="O57" i="126"/>
  <c r="L37" i="123"/>
  <c r="N37" i="123"/>
  <c r="M37" i="123"/>
  <c r="P45" i="127"/>
  <c r="K45" i="127"/>
  <c r="O45" i="127"/>
  <c r="Q45" i="127"/>
  <c r="Q54" i="126"/>
  <c r="O54" i="126"/>
  <c r="P54" i="126"/>
  <c r="K54" i="126"/>
  <c r="Q52" i="124"/>
  <c r="K52" i="124"/>
  <c r="O52" i="124"/>
  <c r="P52" i="124"/>
  <c r="N65" i="124"/>
  <c r="L65" i="124"/>
  <c r="M65" i="124"/>
  <c r="M43" i="126"/>
  <c r="L43" i="126"/>
  <c r="N43" i="126"/>
  <c r="P38" i="127"/>
  <c r="O38" i="127"/>
  <c r="K38" i="127"/>
  <c r="Q38" i="127"/>
  <c r="P39" i="125"/>
  <c r="Q39" i="125"/>
  <c r="O39" i="125"/>
  <c r="K39" i="125"/>
  <c r="K50" i="123"/>
  <c r="P50" i="123"/>
  <c r="Q50" i="123"/>
  <c r="O50" i="123"/>
  <c r="N65" i="126"/>
  <c r="M65" i="126"/>
  <c r="L65" i="126"/>
  <c r="L45" i="126"/>
  <c r="M45" i="126"/>
  <c r="N45" i="126"/>
  <c r="K60" i="126"/>
  <c r="P60" i="126"/>
  <c r="O60" i="126"/>
  <c r="Q60" i="126"/>
  <c r="M42" i="126"/>
  <c r="N42" i="126"/>
  <c r="L42" i="126"/>
  <c r="L53" i="127"/>
  <c r="M53" i="127"/>
  <c r="N53" i="127"/>
  <c r="N34" i="125"/>
  <c r="L34" i="125"/>
  <c r="M34" i="125"/>
  <c r="BM123" i="131"/>
  <c r="AK123" i="131"/>
  <c r="AL123" i="131"/>
  <c r="E123" i="131"/>
  <c r="L123" i="131"/>
  <c r="G123" i="131"/>
  <c r="BD123" i="131"/>
  <c r="AC123" i="131"/>
  <c r="M123" i="131"/>
  <c r="T123" i="131"/>
  <c r="BC123" i="131"/>
  <c r="N123" i="131"/>
  <c r="B123" i="131"/>
  <c r="AB123" i="131"/>
  <c r="I123" i="131"/>
  <c r="C123" i="131"/>
  <c r="O123" i="131"/>
  <c r="Q123" i="131"/>
  <c r="F123" i="131"/>
  <c r="AM123" i="131"/>
  <c r="S123" i="131"/>
  <c r="AD123" i="131"/>
  <c r="H123" i="131"/>
  <c r="U123" i="131"/>
  <c r="BE123" i="131"/>
  <c r="AV123" i="131"/>
  <c r="AU123" i="131"/>
  <c r="P123" i="131"/>
  <c r="BL123" i="131"/>
  <c r="J123" i="131"/>
  <c r="AT123" i="131"/>
  <c r="BN123" i="131"/>
  <c r="E116" i="131"/>
  <c r="U116" i="131"/>
  <c r="L116" i="131"/>
  <c r="BC116" i="131"/>
  <c r="F116" i="131"/>
  <c r="AB116" i="131"/>
  <c r="C116" i="131"/>
  <c r="Q116" i="131"/>
  <c r="O116" i="131"/>
  <c r="BN116" i="131"/>
  <c r="P116" i="131"/>
  <c r="S116" i="131"/>
  <c r="H116" i="131"/>
  <c r="BL116" i="131"/>
  <c r="N116" i="131"/>
  <c r="AU116" i="131"/>
  <c r="AV116" i="131"/>
  <c r="J116" i="131"/>
  <c r="M116" i="131"/>
  <c r="AK116" i="131"/>
  <c r="T116" i="131"/>
  <c r="AM116" i="131"/>
  <c r="BE116" i="131"/>
  <c r="AT116" i="131"/>
  <c r="B116" i="131"/>
  <c r="BM116" i="131"/>
  <c r="AL116" i="131"/>
  <c r="AD116" i="131"/>
  <c r="I116" i="131"/>
  <c r="G116" i="131"/>
  <c r="AC116" i="131"/>
  <c r="BD116" i="131"/>
  <c r="BE14" i="131"/>
  <c r="B14" i="131"/>
  <c r="BN14" i="131"/>
  <c r="BD14" i="131"/>
  <c r="BM14" i="131"/>
  <c r="C14" i="131"/>
  <c r="BL14" i="131"/>
  <c r="BC14" i="131"/>
  <c r="BN43" i="131"/>
  <c r="C43" i="131"/>
  <c r="BD43" i="131"/>
  <c r="B43" i="131"/>
  <c r="BM43" i="131"/>
  <c r="BL43" i="131"/>
  <c r="BE43" i="131"/>
  <c r="BC43" i="131"/>
  <c r="BC55" i="131"/>
  <c r="BN55" i="131"/>
  <c r="BE55" i="131"/>
  <c r="BD55" i="131"/>
  <c r="C55" i="131"/>
  <c r="B55" i="131"/>
  <c r="BL55" i="131"/>
  <c r="BM55" i="131"/>
  <c r="AK101" i="47"/>
  <c r="AI101" i="47"/>
  <c r="A365" i="61"/>
  <c r="AJ101" i="47"/>
  <c r="A289" i="61"/>
  <c r="AJ82" i="47"/>
  <c r="AK82" i="47"/>
  <c r="AI82" i="47"/>
  <c r="AJ108" i="47"/>
  <c r="A393" i="61"/>
  <c r="AK108" i="47"/>
  <c r="AI108" i="47"/>
  <c r="AJ116" i="47"/>
  <c r="A425" i="61"/>
  <c r="AI116" i="47"/>
  <c r="AK116" i="47"/>
  <c r="AI68" i="47"/>
  <c r="AJ68" i="47"/>
  <c r="A233" i="61"/>
  <c r="AK68" i="47"/>
  <c r="A461" i="61"/>
  <c r="AI125" i="47"/>
  <c r="AJ125" i="47"/>
  <c r="AK125" i="47"/>
  <c r="AK126" i="47"/>
  <c r="AJ126" i="47"/>
  <c r="A465" i="61"/>
  <c r="AI126" i="47"/>
  <c r="AK128" i="47"/>
  <c r="AI128" i="47"/>
  <c r="A473" i="61"/>
  <c r="AJ128" i="47"/>
  <c r="AJ138" i="47"/>
  <c r="AI138" i="47"/>
  <c r="A513" i="61"/>
  <c r="AK138" i="47"/>
  <c r="A417" i="61"/>
  <c r="AI114" i="47"/>
  <c r="AK114" i="47"/>
  <c r="AJ114" i="47"/>
  <c r="AI98" i="47"/>
  <c r="AJ98" i="47"/>
  <c r="A353" i="61"/>
  <c r="AK98" i="47"/>
  <c r="AJ118" i="47"/>
  <c r="AK118" i="47"/>
  <c r="A433" i="61"/>
  <c r="AI118" i="47"/>
  <c r="AI86" i="47"/>
  <c r="AJ86" i="47"/>
  <c r="A305" i="61"/>
  <c r="AK86" i="47"/>
  <c r="AI90" i="47"/>
  <c r="AK90" i="47"/>
  <c r="AJ90" i="47"/>
  <c r="A321" i="61"/>
  <c r="AI71" i="47"/>
  <c r="AJ71" i="47"/>
  <c r="AK71" i="47"/>
  <c r="A245" i="61"/>
  <c r="B38" i="131"/>
  <c r="BM38" i="131"/>
  <c r="BN38" i="131"/>
  <c r="BD38" i="131"/>
  <c r="BC38" i="131"/>
  <c r="BE38" i="131"/>
  <c r="C38" i="131"/>
  <c r="BL38" i="131"/>
  <c r="AB67" i="131"/>
  <c r="T67" i="131"/>
  <c r="AU67" i="131"/>
  <c r="O67" i="131"/>
  <c r="J67" i="131"/>
  <c r="AD67" i="131"/>
  <c r="U67" i="131"/>
  <c r="M67" i="131"/>
  <c r="BL67" i="131"/>
  <c r="I67" i="131"/>
  <c r="B67" i="131"/>
  <c r="AC67" i="131"/>
  <c r="N67" i="131"/>
  <c r="L67" i="131"/>
  <c r="G67" i="131"/>
  <c r="E67" i="131"/>
  <c r="BE67" i="131"/>
  <c r="AT67" i="131"/>
  <c r="AM67" i="131"/>
  <c r="S67" i="131"/>
  <c r="BC67" i="131"/>
  <c r="H67" i="131"/>
  <c r="BD67" i="131"/>
  <c r="Q67" i="131"/>
  <c r="AK67" i="131"/>
  <c r="F67" i="131"/>
  <c r="BN67" i="131"/>
  <c r="C67" i="131"/>
  <c r="P67" i="131"/>
  <c r="AV67" i="131"/>
  <c r="AL67" i="131"/>
  <c r="BM67" i="131"/>
  <c r="BL30" i="131"/>
  <c r="BM30" i="131"/>
  <c r="B30" i="131"/>
  <c r="BD30" i="131"/>
  <c r="BE30" i="131"/>
  <c r="BN30" i="131"/>
  <c r="BC30" i="131"/>
  <c r="C30" i="131"/>
  <c r="AX5" i="47"/>
  <c r="AW9" i="47"/>
  <c r="AX6" i="47"/>
  <c r="BL33" i="131"/>
  <c r="BE33" i="131"/>
  <c r="BD33" i="131"/>
  <c r="BN33" i="131"/>
  <c r="BM33" i="131"/>
  <c r="B33" i="131"/>
  <c r="BC33" i="131"/>
  <c r="C33" i="131"/>
  <c r="H75" i="131"/>
  <c r="BE75" i="131"/>
  <c r="J75" i="131"/>
  <c r="Q75" i="131"/>
  <c r="AD75" i="131"/>
  <c r="O75" i="131"/>
  <c r="U75" i="131"/>
  <c r="N75" i="131"/>
  <c r="L75" i="131"/>
  <c r="AK75" i="131"/>
  <c r="M75" i="131"/>
  <c r="BC75" i="131"/>
  <c r="AB75" i="131"/>
  <c r="C75" i="131"/>
  <c r="AM75" i="131"/>
  <c r="AC75" i="131"/>
  <c r="T75" i="131"/>
  <c r="B75" i="131"/>
  <c r="BD75" i="131"/>
  <c r="AV75" i="131"/>
  <c r="BL75" i="131"/>
  <c r="E75" i="131"/>
  <c r="S75" i="131"/>
  <c r="I75" i="131"/>
  <c r="P75" i="131"/>
  <c r="AU75" i="131"/>
  <c r="BN75" i="131"/>
  <c r="F75" i="131"/>
  <c r="G75" i="131"/>
  <c r="BM75" i="131"/>
  <c r="AL75" i="131"/>
  <c r="AT75" i="131"/>
  <c r="I74" i="131"/>
  <c r="Q74" i="131"/>
  <c r="AK74" i="131"/>
  <c r="BN74" i="131"/>
  <c r="B74" i="131"/>
  <c r="S74" i="131"/>
  <c r="U74" i="131"/>
  <c r="T74" i="131"/>
  <c r="C74" i="131"/>
  <c r="AT74" i="131"/>
  <c r="F74" i="131"/>
  <c r="AD74" i="131"/>
  <c r="AU74" i="131"/>
  <c r="M74" i="131"/>
  <c r="P74" i="131"/>
  <c r="AM74" i="131"/>
  <c r="BC74" i="131"/>
  <c r="N74" i="131"/>
  <c r="G74" i="131"/>
  <c r="BD74" i="131"/>
  <c r="AV74" i="131"/>
  <c r="AC74" i="131"/>
  <c r="AB74" i="131"/>
  <c r="E74" i="131"/>
  <c r="BL74" i="131"/>
  <c r="J74" i="131"/>
  <c r="BE74" i="131"/>
  <c r="H74" i="131"/>
  <c r="AL74" i="131"/>
  <c r="BM74" i="131"/>
  <c r="L74" i="131"/>
  <c r="O74" i="131"/>
  <c r="O98" i="131"/>
  <c r="BD98" i="131"/>
  <c r="AD98" i="131"/>
  <c r="C98" i="131"/>
  <c r="BM98" i="131"/>
  <c r="AC98" i="131"/>
  <c r="T98" i="131"/>
  <c r="P98" i="131"/>
  <c r="B98" i="131"/>
  <c r="AB98" i="131"/>
  <c r="BN98" i="131"/>
  <c r="S98" i="131"/>
  <c r="H98" i="131"/>
  <c r="N98" i="131"/>
  <c r="Q98" i="131"/>
  <c r="AK98" i="131"/>
  <c r="F98" i="131"/>
  <c r="BL98" i="131"/>
  <c r="L98" i="131"/>
  <c r="G98" i="131"/>
  <c r="AV98" i="131"/>
  <c r="U98" i="131"/>
  <c r="BC98" i="131"/>
  <c r="AL98" i="131"/>
  <c r="E98" i="131"/>
  <c r="J98" i="131"/>
  <c r="AU98" i="131"/>
  <c r="I98" i="131"/>
  <c r="M98" i="131"/>
  <c r="AM98" i="131"/>
  <c r="AT98" i="131"/>
  <c r="BE98" i="131"/>
  <c r="AD102" i="131"/>
  <c r="BM102" i="131"/>
  <c r="AU102" i="131"/>
  <c r="O102" i="131"/>
  <c r="E102" i="131"/>
  <c r="B102" i="131"/>
  <c r="L102" i="131"/>
  <c r="BC102" i="131"/>
  <c r="F102" i="131"/>
  <c r="BD102" i="131"/>
  <c r="T102" i="131"/>
  <c r="N102" i="131"/>
  <c r="AL102" i="131"/>
  <c r="AK102" i="131"/>
  <c r="P102" i="131"/>
  <c r="BE102" i="131"/>
  <c r="S102" i="131"/>
  <c r="I102" i="131"/>
  <c r="G102" i="131"/>
  <c r="H102" i="131"/>
  <c r="C102" i="131"/>
  <c r="AB102" i="131"/>
  <c r="J102" i="131"/>
  <c r="AT102" i="131"/>
  <c r="AV102" i="131"/>
  <c r="BN102" i="131"/>
  <c r="Q102" i="131"/>
  <c r="U102" i="131"/>
  <c r="M102" i="131"/>
  <c r="BL102" i="131"/>
  <c r="AM102" i="131"/>
  <c r="AC102" i="131"/>
  <c r="BC15" i="131"/>
  <c r="B15" i="131"/>
  <c r="BD15" i="131"/>
  <c r="BL15" i="131"/>
  <c r="BN15" i="131"/>
  <c r="BM15" i="131"/>
  <c r="BE15" i="131"/>
  <c r="C15" i="131"/>
  <c r="B44" i="131"/>
  <c r="C44" i="131"/>
  <c r="BC44" i="131"/>
  <c r="BM44" i="131"/>
  <c r="BN44" i="131"/>
  <c r="BD44" i="131"/>
  <c r="BL44" i="131"/>
  <c r="BE44" i="131"/>
  <c r="BE16" i="131"/>
  <c r="BL16" i="131"/>
  <c r="BM16" i="131"/>
  <c r="BN16" i="131"/>
  <c r="BD16" i="131"/>
  <c r="C16" i="131"/>
  <c r="B16" i="131"/>
  <c r="BC16" i="131"/>
  <c r="BE10" i="131"/>
  <c r="BC10" i="131"/>
  <c r="B10" i="131"/>
  <c r="BD10" i="131"/>
  <c r="BM10" i="131"/>
  <c r="C10" i="131"/>
  <c r="BL10" i="131"/>
  <c r="BN10" i="131"/>
  <c r="J111" i="131"/>
  <c r="BE111" i="131"/>
  <c r="BD111" i="131"/>
  <c r="O111" i="131"/>
  <c r="I111" i="131"/>
  <c r="L111" i="131"/>
  <c r="H111" i="131"/>
  <c r="C111" i="131"/>
  <c r="M111" i="131"/>
  <c r="B111" i="131"/>
  <c r="BC111" i="131"/>
  <c r="AD111" i="131"/>
  <c r="T111" i="131"/>
  <c r="AB111" i="131"/>
  <c r="BL111" i="131"/>
  <c r="E111" i="131"/>
  <c r="S111" i="131"/>
  <c r="Q111" i="131"/>
  <c r="BM111" i="131"/>
  <c r="N111" i="131"/>
  <c r="F111" i="131"/>
  <c r="AM111" i="131"/>
  <c r="AU111" i="131"/>
  <c r="BN111" i="131"/>
  <c r="P111" i="131"/>
  <c r="G111" i="131"/>
  <c r="AT111" i="131"/>
  <c r="AK111" i="131"/>
  <c r="AV111" i="131"/>
  <c r="AC111" i="131"/>
  <c r="U111" i="131"/>
  <c r="AL111" i="131"/>
  <c r="BE31" i="131"/>
  <c r="B31" i="131"/>
  <c r="BC31" i="131"/>
  <c r="BD31" i="131"/>
  <c r="BL31" i="131"/>
  <c r="C31" i="131"/>
  <c r="BN31" i="131"/>
  <c r="BM31" i="131"/>
  <c r="BL49" i="131"/>
  <c r="BN49" i="131"/>
  <c r="BE49" i="131"/>
  <c r="C49" i="131"/>
  <c r="BM49" i="131"/>
  <c r="BC49" i="131"/>
  <c r="B49" i="131"/>
  <c r="BD49" i="131"/>
  <c r="BE8" i="131"/>
  <c r="B8" i="131"/>
  <c r="C8" i="131"/>
  <c r="BM8" i="131"/>
  <c r="BD8" i="131"/>
  <c r="BN8" i="131"/>
  <c r="BL8" i="131"/>
  <c r="BC8" i="131"/>
  <c r="C64" i="131"/>
  <c r="U64" i="131"/>
  <c r="BE64" i="131"/>
  <c r="M64" i="131"/>
  <c r="Q64" i="131"/>
  <c r="N64" i="131"/>
  <c r="AV64" i="131"/>
  <c r="L64" i="131"/>
  <c r="AC64" i="131"/>
  <c r="AU64" i="131"/>
  <c r="J64" i="131"/>
  <c r="I64" i="131"/>
  <c r="AM64" i="131"/>
  <c r="E64" i="131"/>
  <c r="BC64" i="131"/>
  <c r="AB64" i="131"/>
  <c r="P64" i="131"/>
  <c r="T64" i="131"/>
  <c r="BL64" i="131"/>
  <c r="B64" i="131"/>
  <c r="F64" i="131"/>
  <c r="H64" i="131"/>
  <c r="AD64" i="131"/>
  <c r="BM64" i="131"/>
  <c r="BN64" i="131"/>
  <c r="AT64" i="131"/>
  <c r="S64" i="131"/>
  <c r="G64" i="131"/>
  <c r="BD64" i="131"/>
  <c r="AL64" i="131"/>
  <c r="AK64" i="131"/>
  <c r="O64" i="131"/>
  <c r="E91" i="131"/>
  <c r="N91" i="131"/>
  <c r="BD91" i="131"/>
  <c r="AK91" i="131"/>
  <c r="AD91" i="131"/>
  <c r="Q91" i="131"/>
  <c r="U91" i="131"/>
  <c r="BC91" i="131"/>
  <c r="H91" i="131"/>
  <c r="BM91" i="131"/>
  <c r="M91" i="131"/>
  <c r="BE91" i="131"/>
  <c r="C91" i="131"/>
  <c r="J91" i="131"/>
  <c r="P91" i="131"/>
  <c r="L91" i="131"/>
  <c r="AT91" i="131"/>
  <c r="F91" i="131"/>
  <c r="S91" i="131"/>
  <c r="T91" i="131"/>
  <c r="AU91" i="131"/>
  <c r="BL91" i="131"/>
  <c r="AM91" i="131"/>
  <c r="I91" i="131"/>
  <c r="AV91" i="131"/>
  <c r="G91" i="131"/>
  <c r="AC91" i="131"/>
  <c r="AL91" i="131"/>
  <c r="AB91" i="131"/>
  <c r="B91" i="131"/>
  <c r="O91" i="131"/>
  <c r="BN91" i="131"/>
  <c r="B63" i="131"/>
  <c r="AK63" i="131"/>
  <c r="AV63" i="131"/>
  <c r="BC63" i="131"/>
  <c r="BD63" i="131"/>
  <c r="M63" i="131"/>
  <c r="BN63" i="131"/>
  <c r="N63" i="131"/>
  <c r="AD63" i="131"/>
  <c r="J63" i="131"/>
  <c r="AT63" i="131"/>
  <c r="BE63" i="131"/>
  <c r="T63" i="131"/>
  <c r="AB63" i="131"/>
  <c r="F63" i="131"/>
  <c r="G63" i="131"/>
  <c r="AL63" i="131"/>
  <c r="AC63" i="131"/>
  <c r="S63" i="131"/>
  <c r="C63" i="131"/>
  <c r="AU63" i="131"/>
  <c r="L63" i="131"/>
  <c r="Q63" i="131"/>
  <c r="BL63" i="131"/>
  <c r="O63" i="131"/>
  <c r="I63" i="131"/>
  <c r="P63" i="131"/>
  <c r="H63" i="131"/>
  <c r="BM63" i="131"/>
  <c r="U63" i="131"/>
  <c r="E63" i="131"/>
  <c r="AM63" i="131"/>
  <c r="L66" i="122"/>
  <c r="N66" i="122"/>
  <c r="M66" i="122"/>
  <c r="M44" i="122"/>
  <c r="L44" i="122"/>
  <c r="N44" i="122"/>
  <c r="J95" i="131"/>
  <c r="G95" i="131"/>
  <c r="BN95" i="131"/>
  <c r="T95" i="131"/>
  <c r="BL95" i="131"/>
  <c r="AB95" i="131"/>
  <c r="I95" i="131"/>
  <c r="AU95" i="131"/>
  <c r="BC95" i="131"/>
  <c r="AC95" i="131"/>
  <c r="O95" i="131"/>
  <c r="BE95" i="131"/>
  <c r="B95" i="131"/>
  <c r="AT95" i="131"/>
  <c r="C95" i="131"/>
  <c r="F95" i="131"/>
  <c r="U95" i="131"/>
  <c r="P95" i="131"/>
  <c r="AV95" i="131"/>
  <c r="AK95" i="131"/>
  <c r="N95" i="131"/>
  <c r="L95" i="131"/>
  <c r="BM95" i="131"/>
  <c r="M95" i="131"/>
  <c r="AL95" i="131"/>
  <c r="E95" i="131"/>
  <c r="S95" i="131"/>
  <c r="AD95" i="131"/>
  <c r="Q95" i="131"/>
  <c r="AM95" i="131"/>
  <c r="BD95" i="131"/>
  <c r="H95" i="131"/>
  <c r="N45" i="124"/>
  <c r="L45" i="124"/>
  <c r="M45" i="124"/>
  <c r="Q66" i="127"/>
  <c r="K66" i="127"/>
  <c r="P66" i="127"/>
  <c r="O66" i="127"/>
  <c r="Q52" i="125"/>
  <c r="P52" i="125"/>
  <c r="O52" i="125"/>
  <c r="K52" i="125"/>
  <c r="L44" i="123"/>
  <c r="M44" i="123"/>
  <c r="N44" i="123"/>
  <c r="L50" i="125"/>
  <c r="M50" i="125"/>
  <c r="N50" i="125"/>
  <c r="K66" i="124"/>
  <c r="P66" i="124"/>
  <c r="O66" i="124"/>
  <c r="Q66" i="124"/>
  <c r="N63" i="125"/>
  <c r="M63" i="125"/>
  <c r="L63" i="125"/>
  <c r="O39" i="126"/>
  <c r="Q39" i="126"/>
  <c r="P39" i="126"/>
  <c r="K39" i="126"/>
  <c r="L38" i="124"/>
  <c r="M38" i="124"/>
  <c r="N38" i="124"/>
  <c r="Q36" i="122"/>
  <c r="O36" i="122"/>
  <c r="P36" i="122"/>
  <c r="K36" i="122"/>
  <c r="K50" i="125"/>
  <c r="P50" i="125"/>
  <c r="O50" i="125"/>
  <c r="Q50" i="125"/>
  <c r="P35" i="126"/>
  <c r="O35" i="126"/>
  <c r="K35" i="126"/>
  <c r="Q35" i="126"/>
  <c r="P48" i="123"/>
  <c r="Q48" i="123"/>
  <c r="O48" i="123"/>
  <c r="K48" i="123"/>
  <c r="N39" i="123"/>
  <c r="L39" i="123"/>
  <c r="M39" i="123"/>
  <c r="O35" i="122"/>
  <c r="K35" i="122"/>
  <c r="P35" i="122"/>
  <c r="Q35" i="122"/>
  <c r="O43" i="127"/>
  <c r="P43" i="127"/>
  <c r="Q43" i="127"/>
  <c r="K43" i="127"/>
  <c r="P61" i="122"/>
  <c r="O61" i="122"/>
  <c r="Q61" i="122"/>
  <c r="K61" i="122"/>
  <c r="K58" i="122"/>
  <c r="Q58" i="122"/>
  <c r="O58" i="122"/>
  <c r="P58" i="122"/>
  <c r="M51" i="127"/>
  <c r="N51" i="127"/>
  <c r="L51" i="127"/>
  <c r="N47" i="124"/>
  <c r="L47" i="124"/>
  <c r="M47" i="124"/>
  <c r="AI72" i="47"/>
  <c r="A249" i="61"/>
  <c r="AJ72" i="47"/>
  <c r="AK72" i="47"/>
  <c r="A361" i="61"/>
  <c r="AK100" i="47"/>
  <c r="AI100" i="47"/>
  <c r="AJ100" i="47"/>
  <c r="AK79" i="47"/>
  <c r="A277" i="61"/>
  <c r="AJ79" i="47"/>
  <c r="AI79" i="47"/>
  <c r="A497" i="61"/>
  <c r="AK134" i="47"/>
  <c r="AJ134" i="47"/>
  <c r="AI134" i="47"/>
  <c r="AK91" i="47"/>
  <c r="A325" i="61"/>
  <c r="AJ91" i="47"/>
  <c r="AI91" i="47"/>
  <c r="AI83" i="47"/>
  <c r="AK83" i="47"/>
  <c r="AJ83" i="47"/>
  <c r="A293" i="61"/>
  <c r="AI124" i="47"/>
  <c r="A457" i="61"/>
  <c r="AJ124" i="47"/>
  <c r="AK124" i="47"/>
  <c r="C42" i="131"/>
  <c r="BC42" i="131"/>
  <c r="BE42" i="131"/>
  <c r="BL42" i="131"/>
  <c r="BN42" i="131"/>
  <c r="BD42" i="131"/>
  <c r="B42" i="131"/>
  <c r="BM42" i="131"/>
  <c r="B28" i="131"/>
  <c r="BE28" i="131"/>
  <c r="BD28" i="131"/>
  <c r="BN28" i="131"/>
  <c r="BC28" i="131"/>
  <c r="BL28" i="131"/>
  <c r="C28" i="131"/>
  <c r="BM28" i="131"/>
  <c r="C109" i="131"/>
  <c r="H109" i="131"/>
  <c r="AC109" i="131"/>
  <c r="BN109" i="131"/>
  <c r="AV109" i="131"/>
  <c r="BD109" i="131"/>
  <c r="Q109" i="131"/>
  <c r="N109" i="131"/>
  <c r="AK109" i="131"/>
  <c r="M109" i="131"/>
  <c r="T109" i="131"/>
  <c r="I109" i="131"/>
  <c r="BC109" i="131"/>
  <c r="BM109" i="131"/>
  <c r="BL109" i="131"/>
  <c r="B109" i="131"/>
  <c r="J109" i="131"/>
  <c r="BE109" i="131"/>
  <c r="O109" i="131"/>
  <c r="L109" i="131"/>
  <c r="G109" i="131"/>
  <c r="AB109" i="131"/>
  <c r="AM109" i="131"/>
  <c r="E109" i="131"/>
  <c r="AU109" i="131"/>
  <c r="AD109" i="131"/>
  <c r="P109" i="131"/>
  <c r="U109" i="131"/>
  <c r="AT109" i="131"/>
  <c r="S109" i="131"/>
  <c r="F109" i="131"/>
  <c r="AL109" i="131"/>
  <c r="M69" i="131"/>
  <c r="I69" i="131"/>
  <c r="U69" i="131"/>
  <c r="BC69" i="131"/>
  <c r="AC69" i="131"/>
  <c r="AM69" i="131"/>
  <c r="T69" i="131"/>
  <c r="AT69" i="131"/>
  <c r="AL69" i="131"/>
  <c r="AU69" i="131"/>
  <c r="O69" i="131"/>
  <c r="BD69" i="131"/>
  <c r="H69" i="131"/>
  <c r="L69" i="131"/>
  <c r="AV69" i="131"/>
  <c r="BL69" i="131"/>
  <c r="BE69" i="131"/>
  <c r="BM69" i="131"/>
  <c r="G69" i="131"/>
  <c r="B69" i="131"/>
  <c r="AD69" i="131"/>
  <c r="N69" i="131"/>
  <c r="Q69" i="131"/>
  <c r="AK69" i="131"/>
  <c r="F69" i="131"/>
  <c r="E69" i="131"/>
  <c r="J69" i="131"/>
  <c r="P69" i="131"/>
  <c r="AB69" i="131"/>
  <c r="BN69" i="131"/>
  <c r="S69" i="131"/>
  <c r="C69" i="131"/>
  <c r="AU126" i="131"/>
  <c r="C126" i="131"/>
  <c r="BE126" i="131"/>
  <c r="L126" i="131"/>
  <c r="T126" i="131"/>
  <c r="BD126" i="131"/>
  <c r="AT126" i="131"/>
  <c r="AD126" i="131"/>
  <c r="S126" i="131"/>
  <c r="BC126" i="131"/>
  <c r="AM126" i="131"/>
  <c r="AK126" i="131"/>
  <c r="B126" i="131"/>
  <c r="O126" i="131"/>
  <c r="M126" i="131"/>
  <c r="N126" i="131"/>
  <c r="Q126" i="131"/>
  <c r="E126" i="131"/>
  <c r="G126" i="131"/>
  <c r="BN126" i="131"/>
  <c r="AB126" i="131"/>
  <c r="BL126" i="131"/>
  <c r="P126" i="131"/>
  <c r="J126" i="131"/>
  <c r="AL126" i="131"/>
  <c r="AV126" i="131"/>
  <c r="I126" i="131"/>
  <c r="AC126" i="131"/>
  <c r="H126" i="131"/>
  <c r="F126" i="131"/>
  <c r="BM126" i="131"/>
  <c r="U126" i="131"/>
  <c r="BM54" i="131"/>
  <c r="BL54" i="131"/>
  <c r="BN54" i="131"/>
  <c r="BD54" i="131"/>
  <c r="BE54" i="131"/>
  <c r="C54" i="131"/>
  <c r="B54" i="131"/>
  <c r="BC54" i="131"/>
  <c r="N94" i="131"/>
  <c r="BN94" i="131"/>
  <c r="G94" i="131"/>
  <c r="J94" i="131"/>
  <c r="I94" i="131"/>
  <c r="B94" i="131"/>
  <c r="U94" i="131"/>
  <c r="F94" i="131"/>
  <c r="AK94" i="131"/>
  <c r="AV94" i="131"/>
  <c r="O94" i="131"/>
  <c r="AU94" i="131"/>
  <c r="BC94" i="131"/>
  <c r="P94" i="131"/>
  <c r="AD94" i="131"/>
  <c r="BE94" i="131"/>
  <c r="C94" i="131"/>
  <c r="Q94" i="131"/>
  <c r="H94" i="131"/>
  <c r="AC94" i="131"/>
  <c r="AL94" i="131"/>
  <c r="AB94" i="131"/>
  <c r="L94" i="131"/>
  <c r="AM94" i="131"/>
  <c r="BL94" i="131"/>
  <c r="S94" i="131"/>
  <c r="M94" i="131"/>
  <c r="E94" i="131"/>
  <c r="BD94" i="131"/>
  <c r="AT94" i="131"/>
  <c r="T94" i="131"/>
  <c r="BM94" i="131"/>
  <c r="AC81" i="131"/>
  <c r="S81" i="131"/>
  <c r="BC81" i="131"/>
  <c r="B81" i="131"/>
  <c r="H81" i="131"/>
  <c r="C81" i="131"/>
  <c r="BM81" i="131"/>
  <c r="AM81" i="131"/>
  <c r="P81" i="131"/>
  <c r="F81" i="131"/>
  <c r="AV81" i="131"/>
  <c r="L81" i="131"/>
  <c r="AL81" i="131"/>
  <c r="AK81" i="131"/>
  <c r="N81" i="131"/>
  <c r="I81" i="131"/>
  <c r="J81" i="131"/>
  <c r="U81" i="131"/>
  <c r="BN81" i="131"/>
  <c r="O81" i="131"/>
  <c r="BE81" i="131"/>
  <c r="T81" i="131"/>
  <c r="M81" i="131"/>
  <c r="AT81" i="131"/>
  <c r="G81" i="131"/>
  <c r="AU81" i="131"/>
  <c r="AD81" i="131"/>
  <c r="BD81" i="131"/>
  <c r="E81" i="131"/>
  <c r="BL81" i="131"/>
  <c r="Q81" i="131"/>
  <c r="AB81" i="131"/>
  <c r="B59" i="131"/>
  <c r="BC59" i="131"/>
  <c r="C59" i="131"/>
  <c r="BL59" i="131"/>
  <c r="BD59" i="131"/>
  <c r="BE59" i="131"/>
  <c r="BN59" i="131"/>
  <c r="BM59" i="131"/>
  <c r="BL36" i="131"/>
  <c r="BD36" i="131"/>
  <c r="C36" i="131"/>
  <c r="BC36" i="131"/>
  <c r="B36" i="131"/>
  <c r="BE36" i="131"/>
  <c r="BN36" i="131"/>
  <c r="BM36" i="131"/>
  <c r="D3" i="111"/>
  <c r="AB65" i="131"/>
  <c r="J65" i="131"/>
  <c r="AC65" i="131"/>
  <c r="O65" i="131"/>
  <c r="C65" i="131"/>
  <c r="BD65" i="131"/>
  <c r="L65" i="131"/>
  <c r="BL65" i="131"/>
  <c r="Q65" i="131"/>
  <c r="H65" i="131"/>
  <c r="S65" i="131"/>
  <c r="U65" i="131"/>
  <c r="BE65" i="131"/>
  <c r="AU65" i="131"/>
  <c r="AM65" i="131"/>
  <c r="I65" i="131"/>
  <c r="G65" i="131"/>
  <c r="BN65" i="131"/>
  <c r="E65" i="131"/>
  <c r="AV65" i="131"/>
  <c r="F65" i="131"/>
  <c r="B65" i="131"/>
  <c r="P65" i="131"/>
  <c r="AT65" i="131"/>
  <c r="T65" i="131"/>
  <c r="M65" i="131"/>
  <c r="BM65" i="131"/>
  <c r="AL65" i="131"/>
  <c r="BC65" i="131"/>
  <c r="N65" i="131"/>
  <c r="AK65" i="131"/>
  <c r="AD65" i="131"/>
  <c r="BC106" i="131"/>
  <c r="H106" i="131"/>
  <c r="I106" i="131"/>
  <c r="J106" i="131"/>
  <c r="U106" i="131"/>
  <c r="BM106" i="131"/>
  <c r="AM106" i="131"/>
  <c r="C106" i="131"/>
  <c r="AL106" i="131"/>
  <c r="T106" i="131"/>
  <c r="P106" i="131"/>
  <c r="AV106" i="131"/>
  <c r="AB106" i="131"/>
  <c r="AK106" i="131"/>
  <c r="N106" i="131"/>
  <c r="B106" i="131"/>
  <c r="AU106" i="131"/>
  <c r="E106" i="131"/>
  <c r="F106" i="131"/>
  <c r="S106" i="131"/>
  <c r="Q106" i="131"/>
  <c r="O106" i="131"/>
  <c r="BD106" i="131"/>
  <c r="AD106" i="131"/>
  <c r="AT106" i="131"/>
  <c r="M106" i="131"/>
  <c r="L106" i="131"/>
  <c r="BL106" i="131"/>
  <c r="AC106" i="131"/>
  <c r="G106" i="131"/>
  <c r="BE106" i="131"/>
  <c r="BN106" i="131"/>
  <c r="B119" i="131"/>
  <c r="AU119" i="131"/>
  <c r="AC119" i="131"/>
  <c r="BM119" i="131"/>
  <c r="AK119" i="131"/>
  <c r="T119" i="131"/>
  <c r="I119" i="131"/>
  <c r="BL119" i="131"/>
  <c r="L119" i="131"/>
  <c r="BC119" i="131"/>
  <c r="U119" i="131"/>
  <c r="P119" i="131"/>
  <c r="H119" i="131"/>
  <c r="AT119" i="131"/>
  <c r="AD119" i="131"/>
  <c r="M119" i="131"/>
  <c r="E119" i="131"/>
  <c r="S119" i="131"/>
  <c r="AB119" i="131"/>
  <c r="AV119" i="131"/>
  <c r="AM119" i="131"/>
  <c r="BN119" i="131"/>
  <c r="C119" i="131"/>
  <c r="BD119" i="131"/>
  <c r="J119" i="131"/>
  <c r="G119" i="131"/>
  <c r="O119" i="131"/>
  <c r="N119" i="131"/>
  <c r="Q119" i="131"/>
  <c r="F119" i="131"/>
  <c r="BE119" i="131"/>
  <c r="AL119" i="131"/>
  <c r="L65" i="122"/>
  <c r="N65" i="122"/>
  <c r="M65" i="122"/>
  <c r="L45" i="122"/>
  <c r="N45" i="122"/>
  <c r="M45" i="122"/>
  <c r="N33" i="122"/>
  <c r="L33" i="122"/>
  <c r="M33" i="122"/>
  <c r="M33" i="126"/>
  <c r="L33" i="126"/>
  <c r="N33" i="126"/>
  <c r="O62" i="127"/>
  <c r="Q62" i="127"/>
  <c r="K62" i="127"/>
  <c r="P62" i="127"/>
  <c r="Q39" i="123"/>
  <c r="K39" i="123"/>
  <c r="P39" i="123"/>
  <c r="O39" i="123"/>
  <c r="M61" i="125"/>
  <c r="N61" i="125"/>
  <c r="L61" i="125"/>
  <c r="M62" i="123"/>
  <c r="L62" i="123"/>
  <c r="N62" i="123"/>
  <c r="P63" i="122"/>
  <c r="Q63" i="122"/>
  <c r="K63" i="122"/>
  <c r="O63" i="122"/>
  <c r="K32" i="122"/>
  <c r="P32" i="122"/>
  <c r="Q32" i="122"/>
  <c r="O32" i="122"/>
  <c r="M65" i="127"/>
  <c r="L65" i="127"/>
  <c r="N65" i="127"/>
  <c r="P50" i="122"/>
  <c r="Q50" i="122"/>
  <c r="K50" i="122"/>
  <c r="O50" i="122"/>
  <c r="B37" i="131"/>
  <c r="BL37" i="131"/>
  <c r="BN37" i="131"/>
  <c r="BE37" i="131"/>
  <c r="C37" i="131"/>
  <c r="BM37" i="131"/>
  <c r="BC37" i="131"/>
  <c r="BD37" i="131"/>
  <c r="BC72" i="131"/>
  <c r="BD72" i="131"/>
  <c r="E72" i="131"/>
  <c r="O72" i="131"/>
  <c r="L72" i="131"/>
  <c r="J72" i="131"/>
  <c r="C72" i="131"/>
  <c r="Q72" i="131"/>
  <c r="S72" i="131"/>
  <c r="H72" i="131"/>
  <c r="F72" i="131"/>
  <c r="AK72" i="131"/>
  <c r="AB72" i="131"/>
  <c r="AL72" i="131"/>
  <c r="AU72" i="131"/>
  <c r="AV72" i="131"/>
  <c r="T72" i="131"/>
  <c r="B72" i="131"/>
  <c r="BM72" i="131"/>
  <c r="BE72" i="131"/>
  <c r="U72" i="131"/>
  <c r="AM72" i="131"/>
  <c r="AT72" i="131"/>
  <c r="I72" i="131"/>
  <c r="AC72" i="131"/>
  <c r="P72" i="131"/>
  <c r="G72" i="131"/>
  <c r="M72" i="131"/>
  <c r="BL72" i="131"/>
  <c r="BN72" i="131"/>
  <c r="AD72" i="131"/>
  <c r="N72" i="131"/>
  <c r="BN58" i="131"/>
  <c r="BD58" i="131"/>
  <c r="BL58" i="131"/>
  <c r="BM58" i="131"/>
  <c r="C58" i="131"/>
  <c r="BE58" i="131"/>
  <c r="BC58" i="131"/>
  <c r="B58" i="131"/>
  <c r="BL50" i="131"/>
  <c r="B50" i="131"/>
  <c r="C50" i="131"/>
  <c r="BC50" i="131"/>
  <c r="BN50" i="131"/>
  <c r="BM50" i="131"/>
  <c r="BE50" i="131"/>
  <c r="BD50" i="131"/>
  <c r="BL45" i="131"/>
  <c r="B45" i="131"/>
  <c r="BC45" i="131"/>
  <c r="BN45" i="131"/>
  <c r="BE45" i="131"/>
  <c r="BD45" i="131"/>
  <c r="BM45" i="131"/>
  <c r="C45" i="131"/>
  <c r="F105" i="131"/>
  <c r="BE105" i="131"/>
  <c r="M105" i="131"/>
  <c r="O105" i="131"/>
  <c r="AC105" i="131"/>
  <c r="G105" i="131"/>
  <c r="J105" i="131"/>
  <c r="BL105" i="131"/>
  <c r="AB105" i="131"/>
  <c r="I105" i="131"/>
  <c r="AV105" i="131"/>
  <c r="U105" i="131"/>
  <c r="Q105" i="131"/>
  <c r="BM105" i="131"/>
  <c r="E105" i="131"/>
  <c r="C105" i="131"/>
  <c r="BD105" i="131"/>
  <c r="BC105" i="131"/>
  <c r="AD105" i="131"/>
  <c r="S105" i="131"/>
  <c r="N105" i="131"/>
  <c r="AT105" i="131"/>
  <c r="AU105" i="131"/>
  <c r="P105" i="131"/>
  <c r="AK105" i="131"/>
  <c r="BN105" i="131"/>
  <c r="L105" i="131"/>
  <c r="B105" i="131"/>
  <c r="AL105" i="131"/>
  <c r="AM105" i="131"/>
  <c r="T105" i="131"/>
  <c r="H105" i="131"/>
  <c r="BN97" i="131"/>
  <c r="AV97" i="131"/>
  <c r="F97" i="131"/>
  <c r="L97" i="131"/>
  <c r="AD97" i="131"/>
  <c r="AC97" i="131"/>
  <c r="BC97" i="131"/>
  <c r="AT97" i="131"/>
  <c r="BD97" i="131"/>
  <c r="I97" i="131"/>
  <c r="O97" i="131"/>
  <c r="BE97" i="131"/>
  <c r="G97" i="131"/>
  <c r="B97" i="131"/>
  <c r="BL97" i="131"/>
  <c r="U97" i="131"/>
  <c r="M97" i="131"/>
  <c r="AL97" i="131"/>
  <c r="C97" i="131"/>
  <c r="AK97" i="131"/>
  <c r="AM97" i="131"/>
  <c r="J97" i="131"/>
  <c r="S97" i="131"/>
  <c r="H97" i="131"/>
  <c r="BM97" i="131"/>
  <c r="P97" i="131"/>
  <c r="E97" i="131"/>
  <c r="Q97" i="131"/>
  <c r="N97" i="131"/>
  <c r="T97" i="131"/>
  <c r="AB97" i="131"/>
  <c r="AU97" i="131"/>
  <c r="AC87" i="131"/>
  <c r="G87" i="131"/>
  <c r="BC87" i="131"/>
  <c r="B87" i="131"/>
  <c r="L87" i="131"/>
  <c r="O87" i="131"/>
  <c r="F87" i="131"/>
  <c r="T87" i="131"/>
  <c r="S87" i="131"/>
  <c r="C87" i="131"/>
  <c r="H87" i="131"/>
  <c r="BD87" i="131"/>
  <c r="AL87" i="131"/>
  <c r="U87" i="131"/>
  <c r="M87" i="131"/>
  <c r="AD87" i="131"/>
  <c r="J87" i="131"/>
  <c r="E87" i="131"/>
  <c r="AV87" i="131"/>
  <c r="AB87" i="131"/>
  <c r="AU87" i="131"/>
  <c r="AT87" i="131"/>
  <c r="P87" i="131"/>
  <c r="BE87" i="131"/>
  <c r="AM87" i="131"/>
  <c r="BN87" i="131"/>
  <c r="BL87" i="131"/>
  <c r="Q87" i="131"/>
  <c r="N87" i="131"/>
  <c r="BM87" i="131"/>
  <c r="I87" i="131"/>
  <c r="AK87" i="131"/>
  <c r="AB62" i="131"/>
  <c r="BM62" i="131"/>
  <c r="T62" i="131"/>
  <c r="AU62" i="131"/>
  <c r="P62" i="131"/>
  <c r="AL62" i="131"/>
  <c r="O62" i="131"/>
  <c r="S62" i="131"/>
  <c r="H62" i="131"/>
  <c r="AK62" i="131"/>
  <c r="I62" i="131"/>
  <c r="Q62" i="131"/>
  <c r="BL62" i="131"/>
  <c r="BD62" i="131"/>
  <c r="L62" i="131"/>
  <c r="AM62" i="131"/>
  <c r="AV62" i="131"/>
  <c r="C62" i="131"/>
  <c r="E62" i="131"/>
  <c r="F62" i="131"/>
  <c r="BN62" i="131"/>
  <c r="B62" i="131"/>
  <c r="BE62" i="131"/>
  <c r="J62" i="131"/>
  <c r="U62" i="131"/>
  <c r="AC62" i="131"/>
  <c r="N62" i="131"/>
  <c r="M62" i="131"/>
  <c r="BC62" i="131"/>
  <c r="AT62" i="131"/>
  <c r="AD62" i="131"/>
  <c r="G62" i="131"/>
  <c r="N56" i="122"/>
  <c r="M56" i="122"/>
  <c r="L56" i="122"/>
  <c r="L41" i="122"/>
  <c r="M41" i="122"/>
  <c r="N41" i="122"/>
  <c r="N49" i="122"/>
  <c r="M49" i="122"/>
  <c r="L49" i="122"/>
  <c r="L46" i="122"/>
  <c r="M46" i="122"/>
  <c r="N46" i="122"/>
  <c r="M62" i="122"/>
  <c r="L62" i="122"/>
  <c r="N62" i="122"/>
  <c r="L43" i="122"/>
  <c r="N43" i="122"/>
  <c r="M43" i="122"/>
  <c r="N52" i="122"/>
  <c r="M52" i="122"/>
  <c r="L52" i="122"/>
  <c r="L32" i="122"/>
  <c r="N32" i="122"/>
  <c r="M32" i="122"/>
  <c r="L61" i="126"/>
  <c r="M61" i="126"/>
  <c r="N61" i="126"/>
  <c r="M44" i="125"/>
  <c r="N44" i="125"/>
  <c r="L44" i="125"/>
  <c r="P41" i="125"/>
  <c r="K41" i="125"/>
  <c r="Q41" i="125"/>
  <c r="O41" i="125"/>
  <c r="P64" i="125"/>
  <c r="K64" i="125"/>
  <c r="O64" i="125"/>
  <c r="Q64" i="125"/>
  <c r="Q40" i="123"/>
  <c r="P40" i="123"/>
  <c r="K40" i="123"/>
  <c r="O40" i="123"/>
  <c r="M49" i="125"/>
  <c r="L49" i="125"/>
  <c r="N49" i="125"/>
  <c r="K51" i="124"/>
  <c r="P51" i="124"/>
  <c r="O51" i="124"/>
  <c r="Q51" i="124"/>
  <c r="K64" i="122"/>
  <c r="Q64" i="122"/>
  <c r="P64" i="122"/>
  <c r="O64" i="122"/>
  <c r="N56" i="127"/>
  <c r="L56" i="127"/>
  <c r="M56" i="127"/>
  <c r="N53" i="126"/>
  <c r="M53" i="126"/>
  <c r="L53" i="126"/>
  <c r="N46" i="124"/>
  <c r="M46" i="124"/>
  <c r="L46" i="124"/>
  <c r="K39" i="124"/>
  <c r="Q39" i="124"/>
  <c r="P39" i="124"/>
  <c r="O39" i="124"/>
  <c r="M37" i="124"/>
  <c r="L37" i="124"/>
  <c r="N37" i="124"/>
  <c r="O49" i="125"/>
  <c r="Q49" i="125"/>
  <c r="P49" i="125"/>
  <c r="K49" i="125"/>
  <c r="N61" i="123"/>
  <c r="L61" i="123"/>
  <c r="M61" i="123"/>
  <c r="M58" i="124"/>
  <c r="L58" i="124"/>
  <c r="N58" i="124"/>
  <c r="N64" i="124"/>
  <c r="M64" i="124"/>
  <c r="L64" i="124"/>
  <c r="P65" i="123"/>
  <c r="O65" i="123"/>
  <c r="Q65" i="123"/>
  <c r="K65" i="123"/>
  <c r="Q61" i="123"/>
  <c r="K61" i="123"/>
  <c r="P61" i="123"/>
  <c r="O61" i="123"/>
  <c r="Q55" i="124"/>
  <c r="K55" i="124"/>
  <c r="P55" i="124"/>
  <c r="O55" i="124"/>
  <c r="P46" i="127"/>
  <c r="K46" i="127"/>
  <c r="Q46" i="127"/>
  <c r="O46" i="127"/>
  <c r="O58" i="123"/>
  <c r="Q58" i="123"/>
  <c r="P58" i="123"/>
  <c r="K58" i="123"/>
  <c r="L32" i="126"/>
  <c r="N32" i="126"/>
  <c r="M32" i="126"/>
  <c r="P37" i="126"/>
  <c r="Q37" i="126"/>
  <c r="O37" i="126"/>
  <c r="K37" i="126"/>
  <c r="N47" i="125"/>
  <c r="L47" i="125"/>
  <c r="M47" i="125"/>
  <c r="N54" i="125"/>
  <c r="L54" i="125"/>
  <c r="M54" i="125"/>
  <c r="K59" i="124"/>
  <c r="Q59" i="124"/>
  <c r="P59" i="124"/>
  <c r="O59" i="124"/>
  <c r="O36" i="126"/>
  <c r="Q36" i="126"/>
  <c r="K36" i="126"/>
  <c r="P36" i="126"/>
  <c r="O47" i="125"/>
  <c r="P47" i="125"/>
  <c r="K47" i="125"/>
  <c r="Q47" i="125"/>
  <c r="Q34" i="122"/>
  <c r="K34" i="122"/>
  <c r="P34" i="122"/>
  <c r="O34" i="122"/>
  <c r="N41" i="125"/>
  <c r="L41" i="125"/>
  <c r="M41" i="125"/>
  <c r="M54" i="126"/>
  <c r="N54" i="126"/>
  <c r="L54" i="126"/>
  <c r="O33" i="122"/>
  <c r="P33" i="122"/>
  <c r="K33" i="122"/>
  <c r="Q33" i="122"/>
  <c r="K56" i="125"/>
  <c r="P56" i="125"/>
  <c r="Q56" i="125"/>
  <c r="O56" i="125"/>
  <c r="N34" i="123"/>
  <c r="M34" i="123"/>
  <c r="L34" i="123"/>
  <c r="L49" i="124"/>
  <c r="N49" i="124"/>
  <c r="M49" i="124"/>
  <c r="M47" i="123"/>
  <c r="L47" i="123"/>
  <c r="N47" i="123"/>
  <c r="P42" i="127"/>
  <c r="K42" i="127"/>
  <c r="O42" i="127"/>
  <c r="Q42" i="127"/>
  <c r="M47" i="127"/>
  <c r="L47" i="127"/>
  <c r="N47" i="127"/>
  <c r="K61" i="124"/>
  <c r="Q61" i="124"/>
  <c r="P61" i="124"/>
  <c r="O61" i="124"/>
  <c r="L48" i="126"/>
  <c r="N48" i="126"/>
  <c r="M48" i="126"/>
  <c r="M60" i="127"/>
  <c r="N60" i="127"/>
  <c r="L60" i="127"/>
  <c r="K44" i="124"/>
  <c r="O44" i="124"/>
  <c r="Q44" i="124"/>
  <c r="P44" i="124"/>
  <c r="K35" i="124"/>
  <c r="Q35" i="124"/>
  <c r="O35" i="124"/>
  <c r="P35" i="124"/>
  <c r="L34" i="127"/>
  <c r="M34" i="127"/>
  <c r="N34" i="127"/>
  <c r="P59" i="127"/>
  <c r="K59" i="127"/>
  <c r="O59" i="127"/>
  <c r="Q59" i="127"/>
  <c r="K57" i="123"/>
  <c r="P57" i="123"/>
  <c r="Q57" i="123"/>
  <c r="O57" i="123"/>
  <c r="K50" i="124"/>
  <c r="Q50" i="124"/>
  <c r="O50" i="124"/>
  <c r="P50" i="124"/>
  <c r="O32" i="125"/>
  <c r="Q32" i="125"/>
  <c r="P32" i="125"/>
  <c r="K32" i="125"/>
  <c r="M65" i="123"/>
  <c r="L65" i="123"/>
  <c r="N65" i="123"/>
  <c r="L50" i="123"/>
  <c r="N50" i="123"/>
  <c r="M50" i="123"/>
  <c r="N54" i="127"/>
  <c r="M54" i="127"/>
  <c r="L54" i="127"/>
  <c r="N64" i="125"/>
  <c r="L64" i="125"/>
  <c r="M64" i="125"/>
  <c r="M58" i="126"/>
  <c r="N58" i="126"/>
  <c r="L58" i="126"/>
  <c r="L35" i="123"/>
  <c r="M35" i="123"/>
  <c r="N35" i="123"/>
  <c r="M46" i="126"/>
  <c r="L46" i="126"/>
  <c r="N46" i="126"/>
  <c r="L45" i="127"/>
  <c r="N45" i="127"/>
  <c r="M45" i="127"/>
  <c r="P50" i="126"/>
  <c r="O50" i="126"/>
  <c r="K50" i="126"/>
  <c r="Q50" i="126"/>
  <c r="P62" i="123"/>
  <c r="Q62" i="123"/>
  <c r="O62" i="123"/>
  <c r="K62" i="123"/>
  <c r="M41" i="123"/>
  <c r="L41" i="123"/>
  <c r="N41" i="123"/>
  <c r="P34" i="126"/>
  <c r="Q34" i="126"/>
  <c r="O34" i="126"/>
  <c r="K34" i="126"/>
  <c r="Q35" i="127"/>
  <c r="K35" i="127"/>
  <c r="P35" i="127"/>
  <c r="O35" i="127"/>
  <c r="K41" i="126"/>
  <c r="P41" i="126"/>
  <c r="O41" i="126"/>
  <c r="Q41" i="126"/>
  <c r="O41" i="122"/>
  <c r="K41" i="122"/>
  <c r="Q41" i="122"/>
  <c r="P41" i="122"/>
  <c r="O55" i="127"/>
  <c r="P55" i="127"/>
  <c r="Q55" i="127"/>
  <c r="K55" i="127"/>
  <c r="K40" i="126"/>
  <c r="Q40" i="126"/>
  <c r="O40" i="126"/>
  <c r="P40" i="126"/>
  <c r="O38" i="126"/>
  <c r="K38" i="126"/>
  <c r="Q38" i="126"/>
  <c r="P38" i="126"/>
  <c r="Q58" i="124"/>
  <c r="K58" i="124"/>
  <c r="O58" i="124"/>
  <c r="P58" i="124"/>
  <c r="O61" i="127"/>
  <c r="K61" i="127"/>
  <c r="P61" i="127"/>
  <c r="Q61" i="127"/>
  <c r="O60" i="124"/>
  <c r="K60" i="124"/>
  <c r="P60" i="124"/>
  <c r="Q60" i="124"/>
  <c r="L49" i="127"/>
  <c r="M49" i="127"/>
  <c r="N49" i="127"/>
  <c r="O57" i="125"/>
  <c r="Q57" i="125"/>
  <c r="P57" i="125"/>
  <c r="K57" i="125"/>
  <c r="P51" i="122"/>
  <c r="O51" i="122"/>
  <c r="Q51" i="122"/>
  <c r="K51" i="122"/>
  <c r="M36" i="126"/>
  <c r="L36" i="126"/>
  <c r="N36" i="126"/>
  <c r="L38" i="126"/>
  <c r="N38" i="126"/>
  <c r="M38" i="126"/>
  <c r="Q60" i="127"/>
  <c r="K60" i="127"/>
  <c r="P60" i="127"/>
  <c r="O60" i="127"/>
  <c r="P47" i="122"/>
  <c r="Q47" i="122"/>
  <c r="K47" i="122"/>
  <c r="O47" i="122"/>
  <c r="P42" i="125"/>
  <c r="O42" i="125"/>
  <c r="Q42" i="125"/>
  <c r="K42" i="125"/>
  <c r="N65" i="125"/>
  <c r="M65" i="125"/>
  <c r="L65" i="125"/>
  <c r="K52" i="127"/>
  <c r="O52" i="127"/>
  <c r="Q52" i="127"/>
  <c r="P52" i="127"/>
  <c r="P47" i="127"/>
  <c r="K47" i="127"/>
  <c r="O47" i="127"/>
  <c r="Q47" i="127"/>
  <c r="N36" i="125"/>
  <c r="M36" i="125"/>
  <c r="L36" i="125"/>
  <c r="Q46" i="123"/>
  <c r="P46" i="123"/>
  <c r="K46" i="123"/>
  <c r="O46" i="123"/>
  <c r="K64" i="127"/>
  <c r="P64" i="127"/>
  <c r="O64" i="127"/>
  <c r="Q64" i="127"/>
  <c r="M55" i="123"/>
  <c r="N55" i="123"/>
  <c r="L55" i="123"/>
  <c r="Q32" i="124"/>
  <c r="K32" i="124"/>
  <c r="O32" i="124"/>
  <c r="P32" i="124"/>
  <c r="L39" i="126"/>
  <c r="M39" i="126"/>
  <c r="N39" i="126"/>
  <c r="L50" i="126"/>
  <c r="M50" i="126"/>
  <c r="N50" i="126"/>
  <c r="O33" i="126"/>
  <c r="Q33" i="126"/>
  <c r="P33" i="126"/>
  <c r="K33" i="126"/>
  <c r="M48" i="125"/>
  <c r="N48" i="125"/>
  <c r="L48" i="125"/>
  <c r="K62" i="125"/>
  <c r="P62" i="125"/>
  <c r="Q62" i="125"/>
  <c r="O62" i="125"/>
  <c r="N39" i="127"/>
  <c r="M39" i="127"/>
  <c r="L39" i="127"/>
  <c r="O38" i="122"/>
  <c r="K38" i="122"/>
  <c r="Q38" i="122"/>
  <c r="P38" i="122"/>
  <c r="K34" i="127"/>
  <c r="Q34" i="127"/>
  <c r="O34" i="127"/>
  <c r="P34" i="127"/>
  <c r="O66" i="123"/>
  <c r="K66" i="123"/>
  <c r="Q66" i="123"/>
  <c r="P66" i="123"/>
  <c r="M48" i="127"/>
  <c r="N48" i="127"/>
  <c r="L48" i="127"/>
  <c r="K65" i="122"/>
  <c r="Q65" i="122"/>
  <c r="P65" i="122"/>
  <c r="O65" i="122"/>
  <c r="P37" i="123"/>
  <c r="O37" i="123"/>
  <c r="K37" i="123"/>
  <c r="Q37" i="123"/>
  <c r="K32" i="127"/>
  <c r="Q32" i="127"/>
  <c r="P32" i="127"/>
  <c r="O32" i="127"/>
  <c r="K43" i="124"/>
  <c r="Q43" i="124"/>
  <c r="O43" i="124"/>
  <c r="P43" i="124"/>
  <c r="P59" i="126"/>
  <c r="O59" i="126"/>
  <c r="K59" i="126"/>
  <c r="Q59" i="126"/>
  <c r="O42" i="123"/>
  <c r="Q42" i="123"/>
  <c r="K42" i="123"/>
  <c r="P42" i="123"/>
  <c r="M35" i="127"/>
  <c r="N35" i="127"/>
  <c r="L35" i="127"/>
  <c r="N44" i="127"/>
  <c r="L44" i="127"/>
  <c r="M44" i="127"/>
  <c r="BM27" i="131"/>
  <c r="BL27" i="131"/>
  <c r="B27" i="131"/>
  <c r="BD27" i="131"/>
  <c r="BN27" i="131"/>
  <c r="C27" i="131"/>
  <c r="BE27" i="131"/>
  <c r="BC27" i="131"/>
  <c r="I82" i="131"/>
  <c r="S82" i="131"/>
  <c r="H82" i="131"/>
  <c r="M82" i="131"/>
  <c r="BC82" i="131"/>
  <c r="C82" i="131"/>
  <c r="BM82" i="131"/>
  <c r="BE82" i="131"/>
  <c r="AT82" i="131"/>
  <c r="P82" i="131"/>
  <c r="AB82" i="131"/>
  <c r="B82" i="131"/>
  <c r="BD82" i="131"/>
  <c r="N82" i="131"/>
  <c r="O82" i="131"/>
  <c r="BL82" i="131"/>
  <c r="E82" i="131"/>
  <c r="L82" i="131"/>
  <c r="AD82" i="131"/>
  <c r="G82" i="131"/>
  <c r="AV82" i="131"/>
  <c r="AC82" i="131"/>
  <c r="AU82" i="131"/>
  <c r="AK82" i="131"/>
  <c r="U82" i="131"/>
  <c r="AM82" i="131"/>
  <c r="F82" i="131"/>
  <c r="J82" i="131"/>
  <c r="Q82" i="131"/>
  <c r="AL82" i="131"/>
  <c r="BN82" i="131"/>
  <c r="T82" i="131"/>
  <c r="M71" i="131"/>
  <c r="BC71" i="131"/>
  <c r="I71" i="131"/>
  <c r="AT71" i="131"/>
  <c r="H71" i="131"/>
  <c r="AB71" i="131"/>
  <c r="S71" i="131"/>
  <c r="P71" i="131"/>
  <c r="J71" i="131"/>
  <c r="AU71" i="131"/>
  <c r="BE71" i="131"/>
  <c r="G71" i="131"/>
  <c r="F71" i="131"/>
  <c r="BL71" i="131"/>
  <c r="BD71" i="131"/>
  <c r="BN71" i="131"/>
  <c r="T71" i="131"/>
  <c r="BM71" i="131"/>
  <c r="B71" i="131"/>
  <c r="C71" i="131"/>
  <c r="AC71" i="131"/>
  <c r="AM71" i="131"/>
  <c r="E71" i="131"/>
  <c r="N71" i="131"/>
  <c r="O71" i="131"/>
  <c r="AL71" i="131"/>
  <c r="AD71" i="131"/>
  <c r="L71" i="131"/>
  <c r="AV71" i="131"/>
  <c r="U71" i="131"/>
  <c r="Q71" i="131"/>
  <c r="AK71" i="131"/>
  <c r="BL9" i="131"/>
  <c r="B9" i="131"/>
  <c r="BM9" i="131"/>
  <c r="BC9" i="131"/>
  <c r="BD9" i="131"/>
  <c r="BN9" i="131"/>
  <c r="BE9" i="131"/>
  <c r="C9" i="131"/>
  <c r="BM40" i="131"/>
  <c r="BN40" i="131"/>
  <c r="BC40" i="131"/>
  <c r="BL40" i="131"/>
  <c r="C40" i="131"/>
  <c r="BE40" i="131"/>
  <c r="BD40" i="131"/>
  <c r="B40" i="131"/>
  <c r="BL120" i="131"/>
  <c r="AC120" i="131"/>
  <c r="I120" i="131"/>
  <c r="N120" i="131"/>
  <c r="AV120" i="131"/>
  <c r="B120" i="131"/>
  <c r="H120" i="131"/>
  <c r="AU120" i="131"/>
  <c r="U120" i="131"/>
  <c r="BD120" i="131"/>
  <c r="M120" i="131"/>
  <c r="J120" i="131"/>
  <c r="AB120" i="131"/>
  <c r="AT120" i="131"/>
  <c r="P120" i="131"/>
  <c r="AM120" i="131"/>
  <c r="AD120" i="131"/>
  <c r="T120" i="131"/>
  <c r="E120" i="131"/>
  <c r="BM120" i="131"/>
  <c r="L120" i="131"/>
  <c r="G120" i="131"/>
  <c r="BE120" i="131"/>
  <c r="BN120" i="131"/>
  <c r="Q120" i="131"/>
  <c r="C120" i="131"/>
  <c r="S120" i="131"/>
  <c r="AL120" i="131"/>
  <c r="BC120" i="131"/>
  <c r="F120" i="131"/>
  <c r="O120" i="131"/>
  <c r="AK120" i="131"/>
  <c r="AI73" i="47"/>
  <c r="A253" i="61"/>
  <c r="AK73" i="47"/>
  <c r="AJ73" i="47"/>
  <c r="AK96" i="47"/>
  <c r="AI96" i="47"/>
  <c r="AJ96" i="47"/>
  <c r="A345" i="61"/>
  <c r="A257" i="61"/>
  <c r="AK74" i="47"/>
  <c r="AI74" i="47"/>
  <c r="AJ74" i="47"/>
  <c r="AI120" i="47"/>
  <c r="A441" i="61"/>
  <c r="AK120" i="47"/>
  <c r="AJ120" i="47"/>
  <c r="AJ69" i="47"/>
  <c r="AK69" i="47"/>
  <c r="AI69" i="47"/>
  <c r="A237" i="61"/>
  <c r="AJ93" i="47"/>
  <c r="A333" i="61"/>
  <c r="AI93" i="47"/>
  <c r="AK93" i="47"/>
  <c r="A317" i="61"/>
  <c r="AJ89" i="47"/>
  <c r="AK89" i="47"/>
  <c r="AI89" i="47"/>
  <c r="AI110" i="47"/>
  <c r="AJ110" i="47"/>
  <c r="A401" i="61"/>
  <c r="AK110" i="47"/>
  <c r="A413" i="61"/>
  <c r="AK113" i="47"/>
  <c r="AI113" i="47"/>
  <c r="AJ113" i="47"/>
  <c r="BD3" i="131"/>
  <c r="C3" i="131"/>
  <c r="BM3" i="131"/>
  <c r="BC3" i="131"/>
  <c r="B3" i="131"/>
  <c r="BE3" i="131"/>
  <c r="BL3" i="131"/>
  <c r="BN3" i="131"/>
  <c r="AI115" i="47"/>
  <c r="A421" i="61"/>
  <c r="AJ115" i="47"/>
  <c r="AK115" i="47"/>
  <c r="AI137" i="47"/>
  <c r="A509" i="61"/>
  <c r="AJ137" i="47"/>
  <c r="AK137" i="47"/>
  <c r="AI99" i="47"/>
  <c r="AK99" i="47"/>
  <c r="AJ99" i="47"/>
  <c r="A357" i="61"/>
  <c r="AI95" i="47"/>
  <c r="AJ95" i="47"/>
  <c r="A341" i="61"/>
  <c r="AK95" i="47"/>
  <c r="AI92" i="47"/>
  <c r="A329" i="61"/>
  <c r="AK92" i="47"/>
  <c r="AJ92" i="47"/>
  <c r="AJ112" i="47"/>
  <c r="AI112" i="47"/>
  <c r="AK112" i="47"/>
  <c r="A409" i="61"/>
  <c r="AI107" i="47"/>
  <c r="AK107" i="47"/>
  <c r="AJ107" i="47"/>
  <c r="A389" i="61"/>
  <c r="AJ87" i="47"/>
  <c r="AI87" i="47"/>
  <c r="A309" i="61"/>
  <c r="AK87" i="47"/>
  <c r="B17" i="131"/>
  <c r="BM17" i="131"/>
  <c r="BD17" i="131"/>
  <c r="BE17" i="131"/>
  <c r="BC17" i="131"/>
  <c r="BL17" i="131"/>
  <c r="BN17" i="131"/>
  <c r="C17" i="131"/>
  <c r="L79" i="131"/>
  <c r="BM79" i="131"/>
  <c r="P79" i="131"/>
  <c r="BC79" i="131"/>
  <c r="T79" i="131"/>
  <c r="F79" i="131"/>
  <c r="AL79" i="131"/>
  <c r="AV79" i="131"/>
  <c r="M79" i="131"/>
  <c r="N79" i="131"/>
  <c r="U79" i="131"/>
  <c r="I79" i="131"/>
  <c r="O79" i="131"/>
  <c r="AU79" i="131"/>
  <c r="AD79" i="131"/>
  <c r="J79" i="131"/>
  <c r="C79" i="131"/>
  <c r="B79" i="131"/>
  <c r="E79" i="131"/>
  <c r="S79" i="131"/>
  <c r="Q79" i="131"/>
  <c r="AT79" i="131"/>
  <c r="H79" i="131"/>
  <c r="AC79" i="131"/>
  <c r="AK79" i="131"/>
  <c r="BL79" i="131"/>
  <c r="BN79" i="131"/>
  <c r="AM79" i="131"/>
  <c r="BD79" i="131"/>
  <c r="G79" i="131"/>
  <c r="AB79" i="131"/>
  <c r="BE79" i="131"/>
  <c r="BC57" i="131"/>
  <c r="B57" i="131"/>
  <c r="BE57" i="131"/>
  <c r="BM57" i="131"/>
  <c r="BL57" i="131"/>
  <c r="C57" i="131"/>
  <c r="BD57" i="131"/>
  <c r="BN57" i="131"/>
  <c r="BL117" i="131"/>
  <c r="BE117" i="131"/>
  <c r="E117" i="131"/>
  <c r="S117" i="131"/>
  <c r="C117" i="131"/>
  <c r="O117" i="131"/>
  <c r="P117" i="131"/>
  <c r="N117" i="131"/>
  <c r="I117" i="131"/>
  <c r="U117" i="131"/>
  <c r="AL117" i="131"/>
  <c r="AM117" i="131"/>
  <c r="G117" i="131"/>
  <c r="J117" i="131"/>
  <c r="AK117" i="131"/>
  <c r="Q117" i="131"/>
  <c r="T117" i="131"/>
  <c r="AU117" i="131"/>
  <c r="B117" i="131"/>
  <c r="AB117" i="131"/>
  <c r="AD117" i="131"/>
  <c r="M117" i="131"/>
  <c r="BC117" i="131"/>
  <c r="BD117" i="131"/>
  <c r="L117" i="131"/>
  <c r="AC117" i="131"/>
  <c r="H117" i="131"/>
  <c r="AT117" i="131"/>
  <c r="AV117" i="131"/>
  <c r="F117" i="131"/>
  <c r="BN117" i="131"/>
  <c r="BM117" i="131"/>
  <c r="Q112" i="131"/>
  <c r="AC112" i="131"/>
  <c r="B112" i="131"/>
  <c r="U112" i="131"/>
  <c r="J112" i="131"/>
  <c r="H112" i="131"/>
  <c r="BC112" i="131"/>
  <c r="F112" i="131"/>
  <c r="P112" i="131"/>
  <c r="AK112" i="131"/>
  <c r="T112" i="131"/>
  <c r="BE112" i="131"/>
  <c r="BL112" i="131"/>
  <c r="AV112" i="131"/>
  <c r="AD112" i="131"/>
  <c r="O112" i="131"/>
  <c r="M112" i="131"/>
  <c r="BN112" i="131"/>
  <c r="L112" i="131"/>
  <c r="G112" i="131"/>
  <c r="E112" i="131"/>
  <c r="N112" i="131"/>
  <c r="AM112" i="131"/>
  <c r="AT112" i="131"/>
  <c r="AB112" i="131"/>
  <c r="BM112" i="131"/>
  <c r="BD112" i="131"/>
  <c r="C112" i="131"/>
  <c r="S112" i="131"/>
  <c r="AL112" i="131"/>
  <c r="I112" i="131"/>
  <c r="AU112" i="131"/>
  <c r="AT99" i="131"/>
  <c r="BC99" i="131"/>
  <c r="BL99" i="131"/>
  <c r="AL99" i="131"/>
  <c r="T99" i="131"/>
  <c r="BN99" i="131"/>
  <c r="O99" i="131"/>
  <c r="P99" i="131"/>
  <c r="U99" i="131"/>
  <c r="J99" i="131"/>
  <c r="AK99" i="131"/>
  <c r="G99" i="131"/>
  <c r="E99" i="131"/>
  <c r="BM99" i="131"/>
  <c r="C99" i="131"/>
  <c r="Q99" i="131"/>
  <c r="F99" i="131"/>
  <c r="N99" i="131"/>
  <c r="AB99" i="131"/>
  <c r="L99" i="131"/>
  <c r="AC99" i="131"/>
  <c r="AM99" i="131"/>
  <c r="BD99" i="131"/>
  <c r="I99" i="131"/>
  <c r="S99" i="131"/>
  <c r="M99" i="131"/>
  <c r="B99" i="131"/>
  <c r="H99" i="131"/>
  <c r="AD99" i="131"/>
  <c r="BE99" i="131"/>
  <c r="AU99" i="131"/>
  <c r="AV99" i="131"/>
  <c r="AV100" i="131"/>
  <c r="F100" i="131"/>
  <c r="B100" i="131"/>
  <c r="E100" i="131"/>
  <c r="BL100" i="131"/>
  <c r="AT100" i="131"/>
  <c r="BE100" i="131"/>
  <c r="AB100" i="131"/>
  <c r="AK100" i="131"/>
  <c r="T100" i="131"/>
  <c r="BN100" i="131"/>
  <c r="I100" i="131"/>
  <c r="S100" i="131"/>
  <c r="C100" i="131"/>
  <c r="U100" i="131"/>
  <c r="BC100" i="131"/>
  <c r="AU100" i="131"/>
  <c r="G100" i="131"/>
  <c r="J100" i="131"/>
  <c r="M100" i="131"/>
  <c r="BD100" i="131"/>
  <c r="L100" i="131"/>
  <c r="N100" i="131"/>
  <c r="Q100" i="131"/>
  <c r="P100" i="131"/>
  <c r="AC100" i="131"/>
  <c r="O100" i="131"/>
  <c r="AD100" i="131"/>
  <c r="AM100" i="131"/>
  <c r="BM100" i="131"/>
  <c r="AL100" i="131"/>
  <c r="H100" i="131"/>
  <c r="BE19" i="131"/>
  <c r="BD19" i="131"/>
  <c r="BM19" i="131"/>
  <c r="C19" i="131"/>
  <c r="B19" i="131"/>
  <c r="BL19" i="131"/>
  <c r="BN19" i="131"/>
  <c r="BC19" i="131"/>
  <c r="AB130" i="131"/>
  <c r="BE130" i="131"/>
  <c r="BN130" i="131"/>
  <c r="AK130" i="131"/>
  <c r="S130" i="131"/>
  <c r="AU130" i="131"/>
  <c r="O130" i="131"/>
  <c r="N130" i="131"/>
  <c r="G130" i="131"/>
  <c r="AC130" i="131"/>
  <c r="C130" i="131"/>
  <c r="Q130" i="131"/>
  <c r="BM130" i="131"/>
  <c r="BC130" i="131"/>
  <c r="I130" i="131"/>
  <c r="P130" i="131"/>
  <c r="BL130" i="131"/>
  <c r="J130" i="131"/>
  <c r="AM130" i="131"/>
  <c r="T130" i="131"/>
  <c r="U130" i="131"/>
  <c r="F130" i="131"/>
  <c r="E130" i="131"/>
  <c r="AV130" i="131"/>
  <c r="AT130" i="131"/>
  <c r="H130" i="131"/>
  <c r="M130" i="131"/>
  <c r="AD130" i="131"/>
  <c r="B130" i="131"/>
  <c r="AL130" i="131"/>
  <c r="BD130" i="131"/>
  <c r="L130" i="131"/>
  <c r="C51" i="131"/>
  <c r="BC51" i="131"/>
  <c r="BN51" i="131"/>
  <c r="BL51" i="131"/>
  <c r="B51" i="131"/>
  <c r="BD51" i="131"/>
  <c r="BM51" i="131"/>
  <c r="BE51" i="131"/>
  <c r="BC22" i="131"/>
  <c r="BM22" i="131"/>
  <c r="BN22" i="131"/>
  <c r="BE22" i="131"/>
  <c r="BL22" i="131"/>
  <c r="BD22" i="131"/>
  <c r="B22" i="131"/>
  <c r="C22" i="131"/>
  <c r="U93" i="131"/>
  <c r="AV93" i="131"/>
  <c r="T93" i="131"/>
  <c r="BL93" i="131"/>
  <c r="J93" i="131"/>
  <c r="O93" i="131"/>
  <c r="F93" i="131"/>
  <c r="Q93" i="131"/>
  <c r="BC93" i="131"/>
  <c r="E93" i="131"/>
  <c r="G93" i="131"/>
  <c r="AM93" i="131"/>
  <c r="AU93" i="131"/>
  <c r="P93" i="131"/>
  <c r="AL93" i="131"/>
  <c r="AB93" i="131"/>
  <c r="C93" i="131"/>
  <c r="BE93" i="131"/>
  <c r="AC93" i="131"/>
  <c r="M93" i="131"/>
  <c r="BN93" i="131"/>
  <c r="S93" i="131"/>
  <c r="B93" i="131"/>
  <c r="I93" i="131"/>
  <c r="L93" i="131"/>
  <c r="AD93" i="131"/>
  <c r="H93" i="131"/>
  <c r="N93" i="131"/>
  <c r="BD93" i="131"/>
  <c r="BM93" i="131"/>
  <c r="AT93" i="131"/>
  <c r="AK93" i="131"/>
  <c r="Q73" i="131"/>
  <c r="AV73" i="131"/>
  <c r="BN73" i="131"/>
  <c r="E73" i="131"/>
  <c r="BL73" i="131"/>
  <c r="AM73" i="131"/>
  <c r="AL73" i="131"/>
  <c r="M73" i="131"/>
  <c r="AK73" i="131"/>
  <c r="BM73" i="131"/>
  <c r="C73" i="131"/>
  <c r="G73" i="131"/>
  <c r="I73" i="131"/>
  <c r="L73" i="131"/>
  <c r="O73" i="131"/>
  <c r="AT73" i="131"/>
  <c r="N73" i="131"/>
  <c r="T73" i="131"/>
  <c r="B73" i="131"/>
  <c r="BC73" i="131"/>
  <c r="BD73" i="131"/>
  <c r="U73" i="131"/>
  <c r="F73" i="131"/>
  <c r="J73" i="131"/>
  <c r="AC73" i="131"/>
  <c r="S73" i="131"/>
  <c r="P73" i="131"/>
  <c r="H73" i="131"/>
  <c r="AU73" i="131"/>
  <c r="AB73" i="131"/>
  <c r="BE73" i="131"/>
  <c r="AD73" i="131"/>
  <c r="J108" i="131"/>
  <c r="P108" i="131"/>
  <c r="AV108" i="131"/>
  <c r="BC108" i="131"/>
  <c r="S108" i="131"/>
  <c r="G108" i="131"/>
  <c r="F108" i="131"/>
  <c r="AU108" i="131"/>
  <c r="AC108" i="131"/>
  <c r="BM108" i="131"/>
  <c r="U108" i="131"/>
  <c r="AL108" i="131"/>
  <c r="T108" i="131"/>
  <c r="BN108" i="131"/>
  <c r="AK108" i="131"/>
  <c r="O108" i="131"/>
  <c r="BL108" i="131"/>
  <c r="L108" i="131"/>
  <c r="AM108" i="131"/>
  <c r="I108" i="131"/>
  <c r="M108" i="131"/>
  <c r="H108" i="131"/>
  <c r="AB108" i="131"/>
  <c r="BE108" i="131"/>
  <c r="Q108" i="131"/>
  <c r="B108" i="131"/>
  <c r="AT108" i="131"/>
  <c r="E108" i="131"/>
  <c r="AD108" i="131"/>
  <c r="C108" i="131"/>
  <c r="N108" i="131"/>
  <c r="BD108" i="131"/>
  <c r="J60" i="131"/>
  <c r="G60" i="131"/>
  <c r="H60" i="131"/>
  <c r="AM60" i="131"/>
  <c r="P60" i="131"/>
  <c r="E60" i="131"/>
  <c r="BE60" i="131"/>
  <c r="U60" i="131"/>
  <c r="AV60" i="131"/>
  <c r="BD60" i="131"/>
  <c r="BN60" i="131"/>
  <c r="AL60" i="131"/>
  <c r="M60" i="131"/>
  <c r="AK60" i="131"/>
  <c r="AT60" i="131"/>
  <c r="BM60" i="131"/>
  <c r="L60" i="131"/>
  <c r="O60" i="131"/>
  <c r="AB60" i="131"/>
  <c r="AU60" i="131"/>
  <c r="AC60" i="131"/>
  <c r="B60" i="131"/>
  <c r="C60" i="131"/>
  <c r="T60" i="131"/>
  <c r="BL60" i="131"/>
  <c r="N60" i="131"/>
  <c r="BC60" i="131"/>
  <c r="I60" i="131"/>
  <c r="S60" i="131"/>
  <c r="F60" i="131"/>
  <c r="AD60" i="131"/>
  <c r="Q60" i="131"/>
  <c r="H113" i="131"/>
  <c r="N113" i="131"/>
  <c r="AL113" i="131"/>
  <c r="C113" i="131"/>
  <c r="AB113" i="131"/>
  <c r="BN113" i="131"/>
  <c r="B113" i="131"/>
  <c r="U113" i="131"/>
  <c r="S113" i="131"/>
  <c r="BL113" i="131"/>
  <c r="E113" i="131"/>
  <c r="AC113" i="131"/>
  <c r="F113" i="131"/>
  <c r="AU113" i="131"/>
  <c r="G113" i="131"/>
  <c r="P113" i="131"/>
  <c r="Q113" i="131"/>
  <c r="AT113" i="131"/>
  <c r="BM113" i="131"/>
  <c r="BE113" i="131"/>
  <c r="AM113" i="131"/>
  <c r="I113" i="131"/>
  <c r="BC113" i="131"/>
  <c r="AV113" i="131"/>
  <c r="M113" i="131"/>
  <c r="AK113" i="131"/>
  <c r="BD113" i="131"/>
  <c r="O113" i="131"/>
  <c r="AD113" i="131"/>
  <c r="J113" i="131"/>
  <c r="T113" i="131"/>
  <c r="L113" i="131"/>
  <c r="BM125" i="131"/>
  <c r="B125" i="131"/>
  <c r="N125" i="131"/>
  <c r="BE125" i="131"/>
  <c r="BC125" i="131"/>
  <c r="P125" i="131"/>
  <c r="BN125" i="131"/>
  <c r="AU125" i="131"/>
  <c r="H125" i="131"/>
  <c r="M125" i="131"/>
  <c r="BL125" i="131"/>
  <c r="AV125" i="131"/>
  <c r="AC125" i="131"/>
  <c r="U125" i="131"/>
  <c r="J125" i="131"/>
  <c r="AL125" i="131"/>
  <c r="BD125" i="131"/>
  <c r="T125" i="131"/>
  <c r="E125" i="131"/>
  <c r="AM125" i="131"/>
  <c r="AB125" i="131"/>
  <c r="S125" i="131"/>
  <c r="F125" i="131"/>
  <c r="L125" i="131"/>
  <c r="C125" i="131"/>
  <c r="I125" i="131"/>
  <c r="O125" i="131"/>
  <c r="G125" i="131"/>
  <c r="AD125" i="131"/>
  <c r="AK125" i="131"/>
  <c r="Q125" i="131"/>
  <c r="AT125" i="131"/>
  <c r="AT121" i="131"/>
  <c r="U121" i="131"/>
  <c r="BD121" i="131"/>
  <c r="BL121" i="131"/>
  <c r="AL121" i="131"/>
  <c r="B121" i="131"/>
  <c r="AV121" i="131"/>
  <c r="AM121" i="131"/>
  <c r="AU121" i="131"/>
  <c r="BN121" i="131"/>
  <c r="F121" i="131"/>
  <c r="BM121" i="131"/>
  <c r="T121" i="131"/>
  <c r="I121" i="131"/>
  <c r="L121" i="131"/>
  <c r="E121" i="131"/>
  <c r="Q121" i="131"/>
  <c r="BE121" i="131"/>
  <c r="O121" i="131"/>
  <c r="AB121" i="131"/>
  <c r="H121" i="131"/>
  <c r="AD121" i="131"/>
  <c r="C121" i="131"/>
  <c r="S121" i="131"/>
  <c r="P121" i="131"/>
  <c r="N121" i="131"/>
  <c r="J121" i="131"/>
  <c r="BC121" i="131"/>
  <c r="G121" i="131"/>
  <c r="AK121" i="131"/>
  <c r="M121" i="131"/>
  <c r="AC121" i="131"/>
  <c r="U101" i="131"/>
  <c r="N101" i="131"/>
  <c r="AB101" i="131"/>
  <c r="BL101" i="131"/>
  <c r="O101" i="131"/>
  <c r="L101" i="131"/>
  <c r="AC101" i="131"/>
  <c r="I101" i="131"/>
  <c r="BN101" i="131"/>
  <c r="S101" i="131"/>
  <c r="BE101" i="131"/>
  <c r="F101" i="131"/>
  <c r="P101" i="131"/>
  <c r="C101" i="131"/>
  <c r="BC101" i="131"/>
  <c r="H101" i="131"/>
  <c r="BM101" i="131"/>
  <c r="AT101" i="131"/>
  <c r="G101" i="131"/>
  <c r="BD101" i="131"/>
  <c r="AU101" i="131"/>
  <c r="AV101" i="131"/>
  <c r="M101" i="131"/>
  <c r="AM101" i="131"/>
  <c r="J101" i="131"/>
  <c r="AK101" i="131"/>
  <c r="T101" i="131"/>
  <c r="B101" i="131"/>
  <c r="E101" i="131"/>
  <c r="AD101" i="131"/>
  <c r="Q101" i="131"/>
  <c r="AL101" i="131"/>
  <c r="BC18" i="131"/>
  <c r="BE18" i="131"/>
  <c r="BM18" i="131"/>
  <c r="BN18" i="131"/>
  <c r="BL18" i="131"/>
  <c r="BD18" i="131"/>
  <c r="B18" i="131"/>
  <c r="C18" i="131"/>
  <c r="I86" i="131"/>
  <c r="AK86" i="131"/>
  <c r="BL86" i="131"/>
  <c r="M86" i="131"/>
  <c r="G86" i="131"/>
  <c r="AU86" i="131"/>
  <c r="S86" i="131"/>
  <c r="L86" i="131"/>
  <c r="AL86" i="131"/>
  <c r="Q86" i="131"/>
  <c r="BM86" i="131"/>
  <c r="H86" i="131"/>
  <c r="BC86" i="131"/>
  <c r="AB86" i="131"/>
  <c r="AC86" i="131"/>
  <c r="O86" i="131"/>
  <c r="BE86" i="131"/>
  <c r="BD86" i="131"/>
  <c r="J86" i="131"/>
  <c r="AT86" i="131"/>
  <c r="P86" i="131"/>
  <c r="BN86" i="131"/>
  <c r="C86" i="131"/>
  <c r="T86" i="131"/>
  <c r="AM86" i="131"/>
  <c r="N86" i="131"/>
  <c r="B86" i="131"/>
  <c r="F86" i="131"/>
  <c r="U86" i="131"/>
  <c r="AD86" i="131"/>
  <c r="E86" i="131"/>
  <c r="AV86" i="131"/>
  <c r="BL52" i="131"/>
  <c r="BM52" i="131"/>
  <c r="BE52" i="131"/>
  <c r="BN52" i="131"/>
  <c r="BD52" i="131"/>
  <c r="B52" i="131"/>
  <c r="BC52" i="131"/>
  <c r="C52" i="131"/>
  <c r="BL78" i="131"/>
  <c r="AD78" i="131"/>
  <c r="T78" i="131"/>
  <c r="B78" i="131"/>
  <c r="BM78" i="131"/>
  <c r="E78" i="131"/>
  <c r="BC78" i="131"/>
  <c r="Q78" i="131"/>
  <c r="AC78" i="131"/>
  <c r="AK78" i="131"/>
  <c r="C78" i="131"/>
  <c r="AT78" i="131"/>
  <c r="BN78" i="131"/>
  <c r="AU78" i="131"/>
  <c r="AB78" i="131"/>
  <c r="S78" i="131"/>
  <c r="BD78" i="131"/>
  <c r="AM78" i="131"/>
  <c r="AL78" i="131"/>
  <c r="P78" i="131"/>
  <c r="L78" i="131"/>
  <c r="M78" i="131"/>
  <c r="G78" i="131"/>
  <c r="AV78" i="131"/>
  <c r="I78" i="131"/>
  <c r="H78" i="131"/>
  <c r="F78" i="131"/>
  <c r="O78" i="131"/>
  <c r="BE78" i="131"/>
  <c r="N78" i="131"/>
  <c r="J78" i="131"/>
  <c r="U78" i="131"/>
  <c r="F41" i="115" l="1"/>
  <c r="F44" i="115"/>
  <c r="F38" i="115"/>
  <c r="F49" i="115"/>
  <c r="F66" i="115"/>
  <c r="F54" i="115"/>
  <c r="F51" i="115"/>
  <c r="F33" i="115"/>
  <c r="F64" i="115"/>
  <c r="F47" i="115"/>
  <c r="F56" i="115"/>
  <c r="F62" i="115"/>
  <c r="F53" i="115"/>
  <c r="F63" i="115"/>
  <c r="F61" i="115"/>
  <c r="F40" i="115"/>
  <c r="F48" i="115"/>
  <c r="F37" i="115"/>
  <c r="F43" i="115"/>
  <c r="F46" i="115"/>
  <c r="F36" i="115"/>
  <c r="F42" i="115"/>
  <c r="F32" i="115"/>
  <c r="F50" i="115"/>
  <c r="F55" i="115"/>
  <c r="F60" i="115"/>
  <c r="F57" i="115"/>
  <c r="F59" i="115"/>
  <c r="F58" i="115"/>
  <c r="F45" i="115"/>
  <c r="F52" i="115"/>
  <c r="F65" i="115"/>
  <c r="F39" i="115"/>
  <c r="F35" i="115"/>
  <c r="G421" i="61"/>
  <c r="H421" i="61"/>
  <c r="I421" i="61"/>
  <c r="H317" i="61"/>
  <c r="G317" i="61"/>
  <c r="I317" i="61"/>
  <c r="H497" i="61"/>
  <c r="G497" i="61"/>
  <c r="I497" i="61"/>
  <c r="AY4" i="47"/>
  <c r="AX9" i="47"/>
  <c r="I305" i="61"/>
  <c r="H305" i="61"/>
  <c r="G305" i="61"/>
  <c r="H233" i="61"/>
  <c r="G233" i="61"/>
  <c r="I233" i="61"/>
  <c r="I365" i="61"/>
  <c r="H365" i="61"/>
  <c r="G365" i="61"/>
  <c r="G337" i="61"/>
  <c r="H337" i="61"/>
  <c r="I337" i="61"/>
  <c r="H489" i="61"/>
  <c r="G489" i="61"/>
  <c r="I489" i="61"/>
  <c r="H405" i="61"/>
  <c r="I405" i="61"/>
  <c r="G405" i="61"/>
  <c r="G449" i="61"/>
  <c r="I449" i="61"/>
  <c r="H449" i="61"/>
  <c r="H377" i="61"/>
  <c r="I377" i="61"/>
  <c r="G377" i="61"/>
  <c r="B66" i="115"/>
  <c r="D5" i="120" s="1"/>
  <c r="B61" i="115"/>
  <c r="D96" i="120" s="1"/>
  <c r="B64" i="115"/>
  <c r="D69" i="120" s="1"/>
  <c r="B65" i="115"/>
  <c r="D128" i="120" s="1"/>
  <c r="B63" i="115"/>
  <c r="D64" i="120" s="1"/>
  <c r="B62" i="115"/>
  <c r="D37" i="120" s="1"/>
  <c r="I477" i="61"/>
  <c r="H477" i="61"/>
  <c r="G477" i="61"/>
  <c r="I505" i="61"/>
  <c r="H505" i="61"/>
  <c r="G505" i="61"/>
  <c r="I265" i="61"/>
  <c r="G265" i="61"/>
  <c r="H265" i="61"/>
  <c r="Q7" i="126"/>
  <c r="K7" i="126"/>
  <c r="P7" i="126"/>
  <c r="O7" i="126"/>
  <c r="N3" i="124"/>
  <c r="L3" i="124"/>
  <c r="M3" i="124"/>
  <c r="K4" i="127"/>
  <c r="O4" i="127"/>
  <c r="Q4" i="127"/>
  <c r="P4" i="127"/>
  <c r="K17" i="122"/>
  <c r="P17" i="122"/>
  <c r="Q17" i="122"/>
  <c r="O17" i="122"/>
  <c r="Q18" i="125"/>
  <c r="O18" i="125"/>
  <c r="P18" i="125"/>
  <c r="K18" i="125"/>
  <c r="L9" i="127"/>
  <c r="N9" i="127"/>
  <c r="M9" i="127"/>
  <c r="O15" i="123"/>
  <c r="K15" i="123"/>
  <c r="P15" i="123"/>
  <c r="Q15" i="123"/>
  <c r="N26" i="123"/>
  <c r="M26" i="123"/>
  <c r="L26" i="123"/>
  <c r="O12" i="127"/>
  <c r="P12" i="127"/>
  <c r="K12" i="127"/>
  <c r="Q12" i="127"/>
  <c r="M9" i="124"/>
  <c r="N9" i="124"/>
  <c r="L9" i="124"/>
  <c r="L30" i="123"/>
  <c r="M30" i="123"/>
  <c r="N30" i="123"/>
  <c r="M18" i="126"/>
  <c r="L18" i="126"/>
  <c r="N18" i="126"/>
  <c r="O16" i="124"/>
  <c r="P16" i="124"/>
  <c r="Q16" i="124"/>
  <c r="K16" i="124"/>
  <c r="P6" i="124"/>
  <c r="Q6" i="124"/>
  <c r="O6" i="124"/>
  <c r="K6" i="124"/>
  <c r="N28" i="124"/>
  <c r="M28" i="124"/>
  <c r="L28" i="124"/>
  <c r="M15" i="124"/>
  <c r="N15" i="124"/>
  <c r="L15" i="124"/>
  <c r="O12" i="126"/>
  <c r="K12" i="126"/>
  <c r="P12" i="126"/>
  <c r="Q12" i="126"/>
  <c r="M5" i="123"/>
  <c r="N5" i="123"/>
  <c r="L5" i="123"/>
  <c r="O15" i="126"/>
  <c r="Q15" i="126"/>
  <c r="P15" i="126"/>
  <c r="K15" i="126"/>
  <c r="M6" i="123"/>
  <c r="N6" i="123"/>
  <c r="L6" i="123"/>
  <c r="L20" i="122"/>
  <c r="N20" i="122"/>
  <c r="M20" i="122"/>
  <c r="M17" i="122"/>
  <c r="N17" i="122"/>
  <c r="L17" i="122"/>
  <c r="N6" i="126"/>
  <c r="L6" i="126"/>
  <c r="M6" i="126"/>
  <c r="N16" i="123"/>
  <c r="M16" i="123"/>
  <c r="L16" i="123"/>
  <c r="N22" i="122"/>
  <c r="L22" i="122"/>
  <c r="M22" i="122"/>
  <c r="L6" i="124"/>
  <c r="M6" i="124"/>
  <c r="N6" i="124"/>
  <c r="L13" i="122"/>
  <c r="M13" i="122"/>
  <c r="N13" i="122"/>
  <c r="P18" i="127"/>
  <c r="K18" i="127"/>
  <c r="Q18" i="127"/>
  <c r="O18" i="127"/>
  <c r="Q10" i="126"/>
  <c r="K10" i="126"/>
  <c r="P10" i="126"/>
  <c r="O10" i="126"/>
  <c r="M16" i="126"/>
  <c r="L16" i="126"/>
  <c r="N16" i="126"/>
  <c r="O18" i="124"/>
  <c r="Q18" i="124"/>
  <c r="K18" i="124"/>
  <c r="P18" i="124"/>
  <c r="N8" i="126"/>
  <c r="M8" i="126"/>
  <c r="L8" i="126"/>
  <c r="L13" i="127"/>
  <c r="N13" i="127"/>
  <c r="M13" i="127"/>
  <c r="P13" i="124"/>
  <c r="K13" i="124"/>
  <c r="Q13" i="124"/>
  <c r="O13" i="124"/>
  <c r="P12" i="123"/>
  <c r="K12" i="123"/>
  <c r="Q12" i="123"/>
  <c r="O12" i="123"/>
  <c r="M28" i="125"/>
  <c r="L28" i="125"/>
  <c r="N28" i="125"/>
  <c r="O28" i="127"/>
  <c r="P28" i="127"/>
  <c r="K28" i="127"/>
  <c r="Q28" i="127"/>
  <c r="N15" i="125"/>
  <c r="M15" i="125"/>
  <c r="L15" i="125"/>
  <c r="L11" i="126"/>
  <c r="N11" i="126"/>
  <c r="M11" i="126"/>
  <c r="M10" i="125"/>
  <c r="N10" i="125"/>
  <c r="L10" i="125"/>
  <c r="P11" i="126"/>
  <c r="Q11" i="126"/>
  <c r="K11" i="126"/>
  <c r="O11" i="126"/>
  <c r="Q26" i="127"/>
  <c r="P26" i="127"/>
  <c r="O26" i="127"/>
  <c r="K26" i="127"/>
  <c r="K28" i="125"/>
  <c r="O28" i="125"/>
  <c r="Q28" i="125"/>
  <c r="P28" i="125"/>
  <c r="O28" i="123"/>
  <c r="P28" i="123"/>
  <c r="Q28" i="123"/>
  <c r="K28" i="123"/>
  <c r="N19" i="123"/>
  <c r="L19" i="123"/>
  <c r="M19" i="123"/>
  <c r="P5" i="124"/>
  <c r="K5" i="124"/>
  <c r="O5" i="124"/>
  <c r="Q5" i="124"/>
  <c r="M10" i="123"/>
  <c r="L10" i="123"/>
  <c r="N10" i="123"/>
  <c r="L19" i="124"/>
  <c r="N19" i="124"/>
  <c r="M19" i="124"/>
  <c r="M14" i="122"/>
  <c r="N14" i="122"/>
  <c r="L14" i="122"/>
  <c r="N9" i="123"/>
  <c r="L9" i="123"/>
  <c r="M9" i="123"/>
  <c r="N6" i="127"/>
  <c r="M6" i="127"/>
  <c r="L6" i="127"/>
  <c r="O6" i="123"/>
  <c r="K6" i="123"/>
  <c r="Q6" i="123"/>
  <c r="P6" i="123"/>
  <c r="M6" i="122"/>
  <c r="N6" i="122"/>
  <c r="L6" i="122"/>
  <c r="N11" i="124"/>
  <c r="M11" i="124"/>
  <c r="L11" i="124"/>
  <c r="O29" i="122"/>
  <c r="P29" i="122"/>
  <c r="Q29" i="122"/>
  <c r="K29" i="122"/>
  <c r="P24" i="127"/>
  <c r="K24" i="127"/>
  <c r="O24" i="127"/>
  <c r="Q24" i="127"/>
  <c r="M22" i="123"/>
  <c r="N22" i="123"/>
  <c r="L22" i="123"/>
  <c r="N19" i="126"/>
  <c r="M19" i="126"/>
  <c r="L19" i="126"/>
  <c r="Q14" i="126"/>
  <c r="O14" i="126"/>
  <c r="P14" i="126"/>
  <c r="K14" i="126"/>
  <c r="M31" i="125"/>
  <c r="N31" i="125"/>
  <c r="L31" i="125"/>
  <c r="P11" i="123"/>
  <c r="Q11" i="123"/>
  <c r="K11" i="123"/>
  <c r="O11" i="123"/>
  <c r="O29" i="126"/>
  <c r="P29" i="126"/>
  <c r="K29" i="126"/>
  <c r="Q29" i="126"/>
  <c r="L8" i="122"/>
  <c r="N8" i="122"/>
  <c r="M8" i="122"/>
  <c r="O19" i="127"/>
  <c r="P19" i="127"/>
  <c r="K19" i="127"/>
  <c r="Q19" i="127"/>
  <c r="P22" i="123"/>
  <c r="K22" i="123"/>
  <c r="O22" i="123"/>
  <c r="Q22" i="123"/>
  <c r="Q13" i="127"/>
  <c r="O13" i="127"/>
  <c r="K13" i="127"/>
  <c r="P13" i="127"/>
  <c r="M8" i="125"/>
  <c r="L8" i="125"/>
  <c r="N8" i="125"/>
  <c r="Q6" i="122"/>
  <c r="K6" i="122"/>
  <c r="O6" i="122"/>
  <c r="P6" i="122"/>
  <c r="M15" i="126"/>
  <c r="N15" i="126"/>
  <c r="L15" i="126"/>
  <c r="M12" i="124"/>
  <c r="N12" i="124"/>
  <c r="L12" i="124"/>
  <c r="Q26" i="124"/>
  <c r="P26" i="124"/>
  <c r="K26" i="124"/>
  <c r="O26" i="124"/>
  <c r="P17" i="125"/>
  <c r="K17" i="125"/>
  <c r="Q17" i="125"/>
  <c r="O17" i="125"/>
  <c r="P31" i="126"/>
  <c r="Q31" i="126"/>
  <c r="O31" i="126"/>
  <c r="K31" i="126"/>
  <c r="L23" i="125"/>
  <c r="N23" i="125"/>
  <c r="M23" i="125"/>
  <c r="K18" i="123"/>
  <c r="Q18" i="123"/>
  <c r="P18" i="123"/>
  <c r="O18" i="123"/>
  <c r="L27" i="125"/>
  <c r="N27" i="125"/>
  <c r="M27" i="125"/>
  <c r="L12" i="126"/>
  <c r="M12" i="126"/>
  <c r="N12" i="126"/>
  <c r="M21" i="122"/>
  <c r="L21" i="122"/>
  <c r="N21" i="122"/>
  <c r="N21" i="124"/>
  <c r="M21" i="124"/>
  <c r="L21" i="124"/>
  <c r="Q8" i="126"/>
  <c r="K8" i="126"/>
  <c r="P8" i="126"/>
  <c r="O8" i="126"/>
  <c r="M3" i="125"/>
  <c r="L3" i="125"/>
  <c r="N3" i="125"/>
  <c r="L10" i="127"/>
  <c r="M10" i="127"/>
  <c r="N10" i="127"/>
  <c r="M26" i="126"/>
  <c r="N26" i="126"/>
  <c r="L26" i="126"/>
  <c r="M4" i="125"/>
  <c r="N4" i="125"/>
  <c r="L4" i="125"/>
  <c r="P21" i="125"/>
  <c r="K21" i="125"/>
  <c r="O21" i="125"/>
  <c r="Q21" i="125"/>
  <c r="M6" i="125"/>
  <c r="N6" i="125"/>
  <c r="L6" i="125"/>
  <c r="G389" i="61"/>
  <c r="H389" i="61"/>
  <c r="I389" i="61"/>
  <c r="I409" i="61"/>
  <c r="H409" i="61"/>
  <c r="G409" i="61"/>
  <c r="G413" i="61"/>
  <c r="H413" i="61"/>
  <c r="I413" i="61"/>
  <c r="I345" i="61"/>
  <c r="G345" i="61"/>
  <c r="H345" i="61"/>
  <c r="H325" i="61"/>
  <c r="G325" i="61"/>
  <c r="I325" i="61"/>
  <c r="G249" i="61"/>
  <c r="I249" i="61"/>
  <c r="H249" i="61"/>
  <c r="I353" i="61"/>
  <c r="H353" i="61"/>
  <c r="G353" i="61"/>
  <c r="I417" i="61"/>
  <c r="G417" i="61"/>
  <c r="H417" i="61"/>
  <c r="G461" i="61"/>
  <c r="H461" i="61"/>
  <c r="I461" i="61"/>
  <c r="H425" i="61"/>
  <c r="I425" i="61"/>
  <c r="G425" i="61"/>
  <c r="I393" i="61"/>
  <c r="G393" i="61"/>
  <c r="H393" i="61"/>
  <c r="G469" i="61"/>
  <c r="H469" i="61"/>
  <c r="I469" i="61"/>
  <c r="G269" i="61"/>
  <c r="I269" i="61"/>
  <c r="H269" i="61"/>
  <c r="H453" i="61"/>
  <c r="I453" i="61"/>
  <c r="G453" i="61"/>
  <c r="H369" i="61"/>
  <c r="G369" i="61"/>
  <c r="I369" i="61"/>
  <c r="H261" i="61"/>
  <c r="G261" i="61"/>
  <c r="I261" i="61"/>
  <c r="H297" i="61"/>
  <c r="I297" i="61"/>
  <c r="G297" i="61"/>
  <c r="L20" i="124"/>
  <c r="N20" i="124"/>
  <c r="M20" i="124"/>
  <c r="O27" i="124"/>
  <c r="K27" i="124"/>
  <c r="P27" i="124"/>
  <c r="Q27" i="124"/>
  <c r="L12" i="123"/>
  <c r="N12" i="123"/>
  <c r="M12" i="123"/>
  <c r="N17" i="127"/>
  <c r="M17" i="127"/>
  <c r="L17" i="127"/>
  <c r="O31" i="125"/>
  <c r="Q31" i="125"/>
  <c r="P31" i="125"/>
  <c r="K31" i="125"/>
  <c r="L7" i="125"/>
  <c r="N7" i="125"/>
  <c r="M7" i="125"/>
  <c r="Q23" i="125"/>
  <c r="K23" i="125"/>
  <c r="P23" i="125"/>
  <c r="O23" i="125"/>
  <c r="M29" i="123"/>
  <c r="N29" i="123"/>
  <c r="L29" i="123"/>
  <c r="Q29" i="125"/>
  <c r="O29" i="125"/>
  <c r="P29" i="125"/>
  <c r="K29" i="125"/>
  <c r="Q15" i="122"/>
  <c r="O15" i="122"/>
  <c r="P15" i="122"/>
  <c r="K15" i="122"/>
  <c r="L21" i="127"/>
  <c r="M21" i="127"/>
  <c r="N21" i="127"/>
  <c r="L10" i="126"/>
  <c r="N10" i="126"/>
  <c r="M10" i="126"/>
  <c r="P4" i="126"/>
  <c r="K4" i="126"/>
  <c r="O4" i="126"/>
  <c r="Q4" i="126"/>
  <c r="O10" i="127"/>
  <c r="P10" i="127"/>
  <c r="Q10" i="127"/>
  <c r="K10" i="127"/>
  <c r="O31" i="123"/>
  <c r="P31" i="123"/>
  <c r="K31" i="123"/>
  <c r="Q31" i="123"/>
  <c r="L7" i="124"/>
  <c r="M7" i="124"/>
  <c r="N7" i="124"/>
  <c r="P5" i="125"/>
  <c r="K5" i="125"/>
  <c r="Q5" i="125"/>
  <c r="O5" i="125"/>
  <c r="M17" i="126"/>
  <c r="N17" i="126"/>
  <c r="L17" i="126"/>
  <c r="K31" i="122"/>
  <c r="O31" i="122"/>
  <c r="Q31" i="122"/>
  <c r="P31" i="122"/>
  <c r="P30" i="126"/>
  <c r="O30" i="126"/>
  <c r="Q30" i="126"/>
  <c r="K30" i="126"/>
  <c r="L27" i="127"/>
  <c r="M27" i="127"/>
  <c r="N27" i="127"/>
  <c r="L26" i="122"/>
  <c r="M26" i="122"/>
  <c r="N26" i="122"/>
  <c r="N29" i="122"/>
  <c r="L29" i="122"/>
  <c r="M29" i="122"/>
  <c r="M24" i="126"/>
  <c r="L24" i="126"/>
  <c r="N24" i="126"/>
  <c r="P17" i="127"/>
  <c r="O17" i="127"/>
  <c r="K17" i="127"/>
  <c r="Q17" i="127"/>
  <c r="P21" i="124"/>
  <c r="Q21" i="124"/>
  <c r="K21" i="124"/>
  <c r="O21" i="124"/>
  <c r="Q5" i="126"/>
  <c r="P5" i="126"/>
  <c r="K5" i="126"/>
  <c r="O5" i="126"/>
  <c r="L16" i="122"/>
  <c r="N16" i="122"/>
  <c r="M16" i="122"/>
  <c r="O30" i="125"/>
  <c r="P30" i="125"/>
  <c r="Q30" i="125"/>
  <c r="K30" i="125"/>
  <c r="N11" i="123"/>
  <c r="M11" i="123"/>
  <c r="L11" i="123"/>
  <c r="M24" i="127"/>
  <c r="N24" i="127"/>
  <c r="L24" i="127"/>
  <c r="P23" i="122"/>
  <c r="O23" i="122"/>
  <c r="K23" i="122"/>
  <c r="Q23" i="122"/>
  <c r="N18" i="125"/>
  <c r="M18" i="125"/>
  <c r="L18" i="125"/>
  <c r="N22" i="124"/>
  <c r="M22" i="124"/>
  <c r="L22" i="124"/>
  <c r="M15" i="123"/>
  <c r="N15" i="123"/>
  <c r="L15" i="123"/>
  <c r="M19" i="127"/>
  <c r="N19" i="127"/>
  <c r="L19" i="127"/>
  <c r="K26" i="123"/>
  <c r="Q26" i="123"/>
  <c r="O26" i="123"/>
  <c r="P26" i="123"/>
  <c r="O25" i="123"/>
  <c r="Q25" i="123"/>
  <c r="K25" i="123"/>
  <c r="P25" i="123"/>
  <c r="L30" i="127"/>
  <c r="N30" i="127"/>
  <c r="M30" i="127"/>
  <c r="Q13" i="126"/>
  <c r="K13" i="126"/>
  <c r="O13" i="126"/>
  <c r="P13" i="126"/>
  <c r="O27" i="126"/>
  <c r="P27" i="126"/>
  <c r="Q27" i="126"/>
  <c r="K27" i="126"/>
  <c r="M3" i="127"/>
  <c r="N3" i="127"/>
  <c r="L3" i="127"/>
  <c r="M18" i="123"/>
  <c r="N18" i="123"/>
  <c r="L18" i="123"/>
  <c r="Q22" i="125"/>
  <c r="P22" i="125"/>
  <c r="K22" i="125"/>
  <c r="O22" i="125"/>
  <c r="O11" i="122"/>
  <c r="Q11" i="122"/>
  <c r="K11" i="122"/>
  <c r="P11" i="122"/>
  <c r="L13" i="123"/>
  <c r="M13" i="123"/>
  <c r="N13" i="123"/>
  <c r="L18" i="127"/>
  <c r="N18" i="127"/>
  <c r="M18" i="127"/>
  <c r="K4" i="123"/>
  <c r="P4" i="123"/>
  <c r="Q4" i="123"/>
  <c r="O4" i="123"/>
  <c r="M5" i="122"/>
  <c r="L5" i="122"/>
  <c r="N5" i="122"/>
  <c r="N3" i="122"/>
  <c r="L3" i="122"/>
  <c r="M3" i="122"/>
  <c r="P9" i="123"/>
  <c r="O9" i="123"/>
  <c r="K9" i="123"/>
  <c r="Q9" i="123"/>
  <c r="K24" i="122"/>
  <c r="O24" i="122"/>
  <c r="Q24" i="122"/>
  <c r="P24" i="122"/>
  <c r="L11" i="125"/>
  <c r="N11" i="125"/>
  <c r="M11" i="125"/>
  <c r="M28" i="126"/>
  <c r="N28" i="126"/>
  <c r="L28" i="126"/>
  <c r="O6" i="127"/>
  <c r="K6" i="127"/>
  <c r="Q6" i="127"/>
  <c r="P6" i="127"/>
  <c r="K8" i="125"/>
  <c r="Q8" i="125"/>
  <c r="P8" i="125"/>
  <c r="O8" i="125"/>
  <c r="L7" i="123"/>
  <c r="M7" i="123"/>
  <c r="N7" i="123"/>
  <c r="N17" i="125"/>
  <c r="L17" i="125"/>
  <c r="M17" i="125"/>
  <c r="Q30" i="123"/>
  <c r="K30" i="123"/>
  <c r="O30" i="123"/>
  <c r="P30" i="123"/>
  <c r="M16" i="125"/>
  <c r="L16" i="125"/>
  <c r="N16" i="125"/>
  <c r="Q7" i="125"/>
  <c r="O7" i="125"/>
  <c r="P7" i="125"/>
  <c r="K7" i="125"/>
  <c r="O27" i="123"/>
  <c r="K27" i="123"/>
  <c r="P27" i="123"/>
  <c r="Q27" i="123"/>
  <c r="N29" i="125"/>
  <c r="M29" i="125"/>
  <c r="L29" i="125"/>
  <c r="N29" i="126"/>
  <c r="L29" i="126"/>
  <c r="M29" i="126"/>
  <c r="N24" i="125"/>
  <c r="M24" i="125"/>
  <c r="L24" i="125"/>
  <c r="O21" i="127"/>
  <c r="K21" i="127"/>
  <c r="Q21" i="127"/>
  <c r="P21" i="127"/>
  <c r="N26" i="127"/>
  <c r="L26" i="127"/>
  <c r="M26" i="127"/>
  <c r="K13" i="123"/>
  <c r="Q13" i="123"/>
  <c r="O13" i="123"/>
  <c r="P13" i="123"/>
  <c r="K3" i="124"/>
  <c r="P3" i="124"/>
  <c r="Q3" i="124"/>
  <c r="O3" i="124"/>
  <c r="L23" i="124"/>
  <c r="N23" i="124"/>
  <c r="M23" i="124"/>
  <c r="K21" i="126"/>
  <c r="P21" i="126"/>
  <c r="Q21" i="126"/>
  <c r="O21" i="126"/>
  <c r="N27" i="124"/>
  <c r="L27" i="124"/>
  <c r="M27" i="124"/>
  <c r="K23" i="126"/>
  <c r="Q23" i="126"/>
  <c r="O23" i="126"/>
  <c r="P23" i="126"/>
  <c r="K17" i="124"/>
  <c r="O17" i="124"/>
  <c r="P17" i="124"/>
  <c r="Q17" i="124"/>
  <c r="O10" i="125"/>
  <c r="Q10" i="125"/>
  <c r="K10" i="125"/>
  <c r="P10" i="125"/>
  <c r="M8" i="123"/>
  <c r="N8" i="123"/>
  <c r="L8" i="123"/>
  <c r="P14" i="125"/>
  <c r="K14" i="125"/>
  <c r="O14" i="125"/>
  <c r="Q14" i="125"/>
  <c r="M21" i="126"/>
  <c r="L21" i="126"/>
  <c r="N21" i="126"/>
  <c r="L4" i="126"/>
  <c r="N4" i="126"/>
  <c r="M4" i="126"/>
  <c r="N7" i="127"/>
  <c r="L7" i="127"/>
  <c r="M7" i="127"/>
  <c r="M19" i="125"/>
  <c r="L19" i="125"/>
  <c r="N19" i="125"/>
  <c r="O20" i="125"/>
  <c r="K20" i="125"/>
  <c r="Q20" i="125"/>
  <c r="P20" i="125"/>
  <c r="Q9" i="126"/>
  <c r="O9" i="126"/>
  <c r="P9" i="126"/>
  <c r="K9" i="126"/>
  <c r="L31" i="126"/>
  <c r="M31" i="126"/>
  <c r="N31" i="126"/>
  <c r="M13" i="125"/>
  <c r="N13" i="125"/>
  <c r="L13" i="125"/>
  <c r="Q9" i="127"/>
  <c r="P9" i="127"/>
  <c r="K9" i="127"/>
  <c r="O9" i="127"/>
  <c r="N30" i="124"/>
  <c r="M30" i="124"/>
  <c r="L30" i="124"/>
  <c r="I309" i="61"/>
  <c r="H309" i="61"/>
  <c r="G309" i="61"/>
  <c r="G341" i="61"/>
  <c r="H341" i="61"/>
  <c r="I341" i="61"/>
  <c r="G357" i="61"/>
  <c r="H357" i="61"/>
  <c r="I357" i="61"/>
  <c r="H509" i="61"/>
  <c r="I509" i="61"/>
  <c r="G509" i="61"/>
  <c r="I333" i="61"/>
  <c r="G333" i="61"/>
  <c r="H333" i="61"/>
  <c r="H441" i="61"/>
  <c r="I441" i="61"/>
  <c r="G441" i="61"/>
  <c r="G361" i="61"/>
  <c r="H361" i="61"/>
  <c r="I361" i="61"/>
  <c r="AY6" i="47"/>
  <c r="AZ6" i="47" s="1"/>
  <c r="AY5" i="47"/>
  <c r="H433" i="61"/>
  <c r="G433" i="61"/>
  <c r="I433" i="61"/>
  <c r="G289" i="61"/>
  <c r="I289" i="61"/>
  <c r="H289" i="61"/>
  <c r="I429" i="61"/>
  <c r="G429" i="61"/>
  <c r="H429" i="61"/>
  <c r="I437" i="61"/>
  <c r="H437" i="61"/>
  <c r="G437" i="61"/>
  <c r="G485" i="61"/>
  <c r="H485" i="61"/>
  <c r="I485" i="61"/>
  <c r="G285" i="61"/>
  <c r="I285" i="61"/>
  <c r="H285" i="61"/>
  <c r="G397" i="61"/>
  <c r="I397" i="61"/>
  <c r="H397" i="61"/>
  <c r="I501" i="61"/>
  <c r="G501" i="61"/>
  <c r="H501" i="61"/>
  <c r="I373" i="61"/>
  <c r="H373" i="61"/>
  <c r="G373" i="61"/>
  <c r="H301" i="61"/>
  <c r="I301" i="61"/>
  <c r="G301" i="61"/>
  <c r="L26" i="124"/>
  <c r="M26" i="124"/>
  <c r="N26" i="124"/>
  <c r="P21" i="122"/>
  <c r="Q21" i="122"/>
  <c r="K21" i="122"/>
  <c r="O21" i="122"/>
  <c r="N4" i="127"/>
  <c r="M4" i="127"/>
  <c r="L4" i="127"/>
  <c r="N25" i="127"/>
  <c r="L25" i="127"/>
  <c r="M25" i="127"/>
  <c r="O19" i="125"/>
  <c r="K19" i="125"/>
  <c r="Q19" i="125"/>
  <c r="P19" i="125"/>
  <c r="N14" i="123"/>
  <c r="L14" i="123"/>
  <c r="M14" i="123"/>
  <c r="Q7" i="127"/>
  <c r="K7" i="127"/>
  <c r="O7" i="127"/>
  <c r="P7" i="127"/>
  <c r="O4" i="122"/>
  <c r="K4" i="122"/>
  <c r="Q4" i="122"/>
  <c r="P4" i="122"/>
  <c r="L23" i="126"/>
  <c r="M23" i="126"/>
  <c r="N23" i="126"/>
  <c r="N24" i="123"/>
  <c r="M24" i="123"/>
  <c r="L24" i="123"/>
  <c r="N24" i="124"/>
  <c r="M24" i="124"/>
  <c r="L24" i="124"/>
  <c r="K13" i="122"/>
  <c r="O13" i="122"/>
  <c r="Q13" i="122"/>
  <c r="P13" i="122"/>
  <c r="M29" i="124"/>
  <c r="L29" i="124"/>
  <c r="N29" i="124"/>
  <c r="K14" i="123"/>
  <c r="P14" i="123"/>
  <c r="O14" i="123"/>
  <c r="Q14" i="123"/>
  <c r="M31" i="127"/>
  <c r="N31" i="127"/>
  <c r="L31" i="127"/>
  <c r="Q30" i="124"/>
  <c r="K30" i="124"/>
  <c r="P30" i="124"/>
  <c r="O30" i="124"/>
  <c r="M5" i="127"/>
  <c r="L5" i="127"/>
  <c r="N5" i="127"/>
  <c r="L22" i="127"/>
  <c r="N22" i="127"/>
  <c r="M22" i="127"/>
  <c r="M7" i="126"/>
  <c r="L7" i="126"/>
  <c r="N7" i="126"/>
  <c r="L14" i="126"/>
  <c r="M14" i="126"/>
  <c r="N14" i="126"/>
  <c r="N9" i="122"/>
  <c r="L9" i="122"/>
  <c r="M9" i="122"/>
  <c r="M15" i="122"/>
  <c r="L15" i="122"/>
  <c r="N15" i="122"/>
  <c r="M21" i="125"/>
  <c r="N21" i="125"/>
  <c r="L21" i="125"/>
  <c r="M16" i="127"/>
  <c r="L16" i="127"/>
  <c r="N16" i="127"/>
  <c r="N25" i="123"/>
  <c r="L25" i="123"/>
  <c r="M25" i="123"/>
  <c r="L3" i="126"/>
  <c r="N3" i="126"/>
  <c r="M3" i="126"/>
  <c r="P24" i="126"/>
  <c r="K24" i="126"/>
  <c r="Q24" i="126"/>
  <c r="O24" i="126"/>
  <c r="L28" i="122"/>
  <c r="N28" i="122"/>
  <c r="M28" i="122"/>
  <c r="P10" i="124"/>
  <c r="K10" i="124"/>
  <c r="O10" i="124"/>
  <c r="Q10" i="124"/>
  <c r="L25" i="125"/>
  <c r="M25" i="125"/>
  <c r="N25" i="125"/>
  <c r="N25" i="124"/>
  <c r="M25" i="124"/>
  <c r="L25" i="124"/>
  <c r="L12" i="125"/>
  <c r="N12" i="125"/>
  <c r="M12" i="125"/>
  <c r="Q15" i="125"/>
  <c r="K15" i="125"/>
  <c r="O15" i="125"/>
  <c r="P15" i="125"/>
  <c r="L21" i="123"/>
  <c r="M21" i="123"/>
  <c r="N21" i="123"/>
  <c r="K23" i="123"/>
  <c r="Q23" i="123"/>
  <c r="O23" i="123"/>
  <c r="P23" i="123"/>
  <c r="O7" i="122"/>
  <c r="K7" i="122"/>
  <c r="P7" i="122"/>
  <c r="Q7" i="122"/>
  <c r="L11" i="127"/>
  <c r="M11" i="127"/>
  <c r="N11" i="127"/>
  <c r="K14" i="127"/>
  <c r="P14" i="127"/>
  <c r="O14" i="127"/>
  <c r="Q14" i="127"/>
  <c r="M13" i="126"/>
  <c r="L13" i="126"/>
  <c r="N13" i="126"/>
  <c r="O13" i="125"/>
  <c r="P13" i="125"/>
  <c r="Q13" i="125"/>
  <c r="K13" i="125"/>
  <c r="Q3" i="126"/>
  <c r="O3" i="126"/>
  <c r="K3" i="126"/>
  <c r="P3" i="126"/>
  <c r="L5" i="125"/>
  <c r="M5" i="125"/>
  <c r="N5" i="125"/>
  <c r="P20" i="126"/>
  <c r="O20" i="126"/>
  <c r="Q20" i="126"/>
  <c r="K20" i="126"/>
  <c r="M16" i="124"/>
  <c r="N16" i="124"/>
  <c r="L16" i="124"/>
  <c r="P9" i="124"/>
  <c r="Q9" i="124"/>
  <c r="O9" i="124"/>
  <c r="K9" i="124"/>
  <c r="P3" i="122"/>
  <c r="Q3" i="122"/>
  <c r="K3" i="122"/>
  <c r="O3" i="122"/>
  <c r="L13" i="124"/>
  <c r="N13" i="124"/>
  <c r="M13" i="124"/>
  <c r="K27" i="125"/>
  <c r="Q27" i="125"/>
  <c r="O27" i="125"/>
  <c r="P27" i="125"/>
  <c r="L23" i="122"/>
  <c r="M23" i="122"/>
  <c r="N23" i="122"/>
  <c r="L24" i="122"/>
  <c r="M24" i="122"/>
  <c r="N24" i="122"/>
  <c r="K16" i="126"/>
  <c r="Q16" i="126"/>
  <c r="O16" i="126"/>
  <c r="P16" i="126"/>
  <c r="K9" i="125"/>
  <c r="P9" i="125"/>
  <c r="O9" i="125"/>
  <c r="Q9" i="125"/>
  <c r="N4" i="122"/>
  <c r="L4" i="122"/>
  <c r="M4" i="122"/>
  <c r="P24" i="125"/>
  <c r="K24" i="125"/>
  <c r="O24" i="125"/>
  <c r="Q24" i="125"/>
  <c r="Q23" i="127"/>
  <c r="O23" i="127"/>
  <c r="K23" i="127"/>
  <c r="P23" i="127"/>
  <c r="O8" i="123"/>
  <c r="Q8" i="123"/>
  <c r="K8" i="123"/>
  <c r="P8" i="123"/>
  <c r="P12" i="124"/>
  <c r="K12" i="124"/>
  <c r="Q12" i="124"/>
  <c r="O12" i="124"/>
  <c r="O25" i="122"/>
  <c r="P25" i="122"/>
  <c r="Q25" i="122"/>
  <c r="K25" i="122"/>
  <c r="L12" i="127"/>
  <c r="M12" i="127"/>
  <c r="N12" i="127"/>
  <c r="P10" i="122"/>
  <c r="Q10" i="122"/>
  <c r="K10" i="122"/>
  <c r="O10" i="122"/>
  <c r="M28" i="123"/>
  <c r="L28" i="123"/>
  <c r="N28" i="123"/>
  <c r="M17" i="123"/>
  <c r="N17" i="123"/>
  <c r="L17" i="123"/>
  <c r="N30" i="122"/>
  <c r="M30" i="122"/>
  <c r="L30" i="122"/>
  <c r="Q28" i="124"/>
  <c r="O28" i="124"/>
  <c r="K28" i="124"/>
  <c r="P28" i="124"/>
  <c r="P6" i="125"/>
  <c r="K6" i="125"/>
  <c r="O6" i="125"/>
  <c r="Q6" i="125"/>
  <c r="N23" i="127"/>
  <c r="M23" i="127"/>
  <c r="L23" i="127"/>
  <c r="N14" i="125"/>
  <c r="L14" i="125"/>
  <c r="M14" i="125"/>
  <c r="O26" i="125"/>
  <c r="K26" i="125"/>
  <c r="P26" i="125"/>
  <c r="Q26" i="125"/>
  <c r="O3" i="127"/>
  <c r="K3" i="127"/>
  <c r="P3" i="127"/>
  <c r="Q3" i="127"/>
  <c r="O5" i="122"/>
  <c r="K5" i="122"/>
  <c r="P5" i="122"/>
  <c r="Q5" i="122"/>
  <c r="L10" i="124"/>
  <c r="N10" i="124"/>
  <c r="M10" i="124"/>
  <c r="Q18" i="122"/>
  <c r="K18" i="122"/>
  <c r="P18" i="122"/>
  <c r="O18" i="122"/>
  <c r="P8" i="122"/>
  <c r="O8" i="122"/>
  <c r="K8" i="122"/>
  <c r="Q8" i="122"/>
  <c r="L17" i="124"/>
  <c r="M17" i="124"/>
  <c r="N17" i="124"/>
  <c r="Q3" i="125"/>
  <c r="O3" i="125"/>
  <c r="K3" i="125"/>
  <c r="P3" i="125"/>
  <c r="O25" i="126"/>
  <c r="P25" i="126"/>
  <c r="K25" i="126"/>
  <c r="Q25" i="126"/>
  <c r="P23" i="124"/>
  <c r="Q23" i="124"/>
  <c r="K23" i="124"/>
  <c r="O23" i="124"/>
  <c r="O26" i="122"/>
  <c r="Q26" i="122"/>
  <c r="K26" i="122"/>
  <c r="P26" i="122"/>
  <c r="O19" i="122"/>
  <c r="Q19" i="122"/>
  <c r="K19" i="122"/>
  <c r="P19" i="122"/>
  <c r="O18" i="126"/>
  <c r="K18" i="126"/>
  <c r="Q18" i="126"/>
  <c r="P18" i="126"/>
  <c r="Q12" i="125"/>
  <c r="O12" i="125"/>
  <c r="P12" i="125"/>
  <c r="K12" i="125"/>
  <c r="P31" i="127"/>
  <c r="K31" i="127"/>
  <c r="Q31" i="127"/>
  <c r="O31" i="127"/>
  <c r="K20" i="122"/>
  <c r="Q20" i="122"/>
  <c r="O20" i="122"/>
  <c r="P20" i="122"/>
  <c r="P8" i="127"/>
  <c r="O8" i="127"/>
  <c r="K8" i="127"/>
  <c r="Q8" i="127"/>
  <c r="L22" i="126"/>
  <c r="N22" i="126"/>
  <c r="M22" i="126"/>
  <c r="K30" i="127"/>
  <c r="Q30" i="127"/>
  <c r="O30" i="127"/>
  <c r="P30" i="127"/>
  <c r="N4" i="124"/>
  <c r="L4" i="124"/>
  <c r="M4" i="124"/>
  <c r="H329" i="61"/>
  <c r="I329" i="61"/>
  <c r="G329" i="61"/>
  <c r="H401" i="61"/>
  <c r="I401" i="61"/>
  <c r="G401" i="61"/>
  <c r="H237" i="61"/>
  <c r="G237" i="61"/>
  <c r="I237" i="61"/>
  <c r="I257" i="61"/>
  <c r="G257" i="61"/>
  <c r="H257" i="61"/>
  <c r="H253" i="61"/>
  <c r="G253" i="61"/>
  <c r="I253" i="61"/>
  <c r="S4" i="47"/>
  <c r="H3" i="112"/>
  <c r="H457" i="61"/>
  <c r="G457" i="61"/>
  <c r="I457" i="61"/>
  <c r="I293" i="61"/>
  <c r="G293" i="61"/>
  <c r="H293" i="61"/>
  <c r="G277" i="61"/>
  <c r="I277" i="61"/>
  <c r="H277" i="61"/>
  <c r="G245" i="61"/>
  <c r="I245" i="61"/>
  <c r="H245" i="61"/>
  <c r="H321" i="61"/>
  <c r="G321" i="61"/>
  <c r="I321" i="61"/>
  <c r="I513" i="61"/>
  <c r="G513" i="61"/>
  <c r="H513" i="61"/>
  <c r="I473" i="61"/>
  <c r="H473" i="61"/>
  <c r="G473" i="61"/>
  <c r="I465" i="61"/>
  <c r="G465" i="61"/>
  <c r="H465" i="61"/>
  <c r="H273" i="61"/>
  <c r="G273" i="61"/>
  <c r="I273" i="61"/>
  <c r="H281" i="61"/>
  <c r="G281" i="61"/>
  <c r="I281" i="61"/>
  <c r="G385" i="61"/>
  <c r="H385" i="61"/>
  <c r="I385" i="61"/>
  <c r="G481" i="61"/>
  <c r="I481" i="61"/>
  <c r="H481" i="61"/>
  <c r="I349" i="61"/>
  <c r="G349" i="61"/>
  <c r="H349" i="61"/>
  <c r="G445" i="61"/>
  <c r="H445" i="61"/>
  <c r="I445" i="61"/>
  <c r="I381" i="61"/>
  <c r="H381" i="61"/>
  <c r="G381" i="61"/>
  <c r="H493" i="61"/>
  <c r="G493" i="61"/>
  <c r="I493" i="61"/>
  <c r="H313" i="61"/>
  <c r="I313" i="61"/>
  <c r="G313" i="61"/>
  <c r="H241" i="61"/>
  <c r="G241" i="61"/>
  <c r="I241" i="61"/>
  <c r="L26" i="125"/>
  <c r="M26" i="125"/>
  <c r="N26" i="125"/>
  <c r="L28" i="127"/>
  <c r="N28" i="127"/>
  <c r="M28" i="127"/>
  <c r="P7" i="124"/>
  <c r="Q7" i="124"/>
  <c r="K7" i="124"/>
  <c r="O7" i="124"/>
  <c r="O31" i="124"/>
  <c r="K31" i="124"/>
  <c r="Q31" i="124"/>
  <c r="P31" i="124"/>
  <c r="P16" i="123"/>
  <c r="O16" i="123"/>
  <c r="K16" i="123"/>
  <c r="Q16" i="123"/>
  <c r="N20" i="125"/>
  <c r="M20" i="125"/>
  <c r="L20" i="125"/>
  <c r="P14" i="122"/>
  <c r="K14" i="122"/>
  <c r="O14" i="122"/>
  <c r="Q14" i="122"/>
  <c r="L3" i="123"/>
  <c r="N3" i="123"/>
  <c r="M3" i="123"/>
  <c r="P9" i="122"/>
  <c r="Q9" i="122"/>
  <c r="O9" i="122"/>
  <c r="K9" i="122"/>
  <c r="Q19" i="126"/>
  <c r="O19" i="126"/>
  <c r="P19" i="126"/>
  <c r="K19" i="126"/>
  <c r="Q27" i="122"/>
  <c r="K27" i="122"/>
  <c r="O27" i="122"/>
  <c r="P27" i="122"/>
  <c r="M30" i="126"/>
  <c r="N30" i="126"/>
  <c r="L30" i="126"/>
  <c r="M20" i="126"/>
  <c r="L20" i="126"/>
  <c r="N20" i="126"/>
  <c r="O28" i="126"/>
  <c r="Q28" i="126"/>
  <c r="P28" i="126"/>
  <c r="K28" i="126"/>
  <c r="M15" i="127"/>
  <c r="L15" i="127"/>
  <c r="N15" i="127"/>
  <c r="P4" i="124"/>
  <c r="K4" i="124"/>
  <c r="O4" i="124"/>
  <c r="Q4" i="124"/>
  <c r="O11" i="127"/>
  <c r="K11" i="127"/>
  <c r="P11" i="127"/>
  <c r="Q11" i="127"/>
  <c r="O28" i="122"/>
  <c r="K28" i="122"/>
  <c r="P28" i="122"/>
  <c r="Q28" i="122"/>
  <c r="P15" i="124"/>
  <c r="K15" i="124"/>
  <c r="Q15" i="124"/>
  <c r="O15" i="124"/>
  <c r="P15" i="127"/>
  <c r="O15" i="127"/>
  <c r="K15" i="127"/>
  <c r="Q15" i="127"/>
  <c r="N7" i="122"/>
  <c r="L7" i="122"/>
  <c r="M7" i="122"/>
  <c r="M12" i="122"/>
  <c r="L12" i="122"/>
  <c r="N12" i="122"/>
  <c r="O7" i="123"/>
  <c r="Q7" i="123"/>
  <c r="P7" i="123"/>
  <c r="K7" i="123"/>
  <c r="Q22" i="127"/>
  <c r="K22" i="127"/>
  <c r="O22" i="127"/>
  <c r="P22" i="127"/>
  <c r="M25" i="122"/>
  <c r="N25" i="122"/>
  <c r="L25" i="122"/>
  <c r="K22" i="122"/>
  <c r="P22" i="122"/>
  <c r="O22" i="122"/>
  <c r="Q22" i="122"/>
  <c r="P16" i="127"/>
  <c r="K16" i="127"/>
  <c r="Q16" i="127"/>
  <c r="O16" i="127"/>
  <c r="O25" i="124"/>
  <c r="K25" i="124"/>
  <c r="Q25" i="124"/>
  <c r="P25" i="124"/>
  <c r="K16" i="125"/>
  <c r="Q16" i="125"/>
  <c r="P16" i="125"/>
  <c r="O16" i="125"/>
  <c r="P19" i="123"/>
  <c r="K19" i="123"/>
  <c r="O19" i="123"/>
  <c r="Q19" i="123"/>
  <c r="L20" i="123"/>
  <c r="M20" i="123"/>
  <c r="N20" i="123"/>
  <c r="L8" i="127"/>
  <c r="N8" i="127"/>
  <c r="M8" i="127"/>
  <c r="N20" i="127"/>
  <c r="L20" i="127"/>
  <c r="M20" i="127"/>
  <c r="M27" i="126"/>
  <c r="N27" i="126"/>
  <c r="L27" i="126"/>
  <c r="L31" i="123"/>
  <c r="N31" i="123"/>
  <c r="M31" i="123"/>
  <c r="O6" i="126"/>
  <c r="P6" i="126"/>
  <c r="K6" i="126"/>
  <c r="Q6" i="126"/>
  <c r="Q12" i="122"/>
  <c r="O12" i="122"/>
  <c r="K12" i="122"/>
  <c r="P12" i="122"/>
  <c r="M29" i="127"/>
  <c r="L29" i="127"/>
  <c r="N29" i="127"/>
  <c r="L23" i="123"/>
  <c r="N23" i="123"/>
  <c r="M23" i="123"/>
  <c r="L9" i="125"/>
  <c r="N9" i="125"/>
  <c r="M9" i="125"/>
  <c r="P22" i="124"/>
  <c r="K22" i="124"/>
  <c r="Q22" i="124"/>
  <c r="O22" i="124"/>
  <c r="O27" i="127"/>
  <c r="Q27" i="127"/>
  <c r="P27" i="127"/>
  <c r="K27" i="127"/>
  <c r="P10" i="123"/>
  <c r="Q10" i="123"/>
  <c r="K10" i="123"/>
  <c r="O10" i="123"/>
  <c r="K4" i="125"/>
  <c r="Q4" i="125"/>
  <c r="O4" i="125"/>
  <c r="P4" i="125"/>
  <c r="Q25" i="127"/>
  <c r="K25" i="127"/>
  <c r="P25" i="127"/>
  <c r="O25" i="127"/>
  <c r="N9" i="126"/>
  <c r="L9" i="126"/>
  <c r="M9" i="126"/>
  <c r="K8" i="124"/>
  <c r="O8" i="124"/>
  <c r="Q8" i="124"/>
  <c r="P8" i="124"/>
  <c r="N4" i="123"/>
  <c r="M4" i="123"/>
  <c r="L4" i="123"/>
  <c r="N10" i="122"/>
  <c r="L10" i="122"/>
  <c r="M10" i="122"/>
  <c r="K11" i="125"/>
  <c r="P11" i="125"/>
  <c r="Q11" i="125"/>
  <c r="O11" i="125"/>
  <c r="P29" i="124"/>
  <c r="Q29" i="124"/>
  <c r="K29" i="124"/>
  <c r="O29" i="124"/>
  <c r="P20" i="123"/>
  <c r="Q20" i="123"/>
  <c r="O20" i="123"/>
  <c r="K20" i="123"/>
  <c r="N19" i="122"/>
  <c r="L19" i="122"/>
  <c r="M19" i="122"/>
  <c r="O11" i="124"/>
  <c r="P11" i="124"/>
  <c r="K11" i="124"/>
  <c r="Q11" i="124"/>
  <c r="K20" i="124"/>
  <c r="P20" i="124"/>
  <c r="O20" i="124"/>
  <c r="Q20" i="124"/>
  <c r="N5" i="124"/>
  <c r="M5" i="124"/>
  <c r="L5" i="124"/>
  <c r="K3" i="123"/>
  <c r="O3" i="123"/>
  <c r="Q3" i="123"/>
  <c r="P3" i="123"/>
  <c r="Q17" i="126"/>
  <c r="K17" i="126"/>
  <c r="P17" i="126"/>
  <c r="O17" i="126"/>
  <c r="N25" i="126"/>
  <c r="L25" i="126"/>
  <c r="M25" i="126"/>
  <c r="O30" i="122"/>
  <c r="P30" i="122"/>
  <c r="K30" i="122"/>
  <c r="Q30" i="122"/>
  <c r="O19" i="124"/>
  <c r="P19" i="124"/>
  <c r="Q19" i="124"/>
  <c r="K19" i="124"/>
  <c r="L22" i="125"/>
  <c r="M22" i="125"/>
  <c r="N22" i="125"/>
  <c r="N18" i="122"/>
  <c r="M18" i="122"/>
  <c r="L18" i="122"/>
  <c r="M5" i="126"/>
  <c r="L5" i="126"/>
  <c r="N5" i="126"/>
  <c r="Q29" i="123"/>
  <c r="K29" i="123"/>
  <c r="P29" i="123"/>
  <c r="O29" i="123"/>
  <c r="K24" i="124"/>
  <c r="P24" i="124"/>
  <c r="O24" i="124"/>
  <c r="Q24" i="124"/>
  <c r="O16" i="122"/>
  <c r="K16" i="122"/>
  <c r="Q16" i="122"/>
  <c r="P16" i="122"/>
  <c r="M14" i="127"/>
  <c r="N14" i="127"/>
  <c r="L14" i="127"/>
  <c r="K21" i="123"/>
  <c r="O21" i="123"/>
  <c r="P21" i="123"/>
  <c r="Q21" i="123"/>
  <c r="K17" i="123"/>
  <c r="O17" i="123"/>
  <c r="Q17" i="123"/>
  <c r="P17" i="123"/>
  <c r="O26" i="126"/>
  <c r="K26" i="126"/>
  <c r="P26" i="126"/>
  <c r="Q26" i="126"/>
  <c r="P20" i="127"/>
  <c r="K20" i="127"/>
  <c r="O20" i="127"/>
  <c r="Q20" i="127"/>
  <c r="N27" i="123"/>
  <c r="L27" i="123"/>
  <c r="M27" i="123"/>
  <c r="L18" i="124"/>
  <c r="M18" i="124"/>
  <c r="N18" i="124"/>
  <c r="N30" i="125"/>
  <c r="L30" i="125"/>
  <c r="M30" i="125"/>
  <c r="M14" i="124"/>
  <c r="N14" i="124"/>
  <c r="L14" i="124"/>
  <c r="K14" i="124"/>
  <c r="Q14" i="124"/>
  <c r="O14" i="124"/>
  <c r="P14" i="124"/>
  <c r="N11" i="122"/>
  <c r="L11" i="122"/>
  <c r="M11" i="122"/>
  <c r="P5" i="123"/>
  <c r="K5" i="123"/>
  <c r="O5" i="123"/>
  <c r="Q5" i="123"/>
  <c r="K22" i="126"/>
  <c r="O22" i="126"/>
  <c r="Q22" i="126"/>
  <c r="P22" i="126"/>
  <c r="N8" i="124"/>
  <c r="M8" i="124"/>
  <c r="L8" i="124"/>
  <c r="M31" i="124"/>
  <c r="N31" i="124"/>
  <c r="L31" i="124"/>
  <c r="P5" i="127"/>
  <c r="O5" i="127"/>
  <c r="Q5" i="127"/>
  <c r="K5" i="127"/>
  <c r="K24" i="123"/>
  <c r="O24" i="123"/>
  <c r="P24" i="123"/>
  <c r="Q24" i="123"/>
  <c r="P29" i="127"/>
  <c r="Q29" i="127"/>
  <c r="O29" i="127"/>
  <c r="K29" i="127"/>
  <c r="P25" i="125"/>
  <c r="Q25" i="125"/>
  <c r="K25" i="125"/>
  <c r="O25" i="125"/>
  <c r="M27" i="122"/>
  <c r="N27" i="122"/>
  <c r="L27" i="122"/>
  <c r="AG5" i="128" l="1"/>
  <c r="Z5" i="128" s="1"/>
  <c r="AZ5" i="47"/>
  <c r="AG16" i="128"/>
  <c r="AG28" i="128"/>
  <c r="AQ66" i="128"/>
  <c r="AR66" i="128"/>
  <c r="AQ4" i="128"/>
  <c r="AR4" i="128"/>
  <c r="AP96" i="128"/>
  <c r="AA96" i="128" s="1"/>
  <c r="AP91" i="128"/>
  <c r="AA91" i="128" s="1"/>
  <c r="AR91" i="128"/>
  <c r="AQ77" i="128"/>
  <c r="AP36" i="128"/>
  <c r="AQ107" i="128"/>
  <c r="AP107" i="128"/>
  <c r="AA107" i="128" s="1"/>
  <c r="AP118" i="128"/>
  <c r="AA118" i="128" s="1"/>
  <c r="AR86" i="128"/>
  <c r="AP20" i="128"/>
  <c r="AP64" i="128"/>
  <c r="AA64" i="128" s="1"/>
  <c r="AP59" i="128"/>
  <c r="AR59" i="128"/>
  <c r="AQ101" i="128"/>
  <c r="AR101" i="128"/>
  <c r="AQ49" i="128"/>
  <c r="AP110" i="128"/>
  <c r="AA110" i="128" s="1"/>
  <c r="AP41" i="128"/>
  <c r="AQ88" i="128"/>
  <c r="AR121" i="128"/>
  <c r="AR31" i="128"/>
  <c r="AP31" i="128"/>
  <c r="AQ111" i="128"/>
  <c r="AR53" i="128"/>
  <c r="AQ29" i="128"/>
  <c r="AR125" i="128"/>
  <c r="AP13" i="128"/>
  <c r="AR13" i="128"/>
  <c r="AQ113" i="128"/>
  <c r="AQ48" i="128"/>
  <c r="AQ70" i="128"/>
  <c r="AR70" i="128"/>
  <c r="AR23" i="128"/>
  <c r="AP23" i="128"/>
  <c r="AQ44" i="128"/>
  <c r="AP15" i="128"/>
  <c r="AQ54" i="128"/>
  <c r="AQ76" i="128"/>
  <c r="AP76" i="128"/>
  <c r="AA76" i="128" s="1"/>
  <c r="AQ126" i="128"/>
  <c r="AR126" i="128"/>
  <c r="AR83" i="128"/>
  <c r="AR6" i="128"/>
  <c r="AP19" i="128"/>
  <c r="AR19" i="128"/>
  <c r="AR100" i="128"/>
  <c r="AR112" i="128"/>
  <c r="AQ112" i="128"/>
  <c r="AR102" i="128"/>
  <c r="AR117" i="128"/>
  <c r="AR103" i="128"/>
  <c r="AQ90" i="128"/>
  <c r="AP57" i="128"/>
  <c r="AP98" i="128"/>
  <c r="AA98" i="128" s="1"/>
  <c r="AP79" i="128"/>
  <c r="AA79" i="128" s="1"/>
  <c r="AQ79" i="128"/>
  <c r="AR28" i="128"/>
  <c r="AR33" i="128"/>
  <c r="AP35" i="128"/>
  <c r="AP17" i="128"/>
  <c r="AP42" i="128"/>
  <c r="AR42" i="128"/>
  <c r="AP84" i="128"/>
  <c r="AA84" i="128" s="1"/>
  <c r="AR84" i="128"/>
  <c r="AQ30" i="128"/>
  <c r="AQ38" i="128"/>
  <c r="AQ3" i="128"/>
  <c r="AQ43" i="128"/>
  <c r="AR11" i="128"/>
  <c r="AP11" i="128"/>
  <c r="AP14" i="128"/>
  <c r="AR14" i="128"/>
  <c r="AQ116" i="128"/>
  <c r="AP116" i="128"/>
  <c r="AA116" i="128" s="1"/>
  <c r="AP129" i="128"/>
  <c r="AA129" i="128" s="1"/>
  <c r="AR47" i="128"/>
  <c r="AP47" i="128"/>
  <c r="AQ47" i="128"/>
  <c r="AR12" i="128"/>
  <c r="AR95" i="128"/>
  <c r="AP119" i="128"/>
  <c r="AA119" i="128" s="1"/>
  <c r="AR7" i="128"/>
  <c r="AP87" i="128"/>
  <c r="AA87" i="128" s="1"/>
  <c r="AQ106" i="128"/>
  <c r="AR106" i="128"/>
  <c r="AQ97" i="128"/>
  <c r="AP97" i="128"/>
  <c r="AA97" i="128" s="1"/>
  <c r="AR5" i="128"/>
  <c r="AP105" i="128"/>
  <c r="AA105" i="128" s="1"/>
  <c r="AR25" i="128"/>
  <c r="AQ122" i="128"/>
  <c r="AR50" i="128"/>
  <c r="AQ58" i="128"/>
  <c r="AP72" i="128"/>
  <c r="AA72" i="128" s="1"/>
  <c r="AR85" i="128"/>
  <c r="AQ119" i="128"/>
  <c r="AQ7" i="128"/>
  <c r="AP56" i="128"/>
  <c r="AQ63" i="128"/>
  <c r="AR122" i="128"/>
  <c r="AQ72" i="128"/>
  <c r="AQ78" i="128"/>
  <c r="AR77" i="128"/>
  <c r="AR107" i="128"/>
  <c r="AR18" i="128"/>
  <c r="AQ32" i="128"/>
  <c r="AR10" i="128"/>
  <c r="AQ83" i="128"/>
  <c r="AP6" i="128"/>
  <c r="AR99" i="128"/>
  <c r="AR69" i="128"/>
  <c r="AQ75" i="128"/>
  <c r="AP33" i="128"/>
  <c r="AQ17" i="128"/>
  <c r="AP115" i="128"/>
  <c r="AA115" i="128" s="1"/>
  <c r="AR67" i="128"/>
  <c r="AQ14" i="128"/>
  <c r="AC14" i="131" s="1"/>
  <c r="AR116" i="128"/>
  <c r="AR129" i="128"/>
  <c r="AP120" i="128"/>
  <c r="AA120" i="128" s="1"/>
  <c r="AQ71" i="128"/>
  <c r="AP12" i="128"/>
  <c r="AR82" i="128"/>
  <c r="AP62" i="128"/>
  <c r="AA62" i="128" s="1"/>
  <c r="AP24" i="128"/>
  <c r="AP25" i="128"/>
  <c r="AP92" i="128"/>
  <c r="AA92" i="128" s="1"/>
  <c r="AQ85" i="128"/>
  <c r="AQ37" i="128"/>
  <c r="AR37" i="128"/>
  <c r="AD37" i="131" s="1"/>
  <c r="AP4" i="128"/>
  <c r="AR78" i="128"/>
  <c r="AQ91" i="128"/>
  <c r="AQ36" i="128"/>
  <c r="AP89" i="128"/>
  <c r="AA89" i="128" s="1"/>
  <c r="AP86" i="128"/>
  <c r="AA86" i="128" s="1"/>
  <c r="AQ20" i="128"/>
  <c r="AR20" i="128"/>
  <c r="AQ18" i="128"/>
  <c r="AP124" i="128"/>
  <c r="AA124" i="128" s="1"/>
  <c r="AQ124" i="128"/>
  <c r="AP68" i="128"/>
  <c r="AA68" i="128" s="1"/>
  <c r="AQ68" i="128"/>
  <c r="AP32" i="128"/>
  <c r="AQ59" i="128"/>
  <c r="AR8" i="128"/>
  <c r="AQ8" i="128"/>
  <c r="AP39" i="128"/>
  <c r="AP101" i="128"/>
  <c r="AA101" i="128" s="1"/>
  <c r="AR49" i="128"/>
  <c r="AR88" i="128"/>
  <c r="AR34" i="128"/>
  <c r="AQ31" i="128"/>
  <c r="AP111" i="128"/>
  <c r="AA111" i="128" s="1"/>
  <c r="AR111" i="128"/>
  <c r="AP53" i="128"/>
  <c r="AQ53" i="128"/>
  <c r="AP29" i="128"/>
  <c r="AR29" i="128"/>
  <c r="AP125" i="128"/>
  <c r="AA125" i="128" s="1"/>
  <c r="AR61" i="128"/>
  <c r="AR48" i="128"/>
  <c r="AP81" i="128"/>
  <c r="AA81" i="128" s="1"/>
  <c r="AP70" i="128"/>
  <c r="AA70" i="128" s="1"/>
  <c r="AQ23" i="128"/>
  <c r="AC23" i="131" s="1"/>
  <c r="AP16" i="128"/>
  <c r="AP108" i="128"/>
  <c r="AA108" i="128" s="1"/>
  <c r="AR94" i="128"/>
  <c r="AR15" i="128"/>
  <c r="AP73" i="128"/>
  <c r="AA73" i="128" s="1"/>
  <c r="AR73" i="128"/>
  <c r="AP93" i="128"/>
  <c r="AA93" i="128" s="1"/>
  <c r="AR54" i="128"/>
  <c r="AR76" i="128"/>
  <c r="AP126" i="128"/>
  <c r="AA126" i="128" s="1"/>
  <c r="AR22" i="128"/>
  <c r="AP51" i="128"/>
  <c r="AR51" i="128"/>
  <c r="AD51" i="131" s="1"/>
  <c r="AR130" i="128"/>
  <c r="AP83" i="128"/>
  <c r="AA83" i="128" s="1"/>
  <c r="AQ19" i="128"/>
  <c r="AQ99" i="128"/>
  <c r="AP117" i="128"/>
  <c r="AA117" i="128" s="1"/>
  <c r="AQ117" i="128"/>
  <c r="AQ69" i="128"/>
  <c r="AQ103" i="128"/>
  <c r="AP109" i="128"/>
  <c r="AA109" i="128" s="1"/>
  <c r="AR127" i="128"/>
  <c r="AP90" i="128"/>
  <c r="AA90" i="128" s="1"/>
  <c r="AR98" i="128"/>
  <c r="AR79" i="128"/>
  <c r="AP74" i="128"/>
  <c r="AA74" i="128" s="1"/>
  <c r="AR75" i="128"/>
  <c r="AQ33" i="128"/>
  <c r="AR17" i="128"/>
  <c r="AQ80" i="128"/>
  <c r="AP80" i="128"/>
  <c r="AA80" i="128" s="1"/>
  <c r="AQ42" i="128"/>
  <c r="AQ84" i="128"/>
  <c r="AR115" i="128"/>
  <c r="AP104" i="128"/>
  <c r="AA104" i="128" s="1"/>
  <c r="AP38" i="128"/>
  <c r="AP3" i="128"/>
  <c r="AP55" i="128"/>
  <c r="AR43" i="128"/>
  <c r="AD43" i="131" s="1"/>
  <c r="AP128" i="128"/>
  <c r="AA128" i="128" s="1"/>
  <c r="AR26" i="128"/>
  <c r="AQ26" i="128"/>
  <c r="AQ12" i="128"/>
  <c r="AR62" i="128"/>
  <c r="AR56" i="128"/>
  <c r="AR87" i="128"/>
  <c r="AP5" i="128"/>
  <c r="AQ5" i="128"/>
  <c r="AP63" i="128"/>
  <c r="AA63" i="128" s="1"/>
  <c r="AQ24" i="128"/>
  <c r="AP65" i="128"/>
  <c r="AA65" i="128" s="1"/>
  <c r="AP45" i="128"/>
  <c r="AP122" i="128"/>
  <c r="AA122" i="128" s="1"/>
  <c r="AP50" i="128"/>
  <c r="AP58" i="128"/>
  <c r="AR72" i="128"/>
  <c r="AQ95" i="128"/>
  <c r="AQ56" i="128"/>
  <c r="AQ87" i="128"/>
  <c r="AP114" i="128"/>
  <c r="AA114" i="128" s="1"/>
  <c r="AP52" i="128"/>
  <c r="AR52" i="128"/>
  <c r="AQ89" i="128"/>
  <c r="AP18" i="128"/>
  <c r="AR32" i="128"/>
  <c r="AP49" i="128"/>
  <c r="AQ110" i="128"/>
  <c r="AR110" i="128"/>
  <c r="AR46" i="128"/>
  <c r="AR41" i="128"/>
  <c r="AD41" i="131" s="1"/>
  <c r="AP121" i="128"/>
  <c r="AA121" i="128" s="1"/>
  <c r="AQ125" i="128"/>
  <c r="AQ61" i="128"/>
  <c r="AP48" i="128"/>
  <c r="AR81" i="128"/>
  <c r="AR60" i="128"/>
  <c r="AR16" i="128"/>
  <c r="AQ22" i="128"/>
  <c r="AQ102" i="128"/>
  <c r="AR109" i="128"/>
  <c r="AP127" i="128"/>
  <c r="AA127" i="128" s="1"/>
  <c r="AR57" i="128"/>
  <c r="AP28" i="128"/>
  <c r="AP30" i="128"/>
  <c r="AP67" i="128"/>
  <c r="AA67" i="128" s="1"/>
  <c r="AR55" i="128"/>
  <c r="AR120" i="128"/>
  <c r="AR21" i="128"/>
  <c r="AP9" i="128"/>
  <c r="AP123" i="128"/>
  <c r="AA123" i="128" s="1"/>
  <c r="AQ62" i="128"/>
  <c r="AP7" i="128"/>
  <c r="AP106" i="128"/>
  <c r="AA106" i="128" s="1"/>
  <c r="AR63" i="128"/>
  <c r="AP85" i="128"/>
  <c r="AA85" i="128" s="1"/>
  <c r="AP66" i="128"/>
  <c r="AA66" i="128" s="1"/>
  <c r="AR114" i="128"/>
  <c r="AQ96" i="128"/>
  <c r="AR96" i="128"/>
  <c r="AP77" i="128"/>
  <c r="AA77" i="128" s="1"/>
  <c r="AR36" i="128"/>
  <c r="AQ52" i="128"/>
  <c r="AR89" i="128"/>
  <c r="AQ118" i="128"/>
  <c r="AR118" i="128"/>
  <c r="AQ86" i="128"/>
  <c r="AR64" i="128"/>
  <c r="AQ64" i="128"/>
  <c r="AR124" i="128"/>
  <c r="AR68" i="128"/>
  <c r="AQ39" i="128"/>
  <c r="AC39" i="131" s="1"/>
  <c r="AR39" i="128"/>
  <c r="AD39" i="131" s="1"/>
  <c r="AQ46" i="128"/>
  <c r="AQ41" i="128"/>
  <c r="AP88" i="128"/>
  <c r="AA88" i="128" s="1"/>
  <c r="AQ121" i="128"/>
  <c r="AP34" i="128"/>
  <c r="AQ10" i="128"/>
  <c r="AP10" i="128"/>
  <c r="AP61" i="128"/>
  <c r="AA61" i="128" s="1"/>
  <c r="AR113" i="128"/>
  <c r="AQ81" i="128"/>
  <c r="AQ16" i="128"/>
  <c r="AR108" i="128"/>
  <c r="AQ108" i="128"/>
  <c r="AP44" i="128"/>
  <c r="AP94" i="128"/>
  <c r="AA94" i="128" s="1"/>
  <c r="AQ73" i="128"/>
  <c r="AR93" i="128"/>
  <c r="AP22" i="128"/>
  <c r="AQ51" i="128"/>
  <c r="AC51" i="131" s="1"/>
  <c r="AP130" i="128"/>
  <c r="AA130" i="128" s="1"/>
  <c r="AQ130" i="128"/>
  <c r="AQ6" i="128"/>
  <c r="AP100" i="128"/>
  <c r="AA100" i="128" s="1"/>
  <c r="AP99" i="128"/>
  <c r="AA99" i="128" s="1"/>
  <c r="AP112" i="128"/>
  <c r="AA112" i="128" s="1"/>
  <c r="AP102" i="128"/>
  <c r="AA102" i="128" s="1"/>
  <c r="AP69" i="128"/>
  <c r="AA69" i="128" s="1"/>
  <c r="AP103" i="128"/>
  <c r="AA103" i="128" s="1"/>
  <c r="AQ109" i="128"/>
  <c r="AQ127" i="128"/>
  <c r="AR90" i="128"/>
  <c r="AR74" i="128"/>
  <c r="AQ74" i="128"/>
  <c r="AP75" i="128"/>
  <c r="AA75" i="128" s="1"/>
  <c r="AR35" i="128"/>
  <c r="AR80" i="128"/>
  <c r="AQ115" i="128"/>
  <c r="AR104" i="128"/>
  <c r="AQ104" i="128"/>
  <c r="AR30" i="128"/>
  <c r="AR38" i="128"/>
  <c r="AQ55" i="128"/>
  <c r="AP43" i="128"/>
  <c r="AQ11" i="128"/>
  <c r="AR128" i="128"/>
  <c r="AQ129" i="128"/>
  <c r="AP26" i="128"/>
  <c r="AQ120" i="128"/>
  <c r="AP40" i="128"/>
  <c r="AP21" i="128"/>
  <c r="AQ9" i="128"/>
  <c r="AC9" i="131" s="1"/>
  <c r="AR9" i="128"/>
  <c r="AR123" i="128"/>
  <c r="AQ123" i="128"/>
  <c r="AR71" i="128"/>
  <c r="AP71" i="128"/>
  <c r="AA71" i="128" s="1"/>
  <c r="AQ82" i="128"/>
  <c r="AP82" i="128"/>
  <c r="AA82" i="128" s="1"/>
  <c r="AR27" i="128"/>
  <c r="AP27" i="128"/>
  <c r="AQ105" i="128"/>
  <c r="AR24" i="128"/>
  <c r="AQ65" i="128"/>
  <c r="AR45" i="128"/>
  <c r="AR92" i="128"/>
  <c r="AQ50" i="128"/>
  <c r="AR58" i="128"/>
  <c r="AP37" i="128"/>
  <c r="AQ114" i="128"/>
  <c r="AP78" i="128"/>
  <c r="AA78" i="128" s="1"/>
  <c r="AP8" i="128"/>
  <c r="AP46" i="128"/>
  <c r="AQ34" i="128"/>
  <c r="AQ13" i="128"/>
  <c r="AP113" i="128"/>
  <c r="AA113" i="128" s="1"/>
  <c r="AP60" i="128"/>
  <c r="AA60" i="128" s="1"/>
  <c r="AQ60" i="128"/>
  <c r="AR44" i="128"/>
  <c r="AQ94" i="128"/>
  <c r="AQ15" i="128"/>
  <c r="AQ93" i="128"/>
  <c r="AP54" i="128"/>
  <c r="AQ100" i="128"/>
  <c r="AQ57" i="128"/>
  <c r="AC57" i="131" s="1"/>
  <c r="AQ98" i="128"/>
  <c r="AQ28" i="128"/>
  <c r="AQ35" i="128"/>
  <c r="AQ67" i="128"/>
  <c r="AR3" i="128"/>
  <c r="AD3" i="131" s="1"/>
  <c r="AQ128" i="128"/>
  <c r="AQ40" i="128"/>
  <c r="AR40" i="128"/>
  <c r="AQ21" i="128"/>
  <c r="AQ27" i="128"/>
  <c r="AP95" i="128"/>
  <c r="AA95" i="128" s="1"/>
  <c r="AR119" i="128"/>
  <c r="AR97" i="128"/>
  <c r="AR105" i="128"/>
  <c r="AQ25" i="128"/>
  <c r="AR65" i="128"/>
  <c r="AQ45" i="128"/>
  <c r="AQ92" i="128"/>
  <c r="B86" i="112"/>
  <c r="E86" i="112" s="1"/>
  <c r="B184" i="112"/>
  <c r="E184" i="112" s="1"/>
  <c r="B195" i="112"/>
  <c r="E195" i="112" s="1"/>
  <c r="B181" i="112"/>
  <c r="E181" i="112" s="1"/>
  <c r="B100" i="112"/>
  <c r="E100" i="112" s="1"/>
  <c r="B80" i="112"/>
  <c r="E80" i="112" s="1"/>
  <c r="B66" i="112"/>
  <c r="E66" i="112" s="1"/>
  <c r="B199" i="112"/>
  <c r="E199" i="112" s="1"/>
  <c r="B54" i="112"/>
  <c r="E54" i="112" s="1"/>
  <c r="B208" i="112"/>
  <c r="E208" i="112" s="1"/>
  <c r="B151" i="112"/>
  <c r="E151" i="112" s="1"/>
  <c r="B83" i="112"/>
  <c r="E83" i="112" s="1"/>
  <c r="B24" i="112"/>
  <c r="E24" i="112" s="1"/>
  <c r="B221" i="112"/>
  <c r="E221" i="112" s="1"/>
  <c r="B247" i="112"/>
  <c r="E247" i="112" s="1"/>
  <c r="B141" i="112"/>
  <c r="E141" i="112" s="1"/>
  <c r="B178" i="112"/>
  <c r="E178" i="112" s="1"/>
  <c r="B107" i="112"/>
  <c r="E107" i="112" s="1"/>
  <c r="B148" i="112"/>
  <c r="E148" i="112" s="1"/>
  <c r="B102" i="112"/>
  <c r="E102" i="112" s="1"/>
  <c r="B55" i="112"/>
  <c r="E55" i="112" s="1"/>
  <c r="B171" i="112"/>
  <c r="E171" i="112" s="1"/>
  <c r="B44" i="112"/>
  <c r="E44" i="112" s="1"/>
  <c r="B202" i="112"/>
  <c r="E202" i="112" s="1"/>
  <c r="B152" i="112"/>
  <c r="E152" i="112" s="1"/>
  <c r="B176" i="112"/>
  <c r="E176" i="112" s="1"/>
  <c r="B20" i="112"/>
  <c r="E20" i="112" s="1"/>
  <c r="B146" i="112"/>
  <c r="E146" i="112" s="1"/>
  <c r="B253" i="112"/>
  <c r="E253" i="112" s="1"/>
  <c r="B127" i="112"/>
  <c r="E127" i="112" s="1"/>
  <c r="B206" i="112"/>
  <c r="E206" i="112" s="1"/>
  <c r="B231" i="112"/>
  <c r="E231" i="112" s="1"/>
  <c r="B191" i="112"/>
  <c r="E191" i="112" s="1"/>
  <c r="B98" i="112"/>
  <c r="E98" i="112" s="1"/>
  <c r="B175" i="112"/>
  <c r="E175" i="112" s="1"/>
  <c r="B79" i="112"/>
  <c r="E79" i="112" s="1"/>
  <c r="B106" i="112"/>
  <c r="E106" i="112" s="1"/>
  <c r="B52" i="112"/>
  <c r="E52" i="112" s="1"/>
  <c r="B218" i="112"/>
  <c r="E218" i="112" s="1"/>
  <c r="B88" i="112"/>
  <c r="E88" i="112" s="1"/>
  <c r="B46" i="112"/>
  <c r="E46" i="112" s="1"/>
  <c r="B251" i="112"/>
  <c r="E251" i="112" s="1"/>
  <c r="B256" i="112"/>
  <c r="E256" i="112" s="1"/>
  <c r="B243" i="112"/>
  <c r="E243" i="112" s="1"/>
  <c r="B137" i="112"/>
  <c r="E137" i="112" s="1"/>
  <c r="B198" i="112"/>
  <c r="E198" i="112" s="1"/>
  <c r="B149" i="112"/>
  <c r="E149" i="112" s="1"/>
  <c r="B254" i="112"/>
  <c r="E254" i="112" s="1"/>
  <c r="B115" i="112"/>
  <c r="E115" i="112" s="1"/>
  <c r="B163" i="112"/>
  <c r="E163" i="112" s="1"/>
  <c r="B68" i="112"/>
  <c r="E68" i="112" s="1"/>
  <c r="B42" i="112"/>
  <c r="E42" i="112" s="1"/>
  <c r="B154" i="112"/>
  <c r="E154" i="112" s="1"/>
  <c r="B90" i="112"/>
  <c r="E90" i="112" s="1"/>
  <c r="B134" i="112"/>
  <c r="E134" i="112" s="1"/>
  <c r="B25" i="112"/>
  <c r="E25" i="112" s="1"/>
  <c r="B130" i="112"/>
  <c r="E130" i="112" s="1"/>
  <c r="B43" i="112"/>
  <c r="E43" i="112" s="1"/>
  <c r="B136" i="112"/>
  <c r="E136" i="112" s="1"/>
  <c r="B47" i="112"/>
  <c r="E47" i="112" s="1"/>
  <c r="B93" i="112"/>
  <c r="E93" i="112" s="1"/>
  <c r="B232" i="112"/>
  <c r="E232" i="112" s="1"/>
  <c r="B72" i="112"/>
  <c r="E72" i="112" s="1"/>
  <c r="B205" i="112"/>
  <c r="E205" i="112" s="1"/>
  <c r="B58" i="112"/>
  <c r="E58" i="112" s="1"/>
  <c r="B164" i="112"/>
  <c r="E164" i="112" s="1"/>
  <c r="B14" i="112"/>
  <c r="E14" i="112" s="1"/>
  <c r="B87" i="112"/>
  <c r="E87" i="112" s="1"/>
  <c r="B11" i="112"/>
  <c r="E11" i="112" s="1"/>
  <c r="B10" i="112"/>
  <c r="E10" i="112" s="1"/>
  <c r="B26" i="112"/>
  <c r="E26" i="112" s="1"/>
  <c r="B145" i="112"/>
  <c r="E145" i="112" s="1"/>
  <c r="B214" i="112"/>
  <c r="E214" i="112" s="1"/>
  <c r="B61" i="112"/>
  <c r="E61" i="112" s="1"/>
  <c r="B204" i="112"/>
  <c r="E204" i="112" s="1"/>
  <c r="B12" i="112"/>
  <c r="E12" i="112" s="1"/>
  <c r="B165" i="112"/>
  <c r="E165" i="112" s="1"/>
  <c r="B38" i="112"/>
  <c r="E38" i="112" s="1"/>
  <c r="B73" i="112"/>
  <c r="E73" i="112" s="1"/>
  <c r="B8" i="112"/>
  <c r="E8" i="112" s="1"/>
  <c r="B245" i="112"/>
  <c r="E245" i="112" s="1"/>
  <c r="B172" i="112"/>
  <c r="E172" i="112" s="1"/>
  <c r="B94" i="112"/>
  <c r="E94" i="112" s="1"/>
  <c r="B108" i="112"/>
  <c r="E108" i="112" s="1"/>
  <c r="B74" i="112"/>
  <c r="E74" i="112" s="1"/>
  <c r="B65" i="112"/>
  <c r="E65" i="112" s="1"/>
  <c r="B59" i="112"/>
  <c r="E59" i="112" s="1"/>
  <c r="B123" i="112"/>
  <c r="E123" i="112" s="1"/>
  <c r="B174" i="112"/>
  <c r="E174" i="112" s="1"/>
  <c r="B62" i="112"/>
  <c r="E62" i="112" s="1"/>
  <c r="B60" i="112"/>
  <c r="E60" i="112" s="1"/>
  <c r="B257" i="112"/>
  <c r="E257" i="112" s="1"/>
  <c r="B67" i="112"/>
  <c r="E67" i="112" s="1"/>
  <c r="B21" i="112"/>
  <c r="E21" i="112" s="1"/>
  <c r="B51" i="112"/>
  <c r="E51" i="112" s="1"/>
  <c r="B161" i="112"/>
  <c r="E161" i="112" s="1"/>
  <c r="B135" i="112"/>
  <c r="E135" i="112" s="1"/>
  <c r="B85" i="112"/>
  <c r="E85" i="112" s="1"/>
  <c r="B96" i="112"/>
  <c r="E96" i="112" s="1"/>
  <c r="B225" i="112"/>
  <c r="E225" i="112" s="1"/>
  <c r="B124" i="112"/>
  <c r="E124" i="112" s="1"/>
  <c r="B167" i="112"/>
  <c r="E167" i="112" s="1"/>
  <c r="B32" i="112"/>
  <c r="E32" i="112" s="1"/>
  <c r="B157" i="112"/>
  <c r="E157" i="112" s="1"/>
  <c r="B92" i="112"/>
  <c r="E92" i="112" s="1"/>
  <c r="B222" i="112"/>
  <c r="E222" i="112" s="1"/>
  <c r="B227" i="112"/>
  <c r="E227" i="112" s="1"/>
  <c r="B235" i="112"/>
  <c r="E235" i="112" s="1"/>
  <c r="B147" i="112"/>
  <c r="E147" i="112" s="1"/>
  <c r="B259" i="112"/>
  <c r="E259" i="112" s="1"/>
  <c r="B173" i="112"/>
  <c r="E173" i="112" s="1"/>
  <c r="B75" i="112"/>
  <c r="E75" i="112" s="1"/>
  <c r="B6" i="112"/>
  <c r="E6" i="112" s="1"/>
  <c r="B249" i="112"/>
  <c r="E249" i="112" s="1"/>
  <c r="B226" i="112"/>
  <c r="E226" i="112" s="1"/>
  <c r="B5" i="112"/>
  <c r="E5" i="112" s="1"/>
  <c r="B236" i="112"/>
  <c r="E236" i="112" s="1"/>
  <c r="B242" i="112"/>
  <c r="E242" i="112" s="1"/>
  <c r="B48" i="112"/>
  <c r="E48" i="112" s="1"/>
  <c r="B84" i="112"/>
  <c r="E84" i="112" s="1"/>
  <c r="B211" i="112"/>
  <c r="E211" i="112" s="1"/>
  <c r="B156" i="112"/>
  <c r="E156" i="112" s="1"/>
  <c r="B223" i="112"/>
  <c r="E223" i="112" s="1"/>
  <c r="B139" i="112"/>
  <c r="E139" i="112" s="1"/>
  <c r="B248" i="112"/>
  <c r="E248" i="112" s="1"/>
  <c r="B76" i="112"/>
  <c r="E76" i="112" s="1"/>
  <c r="B113" i="112"/>
  <c r="E113" i="112" s="1"/>
  <c r="B104" i="112"/>
  <c r="E104" i="112" s="1"/>
  <c r="B183" i="112"/>
  <c r="E183" i="112" s="1"/>
  <c r="B215" i="112"/>
  <c r="E215" i="112" s="1"/>
  <c r="B213" i="112"/>
  <c r="E213" i="112" s="1"/>
  <c r="B23" i="112"/>
  <c r="E23" i="112" s="1"/>
  <c r="B133" i="112"/>
  <c r="E133" i="112" s="1"/>
  <c r="B237" i="112"/>
  <c r="E237" i="112" s="1"/>
  <c r="B77" i="112"/>
  <c r="E77" i="112" s="1"/>
  <c r="B119" i="112"/>
  <c r="E119" i="112" s="1"/>
  <c r="B57" i="112"/>
  <c r="E57" i="112" s="1"/>
  <c r="B140" i="112"/>
  <c r="E140" i="112" s="1"/>
  <c r="B49" i="112"/>
  <c r="E49" i="112" s="1"/>
  <c r="B238" i="112"/>
  <c r="E238" i="112" s="1"/>
  <c r="B17" i="112"/>
  <c r="E17" i="112" s="1"/>
  <c r="B13" i="112"/>
  <c r="E13" i="112" s="1"/>
  <c r="B252" i="112"/>
  <c r="E252" i="112" s="1"/>
  <c r="B121" i="112"/>
  <c r="E121" i="112" s="1"/>
  <c r="B7" i="112"/>
  <c r="E7" i="112" s="1"/>
  <c r="B129" i="112"/>
  <c r="E129" i="112" s="1"/>
  <c r="B239" i="112"/>
  <c r="E239" i="112" s="1"/>
  <c r="B64" i="112"/>
  <c r="E64" i="112" s="1"/>
  <c r="B216" i="112"/>
  <c r="E216" i="112" s="1"/>
  <c r="B179" i="112"/>
  <c r="E179" i="112" s="1"/>
  <c r="B192" i="112"/>
  <c r="E192" i="112" s="1"/>
  <c r="B33" i="112"/>
  <c r="E33" i="112" s="1"/>
  <c r="B212" i="112"/>
  <c r="E212" i="112" s="1"/>
  <c r="B144" i="112"/>
  <c r="E144" i="112" s="1"/>
  <c r="B194" i="112"/>
  <c r="E194" i="112" s="1"/>
  <c r="B162" i="112"/>
  <c r="E162" i="112" s="1"/>
  <c r="B71" i="112"/>
  <c r="E71" i="112" s="1"/>
  <c r="B78" i="112"/>
  <c r="E78" i="112" s="1"/>
  <c r="B233" i="112"/>
  <c r="E233" i="112" s="1"/>
  <c r="B229" i="112"/>
  <c r="E229" i="112" s="1"/>
  <c r="B31" i="112"/>
  <c r="E31" i="112" s="1"/>
  <c r="B143" i="112"/>
  <c r="E143" i="112" s="1"/>
  <c r="B240" i="112"/>
  <c r="E240" i="112" s="1"/>
  <c r="B209" i="112"/>
  <c r="E209" i="112" s="1"/>
  <c r="B116" i="112"/>
  <c r="E116" i="112" s="1"/>
  <c r="B189" i="112"/>
  <c r="E189" i="112" s="1"/>
  <c r="B187" i="112"/>
  <c r="E187" i="112" s="1"/>
  <c r="B159" i="112"/>
  <c r="E159" i="112" s="1"/>
  <c r="B210" i="112"/>
  <c r="E210" i="112" s="1"/>
  <c r="B103" i="112"/>
  <c r="E103" i="112" s="1"/>
  <c r="B118" i="112"/>
  <c r="E118" i="112" s="1"/>
  <c r="B97" i="112"/>
  <c r="E97" i="112" s="1"/>
  <c r="B142" i="112"/>
  <c r="E142" i="112" s="1"/>
  <c r="B196" i="112"/>
  <c r="E196" i="112" s="1"/>
  <c r="B169" i="112"/>
  <c r="E169" i="112" s="1"/>
  <c r="B219" i="112"/>
  <c r="E219" i="112" s="1"/>
  <c r="B168" i="112"/>
  <c r="E168" i="112" s="1"/>
  <c r="B200" i="112"/>
  <c r="E200" i="112" s="1"/>
  <c r="B28" i="112"/>
  <c r="E28" i="112" s="1"/>
  <c r="B91" i="112"/>
  <c r="E91" i="112" s="1"/>
  <c r="B70" i="112"/>
  <c r="E70" i="112" s="1"/>
  <c r="B186" i="112"/>
  <c r="E186" i="112" s="1"/>
  <c r="B126" i="112"/>
  <c r="E126" i="112" s="1"/>
  <c r="B190" i="112"/>
  <c r="E190" i="112" s="1"/>
  <c r="B234" i="112"/>
  <c r="E234" i="112" s="1"/>
  <c r="B230" i="112"/>
  <c r="E230" i="112" s="1"/>
  <c r="B53" i="112"/>
  <c r="E53" i="112" s="1"/>
  <c r="B122" i="112"/>
  <c r="E122" i="112" s="1"/>
  <c r="B188" i="112"/>
  <c r="E188" i="112" s="1"/>
  <c r="B50" i="112"/>
  <c r="E50" i="112" s="1"/>
  <c r="B155" i="112"/>
  <c r="E155" i="112" s="1"/>
  <c r="B170" i="112"/>
  <c r="E170" i="112" s="1"/>
  <c r="B30" i="112"/>
  <c r="E30" i="112" s="1"/>
  <c r="B34" i="112"/>
  <c r="E34" i="112" s="1"/>
  <c r="B37" i="112"/>
  <c r="E37" i="112" s="1"/>
  <c r="B95" i="112"/>
  <c r="E95" i="112" s="1"/>
  <c r="B45" i="112"/>
  <c r="E45" i="112" s="1"/>
  <c r="B177" i="112"/>
  <c r="E177" i="112" s="1"/>
  <c r="B120" i="112"/>
  <c r="E120" i="112" s="1"/>
  <c r="B193" i="112"/>
  <c r="E193" i="112" s="1"/>
  <c r="B36" i="112"/>
  <c r="E36" i="112" s="1"/>
  <c r="B246" i="112"/>
  <c r="E246" i="112" s="1"/>
  <c r="B128" i="112"/>
  <c r="E128" i="112" s="1"/>
  <c r="B27" i="112"/>
  <c r="E27" i="112" s="1"/>
  <c r="B180" i="112"/>
  <c r="E180" i="112" s="1"/>
  <c r="B132" i="112"/>
  <c r="E132" i="112" s="1"/>
  <c r="B99" i="112"/>
  <c r="E99" i="112" s="1"/>
  <c r="B166" i="112"/>
  <c r="E166" i="112" s="1"/>
  <c r="B40" i="112"/>
  <c r="E40" i="112" s="1"/>
  <c r="B182" i="112"/>
  <c r="E182" i="112" s="1"/>
  <c r="B197" i="112"/>
  <c r="E197" i="112" s="1"/>
  <c r="B15" i="112"/>
  <c r="E15" i="112" s="1"/>
  <c r="B35" i="112"/>
  <c r="E35" i="112" s="1"/>
  <c r="B9" i="112"/>
  <c r="E9" i="112" s="1"/>
  <c r="B150" i="112"/>
  <c r="E150" i="112" s="1"/>
  <c r="B217" i="112"/>
  <c r="E217" i="112" s="1"/>
  <c r="B250" i="112"/>
  <c r="E250" i="112" s="1"/>
  <c r="B220" i="112"/>
  <c r="E220" i="112" s="1"/>
  <c r="B29" i="112"/>
  <c r="E29" i="112" s="1"/>
  <c r="B241" i="112"/>
  <c r="E241" i="112" s="1"/>
  <c r="B111" i="112"/>
  <c r="E111" i="112" s="1"/>
  <c r="B158" i="112"/>
  <c r="E158" i="112" s="1"/>
  <c r="B82" i="112"/>
  <c r="E82" i="112" s="1"/>
  <c r="B22" i="112"/>
  <c r="E22" i="112" s="1"/>
  <c r="B4" i="112"/>
  <c r="E4" i="112" s="1"/>
  <c r="B56" i="112"/>
  <c r="E56" i="112" s="1"/>
  <c r="B18" i="112"/>
  <c r="E18" i="112" s="1"/>
  <c r="B255" i="112"/>
  <c r="E255" i="112" s="1"/>
  <c r="B131" i="112"/>
  <c r="E131" i="112" s="1"/>
  <c r="B153" i="112"/>
  <c r="E153" i="112" s="1"/>
  <c r="B228" i="112"/>
  <c r="E228" i="112" s="1"/>
  <c r="B258" i="112"/>
  <c r="E258" i="112" s="1"/>
  <c r="B224" i="112"/>
  <c r="E224" i="112" s="1"/>
  <c r="B19" i="112"/>
  <c r="E19" i="112" s="1"/>
  <c r="B185" i="112"/>
  <c r="E185" i="112" s="1"/>
  <c r="B41" i="112"/>
  <c r="E41" i="112" s="1"/>
  <c r="B110" i="112"/>
  <c r="E110" i="112" s="1"/>
  <c r="B109" i="112"/>
  <c r="E109" i="112" s="1"/>
  <c r="B63" i="112"/>
  <c r="E63" i="112" s="1"/>
  <c r="B39" i="112"/>
  <c r="E39" i="112" s="1"/>
  <c r="B117" i="112"/>
  <c r="E117" i="112" s="1"/>
  <c r="B201" i="112"/>
  <c r="E201" i="112" s="1"/>
  <c r="B112" i="112"/>
  <c r="E112" i="112" s="1"/>
  <c r="B138" i="112"/>
  <c r="E138" i="112" s="1"/>
  <c r="B81" i="112"/>
  <c r="E81" i="112" s="1"/>
  <c r="B207" i="112"/>
  <c r="E207" i="112" s="1"/>
  <c r="B160" i="112"/>
  <c r="E160" i="112" s="1"/>
  <c r="B105" i="112"/>
  <c r="E105" i="112" s="1"/>
  <c r="B203" i="112"/>
  <c r="E203" i="112" s="1"/>
  <c r="B89" i="112"/>
  <c r="E89" i="112" s="1"/>
  <c r="B125" i="112"/>
  <c r="E125" i="112" s="1"/>
  <c r="B244" i="112"/>
  <c r="E244" i="112" s="1"/>
  <c r="B101" i="112"/>
  <c r="E101" i="112" s="1"/>
  <c r="B114" i="112"/>
  <c r="E114" i="112" s="1"/>
  <c r="B16" i="112"/>
  <c r="E16" i="112" s="1"/>
  <c r="B69" i="112"/>
  <c r="E69" i="112" s="1"/>
  <c r="AG20" i="128"/>
  <c r="AG8" i="128"/>
  <c r="AG10" i="128"/>
  <c r="BQ66" i="128"/>
  <c r="AD66" i="128" s="1"/>
  <c r="BQ4" i="128"/>
  <c r="AD4" i="128" s="1"/>
  <c r="BS96" i="128"/>
  <c r="BQ77" i="128"/>
  <c r="AD77" i="128" s="1"/>
  <c r="BQ36" i="128"/>
  <c r="AD36" i="128" s="1"/>
  <c r="BR89" i="128"/>
  <c r="BR118" i="128"/>
  <c r="BQ86" i="128"/>
  <c r="AD86" i="128" s="1"/>
  <c r="BS86" i="128"/>
  <c r="BR20" i="128"/>
  <c r="BS20" i="128"/>
  <c r="BS64" i="128"/>
  <c r="BS18" i="128"/>
  <c r="BS124" i="128"/>
  <c r="BQ124" i="128"/>
  <c r="AD124" i="128" s="1"/>
  <c r="BQ68" i="128"/>
  <c r="AD68" i="128" s="1"/>
  <c r="BR68" i="128"/>
  <c r="BS68" i="128"/>
  <c r="BQ8" i="128"/>
  <c r="AD8" i="128" s="1"/>
  <c r="BS8" i="128"/>
  <c r="BQ49" i="128"/>
  <c r="AD49" i="128" s="1"/>
  <c r="BS49" i="128"/>
  <c r="BS41" i="128"/>
  <c r="BQ41" i="128"/>
  <c r="AD41" i="128" s="1"/>
  <c r="BS88" i="128"/>
  <c r="BQ31" i="128"/>
  <c r="AD31" i="128" s="1"/>
  <c r="BR53" i="128"/>
  <c r="BS61" i="128"/>
  <c r="BS81" i="128"/>
  <c r="BR108" i="128"/>
  <c r="BS44" i="128"/>
  <c r="BS94" i="128"/>
  <c r="BQ15" i="128"/>
  <c r="AD15" i="128" s="1"/>
  <c r="BR73" i="128"/>
  <c r="BS126" i="128"/>
  <c r="BQ51" i="128"/>
  <c r="AD51" i="128" s="1"/>
  <c r="BQ83" i="128"/>
  <c r="AD83" i="128" s="1"/>
  <c r="BS19" i="128"/>
  <c r="BS100" i="128"/>
  <c r="BQ99" i="128"/>
  <c r="AD99" i="128" s="1"/>
  <c r="BS112" i="128"/>
  <c r="BR102" i="128"/>
  <c r="BQ69" i="128"/>
  <c r="AD69" i="128" s="1"/>
  <c r="BQ109" i="128"/>
  <c r="AD109" i="128" s="1"/>
  <c r="BQ127" i="128"/>
  <c r="AD127" i="128" s="1"/>
  <c r="BQ90" i="128"/>
  <c r="AD90" i="128" s="1"/>
  <c r="BS79" i="128"/>
  <c r="BQ74" i="128"/>
  <c r="AD74" i="128" s="1"/>
  <c r="BR74" i="128"/>
  <c r="BQ75" i="128"/>
  <c r="AD75" i="128" s="1"/>
  <c r="BS75" i="128"/>
  <c r="BS33" i="128"/>
  <c r="BR35" i="128"/>
  <c r="BR17" i="128"/>
  <c r="BR80" i="128"/>
  <c r="BS80" i="128"/>
  <c r="BQ115" i="128"/>
  <c r="AD115" i="128" s="1"/>
  <c r="BQ104" i="128"/>
  <c r="AD104" i="128" s="1"/>
  <c r="BS38" i="128"/>
  <c r="BR38" i="128"/>
  <c r="BQ55" i="128"/>
  <c r="AD55" i="128" s="1"/>
  <c r="BQ43" i="128"/>
  <c r="AD43" i="128" s="1"/>
  <c r="BQ11" i="128"/>
  <c r="AD11" i="128" s="1"/>
  <c r="BQ116" i="128"/>
  <c r="AD116" i="128" s="1"/>
  <c r="BS129" i="128"/>
  <c r="BS26" i="128"/>
  <c r="BR9" i="128"/>
  <c r="BS47" i="128"/>
  <c r="BR82" i="128"/>
  <c r="BR119" i="128"/>
  <c r="BS62" i="128"/>
  <c r="BQ62" i="128"/>
  <c r="AD62" i="128" s="1"/>
  <c r="BS56" i="128"/>
  <c r="BR56" i="128"/>
  <c r="BS5" i="128"/>
  <c r="BS105" i="128"/>
  <c r="BR63" i="128"/>
  <c r="BR24" i="128"/>
  <c r="BR65" i="128"/>
  <c r="BR45" i="128"/>
  <c r="BS45" i="128"/>
  <c r="BQ122" i="128"/>
  <c r="AD122" i="128" s="1"/>
  <c r="BS50" i="128"/>
  <c r="BQ58" i="128"/>
  <c r="AD58" i="128" s="1"/>
  <c r="BR58" i="128"/>
  <c r="BS72" i="128"/>
  <c r="BQ85" i="128"/>
  <c r="AD85" i="128" s="1"/>
  <c r="BQ119" i="128"/>
  <c r="AD119" i="128" s="1"/>
  <c r="BQ63" i="128"/>
  <c r="AD63" i="128" s="1"/>
  <c r="BS65" i="128"/>
  <c r="BS89" i="128"/>
  <c r="BS118" i="128"/>
  <c r="BQ20" i="128"/>
  <c r="AD20" i="128" s="1"/>
  <c r="BS59" i="128"/>
  <c r="BQ60" i="128"/>
  <c r="AD60" i="128" s="1"/>
  <c r="BS23" i="128"/>
  <c r="BS16" i="128"/>
  <c r="BQ126" i="128"/>
  <c r="AD126" i="128" s="1"/>
  <c r="BS22" i="128"/>
  <c r="BR83" i="128"/>
  <c r="BQ6" i="128"/>
  <c r="AD6" i="128" s="1"/>
  <c r="BR112" i="128"/>
  <c r="BQ117" i="128"/>
  <c r="AD117" i="128" s="1"/>
  <c r="BQ103" i="128"/>
  <c r="AD103" i="128" s="1"/>
  <c r="BQ79" i="128"/>
  <c r="AD79" i="128" s="1"/>
  <c r="BR33" i="128"/>
  <c r="BQ80" i="128"/>
  <c r="AD80" i="128" s="1"/>
  <c r="BQ67" i="128"/>
  <c r="AD67" i="128" s="1"/>
  <c r="BR116" i="128"/>
  <c r="BQ129" i="128"/>
  <c r="AD129" i="128" s="1"/>
  <c r="BR47" i="128"/>
  <c r="BQ87" i="128"/>
  <c r="AD87" i="128" s="1"/>
  <c r="BS97" i="128"/>
  <c r="BR5" i="128"/>
  <c r="BR50" i="128"/>
  <c r="BR72" i="128"/>
  <c r="BR66" i="128"/>
  <c r="BS66" i="128"/>
  <c r="BQ96" i="128"/>
  <c r="AD96" i="128" s="1"/>
  <c r="BR77" i="128"/>
  <c r="BS36" i="128"/>
  <c r="BR36" i="128"/>
  <c r="BR52" i="128"/>
  <c r="BS52" i="128"/>
  <c r="BQ118" i="128"/>
  <c r="AD118" i="128" s="1"/>
  <c r="BR86" i="128"/>
  <c r="BQ64" i="128"/>
  <c r="AD64" i="128" s="1"/>
  <c r="BR64" i="128"/>
  <c r="BQ18" i="128"/>
  <c r="AD18" i="128" s="1"/>
  <c r="BR124" i="128"/>
  <c r="BR32" i="128"/>
  <c r="BQ39" i="128"/>
  <c r="AD39" i="128" s="1"/>
  <c r="BS101" i="128"/>
  <c r="BS110" i="128"/>
  <c r="BS46" i="128"/>
  <c r="BQ46" i="128"/>
  <c r="AD46" i="128" s="1"/>
  <c r="BR41" i="128"/>
  <c r="BS121" i="128"/>
  <c r="BQ34" i="128"/>
  <c r="AD34" i="128" s="1"/>
  <c r="BQ10" i="128"/>
  <c r="AD10" i="128" s="1"/>
  <c r="BR10" i="128"/>
  <c r="BQ29" i="128"/>
  <c r="AD29" i="128" s="1"/>
  <c r="BQ125" i="128"/>
  <c r="AD125" i="128" s="1"/>
  <c r="BQ61" i="128"/>
  <c r="AD61" i="128" s="1"/>
  <c r="BR113" i="128"/>
  <c r="BS113" i="128"/>
  <c r="BR48" i="128"/>
  <c r="BR81" i="128"/>
  <c r="BQ23" i="128"/>
  <c r="AD23" i="128" s="1"/>
  <c r="BR16" i="128"/>
  <c r="BS108" i="128"/>
  <c r="BS73" i="128"/>
  <c r="BQ73" i="128"/>
  <c r="AD73" i="128" s="1"/>
  <c r="BR93" i="128"/>
  <c r="BS93" i="128"/>
  <c r="BQ22" i="128"/>
  <c r="AD22" i="128" s="1"/>
  <c r="P22" i="131" s="1"/>
  <c r="BS51" i="128"/>
  <c r="BS130" i="128"/>
  <c r="BR6" i="128"/>
  <c r="BR19" i="128"/>
  <c r="BS99" i="128"/>
  <c r="BQ112" i="128"/>
  <c r="AD112" i="128" s="1"/>
  <c r="BQ102" i="128"/>
  <c r="AD102" i="128" s="1"/>
  <c r="BR117" i="128"/>
  <c r="BS127" i="128"/>
  <c r="BS90" i="128"/>
  <c r="BQ57" i="128"/>
  <c r="AD57" i="128" s="1"/>
  <c r="BQ98" i="128"/>
  <c r="AD98" i="128" s="1"/>
  <c r="BS28" i="128"/>
  <c r="BQ28" i="128"/>
  <c r="AD28" i="128" s="1"/>
  <c r="BS35" i="128"/>
  <c r="BS17" i="128"/>
  <c r="BS42" i="128"/>
  <c r="BR115" i="128"/>
  <c r="BR104" i="128"/>
  <c r="BS104" i="128"/>
  <c r="BR30" i="128"/>
  <c r="BR67" i="128"/>
  <c r="BR55" i="128"/>
  <c r="BS43" i="128"/>
  <c r="BS11" i="128"/>
  <c r="BR14" i="128"/>
  <c r="BS116" i="128"/>
  <c r="BQ128" i="128"/>
  <c r="AD128" i="128" s="1"/>
  <c r="BR26" i="128"/>
  <c r="BS120" i="128"/>
  <c r="BQ120" i="128"/>
  <c r="AD120" i="128" s="1"/>
  <c r="BQ40" i="128"/>
  <c r="AD40" i="128" s="1"/>
  <c r="BR21" i="128"/>
  <c r="BQ21" i="128"/>
  <c r="AD21" i="128" s="1"/>
  <c r="BS9" i="128"/>
  <c r="BQ9" i="128"/>
  <c r="AD9" i="128" s="1"/>
  <c r="BS123" i="128"/>
  <c r="BS71" i="128"/>
  <c r="BR71" i="128"/>
  <c r="BQ71" i="128"/>
  <c r="AD71" i="128" s="1"/>
  <c r="BR12" i="128"/>
  <c r="BS82" i="128"/>
  <c r="BQ82" i="128"/>
  <c r="AD82" i="128" s="1"/>
  <c r="BR27" i="128"/>
  <c r="BQ27" i="128"/>
  <c r="AD27" i="128" s="1"/>
  <c r="BQ95" i="128"/>
  <c r="AD95" i="128" s="1"/>
  <c r="BS119" i="128"/>
  <c r="BS7" i="128"/>
  <c r="BQ7" i="128"/>
  <c r="AD7" i="128" s="1"/>
  <c r="BR87" i="128"/>
  <c r="BQ106" i="128"/>
  <c r="AD106" i="128" s="1"/>
  <c r="BQ97" i="128"/>
  <c r="AD97" i="128" s="1"/>
  <c r="BR105" i="128"/>
  <c r="BS63" i="128"/>
  <c r="BR25" i="128"/>
  <c r="BQ25" i="128"/>
  <c r="AD25" i="128" s="1"/>
  <c r="BQ45" i="128"/>
  <c r="AD45" i="128" s="1"/>
  <c r="BS92" i="128"/>
  <c r="BQ92" i="128"/>
  <c r="AD92" i="128" s="1"/>
  <c r="BR92" i="128"/>
  <c r="BS122" i="128"/>
  <c r="BR85" i="128"/>
  <c r="BS37" i="128"/>
  <c r="BR95" i="128"/>
  <c r="BR62" i="128"/>
  <c r="BR106" i="128"/>
  <c r="BQ5" i="128"/>
  <c r="AD5" i="128" s="1"/>
  <c r="P5" i="131" s="1"/>
  <c r="BS85" i="128"/>
  <c r="BQ37" i="128"/>
  <c r="AD37" i="128" s="1"/>
  <c r="BR37" i="128"/>
  <c r="BR114" i="128"/>
  <c r="BS78" i="128"/>
  <c r="BQ91" i="128"/>
  <c r="AD91" i="128" s="1"/>
  <c r="BS107" i="128"/>
  <c r="BS39" i="128"/>
  <c r="BR101" i="128"/>
  <c r="BQ110" i="128"/>
  <c r="AD110" i="128" s="1"/>
  <c r="BR88" i="128"/>
  <c r="BQ88" i="128"/>
  <c r="AD88" i="128" s="1"/>
  <c r="BQ121" i="128"/>
  <c r="AD121" i="128" s="1"/>
  <c r="BS53" i="128"/>
  <c r="BR125" i="128"/>
  <c r="BR13" i="128"/>
  <c r="BS48" i="128"/>
  <c r="BQ70" i="128"/>
  <c r="AD70" i="128" s="1"/>
  <c r="BQ44" i="128"/>
  <c r="AD44" i="128" s="1"/>
  <c r="BR44" i="128"/>
  <c r="BQ19" i="128"/>
  <c r="AD19" i="128" s="1"/>
  <c r="BS102" i="128"/>
  <c r="BS103" i="128"/>
  <c r="BR109" i="128"/>
  <c r="BR90" i="128"/>
  <c r="BR79" i="128"/>
  <c r="BQ35" i="128"/>
  <c r="AD35" i="128" s="1"/>
  <c r="BQ30" i="128"/>
  <c r="AD30" i="128" s="1"/>
  <c r="BR3" i="128"/>
  <c r="BQ3" i="128"/>
  <c r="AD3" i="128" s="1"/>
  <c r="BS55" i="128"/>
  <c r="BS14" i="128"/>
  <c r="BR128" i="128"/>
  <c r="BR129" i="128"/>
  <c r="BQ47" i="128"/>
  <c r="AD47" i="128" s="1"/>
  <c r="BQ56" i="128"/>
  <c r="AD56" i="128" s="1"/>
  <c r="BQ24" i="128"/>
  <c r="AD24" i="128" s="1"/>
  <c r="P24" i="131" s="1"/>
  <c r="BS24" i="128"/>
  <c r="BR122" i="128"/>
  <c r="BQ50" i="128"/>
  <c r="AD50" i="128" s="1"/>
  <c r="BQ72" i="128"/>
  <c r="AD72" i="128" s="1"/>
  <c r="BQ114" i="128"/>
  <c r="AD114" i="128" s="1"/>
  <c r="BS114" i="128"/>
  <c r="BQ78" i="128"/>
  <c r="AD78" i="128" s="1"/>
  <c r="BR78" i="128"/>
  <c r="BS91" i="128"/>
  <c r="BR91" i="128"/>
  <c r="BQ52" i="128"/>
  <c r="AD52" i="128" s="1"/>
  <c r="P52" i="131" s="1"/>
  <c r="BQ89" i="128"/>
  <c r="AD89" i="128" s="1"/>
  <c r="BR107" i="128"/>
  <c r="BR18" i="128"/>
  <c r="BS32" i="128"/>
  <c r="BQ32" i="128"/>
  <c r="AD32" i="128" s="1"/>
  <c r="BQ59" i="128"/>
  <c r="AD59" i="128" s="1"/>
  <c r="BR59" i="128"/>
  <c r="BR8" i="128"/>
  <c r="BT8" i="128" s="1"/>
  <c r="BR39" i="128"/>
  <c r="BQ101" i="128"/>
  <c r="AD101" i="128" s="1"/>
  <c r="BR49" i="128"/>
  <c r="BR110" i="128"/>
  <c r="BR46" i="128"/>
  <c r="BR121" i="128"/>
  <c r="BS34" i="128"/>
  <c r="BR34" i="128"/>
  <c r="BS31" i="128"/>
  <c r="BS111" i="128"/>
  <c r="BQ111" i="128"/>
  <c r="AD111" i="128" s="1"/>
  <c r="BS10" i="128"/>
  <c r="BQ53" i="128"/>
  <c r="AD53" i="128" s="1"/>
  <c r="BS29" i="128"/>
  <c r="BS125" i="128"/>
  <c r="BR61" i="128"/>
  <c r="BS13" i="128"/>
  <c r="BQ13" i="128"/>
  <c r="AD13" i="128" s="1"/>
  <c r="BQ48" i="128"/>
  <c r="AD48" i="128" s="1"/>
  <c r="BR60" i="128"/>
  <c r="BS60" i="128"/>
  <c r="BS70" i="128"/>
  <c r="BR70" i="128"/>
  <c r="BR23" i="128"/>
  <c r="BQ16" i="128"/>
  <c r="AD16" i="128" s="1"/>
  <c r="BQ108" i="128"/>
  <c r="AD108" i="128" s="1"/>
  <c r="BR94" i="128"/>
  <c r="BR15" i="128"/>
  <c r="BQ54" i="128"/>
  <c r="AD54" i="128" s="1"/>
  <c r="BS54" i="128"/>
  <c r="BR76" i="128"/>
  <c r="BS76" i="128"/>
  <c r="BR126" i="128"/>
  <c r="BR22" i="128"/>
  <c r="BQ130" i="128"/>
  <c r="AD130" i="128" s="1"/>
  <c r="BR130" i="128"/>
  <c r="BS83" i="128"/>
  <c r="BS6" i="128"/>
  <c r="BR100" i="128"/>
  <c r="BR99" i="128"/>
  <c r="BS117" i="128"/>
  <c r="BR69" i="128"/>
  <c r="BR103" i="128"/>
  <c r="BS109" i="128"/>
  <c r="BR127" i="128"/>
  <c r="BS57" i="128"/>
  <c r="BR57" i="128"/>
  <c r="BS98" i="128"/>
  <c r="BR98" i="128"/>
  <c r="BR28" i="128"/>
  <c r="BQ33" i="128"/>
  <c r="AD33" i="128" s="1"/>
  <c r="BQ17" i="128"/>
  <c r="AD17" i="128" s="1"/>
  <c r="BQ42" i="128"/>
  <c r="AD42" i="128" s="1"/>
  <c r="BQ84" i="128"/>
  <c r="AD84" i="128" s="1"/>
  <c r="BS84" i="128"/>
  <c r="BS30" i="128"/>
  <c r="BS67" i="128"/>
  <c r="BQ38" i="128"/>
  <c r="AD38" i="128" s="1"/>
  <c r="BS3" i="128"/>
  <c r="BR11" i="128"/>
  <c r="BQ14" i="128"/>
  <c r="AD14" i="128" s="1"/>
  <c r="BS128" i="128"/>
  <c r="BQ26" i="128"/>
  <c r="AD26" i="128" s="1"/>
  <c r="BR120" i="128"/>
  <c r="BS40" i="128"/>
  <c r="BR40" i="128"/>
  <c r="BS21" i="128"/>
  <c r="BQ123" i="128"/>
  <c r="AD123" i="128" s="1"/>
  <c r="BR123" i="128"/>
  <c r="BS12" i="128"/>
  <c r="BS27" i="128"/>
  <c r="BS95" i="128"/>
  <c r="BR7" i="128"/>
  <c r="BR97" i="128"/>
  <c r="BS25" i="128"/>
  <c r="BQ65" i="128"/>
  <c r="AD65" i="128" s="1"/>
  <c r="BS4" i="128"/>
  <c r="BR4" i="128"/>
  <c r="BR96" i="128"/>
  <c r="BS77" i="128"/>
  <c r="BQ107" i="128"/>
  <c r="AD107" i="128" s="1"/>
  <c r="BR31" i="128"/>
  <c r="BR111" i="128"/>
  <c r="BR29" i="128"/>
  <c r="BQ113" i="128"/>
  <c r="AD113" i="128" s="1"/>
  <c r="BQ81" i="128"/>
  <c r="AD81" i="128" s="1"/>
  <c r="BQ94" i="128"/>
  <c r="AD94" i="128" s="1"/>
  <c r="BS15" i="128"/>
  <c r="BQ93" i="128"/>
  <c r="AD93" i="128" s="1"/>
  <c r="BR54" i="128"/>
  <c r="BQ76" i="128"/>
  <c r="AD76" i="128" s="1"/>
  <c r="BR51" i="128"/>
  <c r="BQ100" i="128"/>
  <c r="AD100" i="128" s="1"/>
  <c r="BS69" i="128"/>
  <c r="BS74" i="128"/>
  <c r="BR75" i="128"/>
  <c r="BR42" i="128"/>
  <c r="BR84" i="128"/>
  <c r="BS115" i="128"/>
  <c r="BR43" i="128"/>
  <c r="BQ12" i="128"/>
  <c r="AD12" i="128" s="1"/>
  <c r="P12" i="131" s="1"/>
  <c r="BS87" i="128"/>
  <c r="BS106" i="128"/>
  <c r="BQ105" i="128"/>
  <c r="AD105" i="128" s="1"/>
  <c r="BS58" i="128"/>
  <c r="AG13" i="128"/>
  <c r="AG21" i="128"/>
  <c r="AG11" i="128"/>
  <c r="CA114" i="128"/>
  <c r="CA78" i="128"/>
  <c r="BZ77" i="128"/>
  <c r="AE77" i="128" s="1"/>
  <c r="CA36" i="128"/>
  <c r="BZ89" i="128"/>
  <c r="AE89" i="128" s="1"/>
  <c r="CB89" i="128"/>
  <c r="CA107" i="128"/>
  <c r="CB118" i="128"/>
  <c r="CA20" i="128"/>
  <c r="CB32" i="128"/>
  <c r="CB8" i="128"/>
  <c r="BZ39" i="128"/>
  <c r="AE39" i="128" s="1"/>
  <c r="CB101" i="128"/>
  <c r="BZ49" i="128"/>
  <c r="AE49" i="128" s="1"/>
  <c r="CB110" i="128"/>
  <c r="CA110" i="128"/>
  <c r="BZ110" i="128"/>
  <c r="AE110" i="128" s="1"/>
  <c r="CA46" i="128"/>
  <c r="CB41" i="128"/>
  <c r="CA41" i="128"/>
  <c r="BZ121" i="128"/>
  <c r="AE121" i="128" s="1"/>
  <c r="CB121" i="128"/>
  <c r="CA34" i="128"/>
  <c r="BZ34" i="128"/>
  <c r="AE34" i="128" s="1"/>
  <c r="BZ31" i="128"/>
  <c r="AE31" i="128" s="1"/>
  <c r="CB111" i="128"/>
  <c r="CB10" i="128"/>
  <c r="CA29" i="128"/>
  <c r="CB61" i="128"/>
  <c r="CB13" i="128"/>
  <c r="BZ13" i="128"/>
  <c r="AE13" i="128" s="1"/>
  <c r="CB113" i="128"/>
  <c r="BZ48" i="128"/>
  <c r="AE48" i="128" s="1"/>
  <c r="BZ81" i="128"/>
  <c r="AE81" i="128" s="1"/>
  <c r="BZ60" i="128"/>
  <c r="AE60" i="128" s="1"/>
  <c r="CA23" i="128"/>
  <c r="BZ16" i="128"/>
  <c r="AE16" i="128" s="1"/>
  <c r="BZ108" i="128"/>
  <c r="AE108" i="128" s="1"/>
  <c r="CA44" i="128"/>
  <c r="BZ94" i="128"/>
  <c r="AE94" i="128" s="1"/>
  <c r="CA15" i="128"/>
  <c r="CB93" i="128"/>
  <c r="CA54" i="128"/>
  <c r="CA22" i="128"/>
  <c r="CB22" i="128"/>
  <c r="CA51" i="128"/>
  <c r="BZ130" i="128"/>
  <c r="AE130" i="128" s="1"/>
  <c r="CB83" i="128"/>
  <c r="BZ83" i="128"/>
  <c r="AE83" i="128" s="1"/>
  <c r="BZ6" i="128"/>
  <c r="AE6" i="128" s="1"/>
  <c r="CA100" i="128"/>
  <c r="CB99" i="128"/>
  <c r="BZ102" i="128"/>
  <c r="AE102" i="128" s="1"/>
  <c r="CA117" i="128"/>
  <c r="CB69" i="128"/>
  <c r="BZ103" i="128"/>
  <c r="AE103" i="128" s="1"/>
  <c r="BZ109" i="128"/>
  <c r="AE109" i="128" s="1"/>
  <c r="CB98" i="128"/>
  <c r="CA33" i="128"/>
  <c r="CB35" i="128"/>
  <c r="CA17" i="128"/>
  <c r="CA104" i="128"/>
  <c r="BZ30" i="128"/>
  <c r="AE30" i="128" s="1"/>
  <c r="CB67" i="128"/>
  <c r="BZ67" i="128"/>
  <c r="AE67" i="128" s="1"/>
  <c r="CB38" i="128"/>
  <c r="CA3" i="128"/>
  <c r="CA11" i="128"/>
  <c r="CC11" i="128" s="1"/>
  <c r="BZ128" i="128"/>
  <c r="AE128" i="128" s="1"/>
  <c r="BZ120" i="128"/>
  <c r="AE120" i="128" s="1"/>
  <c r="CB120" i="128"/>
  <c r="CA120" i="128"/>
  <c r="CB40" i="128"/>
  <c r="BZ21" i="128"/>
  <c r="AE21" i="128" s="1"/>
  <c r="CA21" i="128"/>
  <c r="CA9" i="128"/>
  <c r="BZ71" i="128"/>
  <c r="AE71" i="128" s="1"/>
  <c r="CA12" i="128"/>
  <c r="BZ12" i="128"/>
  <c r="AE12" i="128" s="1"/>
  <c r="BZ119" i="128"/>
  <c r="AE119" i="128" s="1"/>
  <c r="CB56" i="128"/>
  <c r="CA87" i="128"/>
  <c r="BZ5" i="128"/>
  <c r="AE5" i="128" s="1"/>
  <c r="CA5" i="128"/>
  <c r="CA105" i="128"/>
  <c r="CB63" i="128"/>
  <c r="CB24" i="128"/>
  <c r="BZ65" i="128"/>
  <c r="AE65" i="128" s="1"/>
  <c r="CA65" i="128"/>
  <c r="CA92" i="128"/>
  <c r="BZ92" i="128"/>
  <c r="AE92" i="128" s="1"/>
  <c r="CB92" i="128"/>
  <c r="CB72" i="128"/>
  <c r="CA85" i="128"/>
  <c r="BZ37" i="128"/>
  <c r="AE37" i="128" s="1"/>
  <c r="CA95" i="128"/>
  <c r="CA119" i="128"/>
  <c r="BZ62" i="128"/>
  <c r="AE62" i="128" s="1"/>
  <c r="CB62" i="128"/>
  <c r="BZ7" i="128"/>
  <c r="AE7" i="128" s="1"/>
  <c r="BZ24" i="128"/>
  <c r="AE24" i="128" s="1"/>
  <c r="CB25" i="128"/>
  <c r="CA122" i="128"/>
  <c r="CA50" i="128"/>
  <c r="BZ85" i="128"/>
  <c r="AE85" i="128" s="1"/>
  <c r="CB70" i="128"/>
  <c r="CB73" i="128"/>
  <c r="CB76" i="128"/>
  <c r="CB51" i="128"/>
  <c r="CB130" i="128"/>
  <c r="CA130" i="128"/>
  <c r="BZ19" i="128"/>
  <c r="AE19" i="128" s="1"/>
  <c r="CA99" i="128"/>
  <c r="CB117" i="128"/>
  <c r="CA109" i="128"/>
  <c r="CA127" i="128"/>
  <c r="BZ127" i="128"/>
  <c r="AE127" i="128" s="1"/>
  <c r="CB90" i="128"/>
  <c r="CA35" i="128"/>
  <c r="CA42" i="128"/>
  <c r="BZ84" i="128"/>
  <c r="AE84" i="128" s="1"/>
  <c r="BZ104" i="128"/>
  <c r="AE104" i="128" s="1"/>
  <c r="CB128" i="128"/>
  <c r="CA71" i="128"/>
  <c r="BZ27" i="128"/>
  <c r="AE27" i="128" s="1"/>
  <c r="BZ95" i="128"/>
  <c r="AE95" i="128" s="1"/>
  <c r="CA7" i="128"/>
  <c r="BZ56" i="128"/>
  <c r="AE56" i="128" s="1"/>
  <c r="CA63" i="128"/>
  <c r="CA24" i="128"/>
  <c r="BZ25" i="128"/>
  <c r="AE25" i="128" s="1"/>
  <c r="CA45" i="128"/>
  <c r="BZ58" i="128"/>
  <c r="AE58" i="128" s="1"/>
  <c r="CB58" i="128"/>
  <c r="CA72" i="128"/>
  <c r="CA37" i="128"/>
  <c r="CA66" i="128"/>
  <c r="CB66" i="128"/>
  <c r="BZ4" i="128"/>
  <c r="AE4" i="128" s="1"/>
  <c r="CB114" i="128"/>
  <c r="BZ78" i="128"/>
  <c r="AE78" i="128" s="1"/>
  <c r="CB91" i="128"/>
  <c r="CA91" i="128"/>
  <c r="CB77" i="128"/>
  <c r="CA77" i="128"/>
  <c r="CB36" i="128"/>
  <c r="CA89" i="128"/>
  <c r="CB107" i="128"/>
  <c r="CA118" i="128"/>
  <c r="CB86" i="128"/>
  <c r="BZ20" i="128"/>
  <c r="AE20" i="128" s="1"/>
  <c r="BZ64" i="128"/>
  <c r="AE64" i="128" s="1"/>
  <c r="BZ18" i="128"/>
  <c r="AE18" i="128" s="1"/>
  <c r="CB68" i="128"/>
  <c r="BZ32" i="128"/>
  <c r="AE32" i="128" s="1"/>
  <c r="CA32" i="128"/>
  <c r="CB59" i="128"/>
  <c r="BZ8" i="128"/>
  <c r="AE8" i="128" s="1"/>
  <c r="CB39" i="128"/>
  <c r="CA121" i="128"/>
  <c r="CB34" i="128"/>
  <c r="CB31" i="128"/>
  <c r="CA10" i="128"/>
  <c r="CA53" i="128"/>
  <c r="CB125" i="128"/>
  <c r="CA61" i="128"/>
  <c r="BZ113" i="128"/>
  <c r="AE113" i="128" s="1"/>
  <c r="CB60" i="128"/>
  <c r="CA60" i="128"/>
  <c r="CA70" i="128"/>
  <c r="BZ23" i="128"/>
  <c r="AE23" i="128" s="1"/>
  <c r="CB108" i="128"/>
  <c r="CB44" i="128"/>
  <c r="CA94" i="128"/>
  <c r="CB15" i="128"/>
  <c r="BZ93" i="128"/>
  <c r="AE93" i="128" s="1"/>
  <c r="CB54" i="128"/>
  <c r="CA83" i="128"/>
  <c r="CA6" i="128"/>
  <c r="CB100" i="128"/>
  <c r="BZ112" i="128"/>
  <c r="AE112" i="128" s="1"/>
  <c r="CA112" i="128"/>
  <c r="CB102" i="128"/>
  <c r="CA102" i="128"/>
  <c r="BZ117" i="128"/>
  <c r="AE117" i="128" s="1"/>
  <c r="CA69" i="128"/>
  <c r="CA103" i="128"/>
  <c r="CB109" i="128"/>
  <c r="CB57" i="128"/>
  <c r="BZ57" i="128"/>
  <c r="AE57" i="128" s="1"/>
  <c r="BZ79" i="128"/>
  <c r="AE79" i="128" s="1"/>
  <c r="CB79" i="128"/>
  <c r="CB74" i="128"/>
  <c r="CB75" i="128"/>
  <c r="CA28" i="128"/>
  <c r="CB33" i="128"/>
  <c r="CB17" i="128"/>
  <c r="CA80" i="128"/>
  <c r="CB84" i="128"/>
  <c r="BZ115" i="128"/>
  <c r="AE115" i="128" s="1"/>
  <c r="CA30" i="128"/>
  <c r="CA67" i="128"/>
  <c r="BZ38" i="128"/>
  <c r="AE38" i="128" s="1"/>
  <c r="CA38" i="128"/>
  <c r="CB3" i="128"/>
  <c r="CA55" i="128"/>
  <c r="CA43" i="128"/>
  <c r="CB11" i="128"/>
  <c r="BZ14" i="128"/>
  <c r="AE14" i="128" s="1"/>
  <c r="CA116" i="128"/>
  <c r="CB116" i="128"/>
  <c r="BZ129" i="128"/>
  <c r="AE129" i="128" s="1"/>
  <c r="BZ40" i="128"/>
  <c r="AE40" i="128" s="1"/>
  <c r="CB9" i="128"/>
  <c r="CA123" i="128"/>
  <c r="CB47" i="128"/>
  <c r="BZ47" i="128"/>
  <c r="AE47" i="128" s="1"/>
  <c r="CA47" i="128"/>
  <c r="CB95" i="128"/>
  <c r="CB119" i="128"/>
  <c r="CA62" i="128"/>
  <c r="CB7" i="128"/>
  <c r="CA56" i="128"/>
  <c r="BZ87" i="128"/>
  <c r="AE87" i="128" s="1"/>
  <c r="CA106" i="128"/>
  <c r="BZ106" i="128"/>
  <c r="AE106" i="128" s="1"/>
  <c r="BZ97" i="128"/>
  <c r="AE97" i="128" s="1"/>
  <c r="CB105" i="128"/>
  <c r="BZ50" i="128"/>
  <c r="AE50" i="128" s="1"/>
  <c r="BZ72" i="128"/>
  <c r="AE72" i="128" s="1"/>
  <c r="CB85" i="128"/>
  <c r="CB106" i="128"/>
  <c r="CB97" i="128"/>
  <c r="BZ105" i="128"/>
  <c r="AE105" i="128" s="1"/>
  <c r="CA58" i="128"/>
  <c r="BZ66" i="128"/>
  <c r="AE66" i="128" s="1"/>
  <c r="CA96" i="128"/>
  <c r="BZ52" i="128"/>
  <c r="AE52" i="128" s="1"/>
  <c r="BZ107" i="128"/>
  <c r="AE107" i="128" s="1"/>
  <c r="BZ118" i="128"/>
  <c r="AE118" i="128" s="1"/>
  <c r="BZ86" i="128"/>
  <c r="AE86" i="128" s="1"/>
  <c r="CA88" i="128"/>
  <c r="BZ111" i="128"/>
  <c r="AE111" i="128" s="1"/>
  <c r="CB53" i="128"/>
  <c r="BZ29" i="128"/>
  <c r="AE29" i="128" s="1"/>
  <c r="CA108" i="128"/>
  <c r="CB6" i="128"/>
  <c r="BZ99" i="128"/>
  <c r="AE99" i="128" s="1"/>
  <c r="BZ69" i="128"/>
  <c r="AE69" i="128" s="1"/>
  <c r="BZ90" i="128"/>
  <c r="AE90" i="128" s="1"/>
  <c r="CA57" i="128"/>
  <c r="CA74" i="128"/>
  <c r="BZ17" i="128"/>
  <c r="AE17" i="128" s="1"/>
  <c r="CB42" i="128"/>
  <c r="CB115" i="128"/>
  <c r="CB104" i="128"/>
  <c r="CB43" i="128"/>
  <c r="CB21" i="128"/>
  <c r="CB123" i="128"/>
  <c r="CB27" i="128"/>
  <c r="CA27" i="128"/>
  <c r="CB5" i="128"/>
  <c r="CB65" i="128"/>
  <c r="BZ45" i="128"/>
  <c r="AE45" i="128" s="1"/>
  <c r="CA4" i="128"/>
  <c r="CB78" i="128"/>
  <c r="BZ36" i="128"/>
  <c r="AE36" i="128" s="1"/>
  <c r="CA52" i="128"/>
  <c r="CB52" i="128"/>
  <c r="CA86" i="128"/>
  <c r="CB20" i="128"/>
  <c r="CB64" i="128"/>
  <c r="CA18" i="128"/>
  <c r="CB18" i="128"/>
  <c r="BZ124" i="128"/>
  <c r="AE124" i="128" s="1"/>
  <c r="CA124" i="128"/>
  <c r="CB124" i="128"/>
  <c r="BZ68" i="128"/>
  <c r="AE68" i="128" s="1"/>
  <c r="CA59" i="128"/>
  <c r="BZ59" i="128"/>
  <c r="AE59" i="128" s="1"/>
  <c r="CA8" i="128"/>
  <c r="CA39" i="128"/>
  <c r="BZ101" i="128"/>
  <c r="AE101" i="128" s="1"/>
  <c r="CA101" i="128"/>
  <c r="CA49" i="128"/>
  <c r="CB49" i="128"/>
  <c r="CB46" i="128"/>
  <c r="BZ41" i="128"/>
  <c r="AE41" i="128" s="1"/>
  <c r="CB88" i="128"/>
  <c r="CA31" i="128"/>
  <c r="CA111" i="128"/>
  <c r="BZ53" i="128"/>
  <c r="AE53" i="128" s="1"/>
  <c r="CA125" i="128"/>
  <c r="CA113" i="128"/>
  <c r="CA48" i="128"/>
  <c r="CB48" i="128"/>
  <c r="CB81" i="128"/>
  <c r="CA81" i="128"/>
  <c r="BZ70" i="128"/>
  <c r="AE70" i="128" s="1"/>
  <c r="CB23" i="128"/>
  <c r="CB16" i="128"/>
  <c r="BZ44" i="128"/>
  <c r="AE44" i="128" s="1"/>
  <c r="CB94" i="128"/>
  <c r="BZ15" i="128"/>
  <c r="AE15" i="128" s="1"/>
  <c r="CA73" i="128"/>
  <c r="CA93" i="128"/>
  <c r="BZ54" i="128"/>
  <c r="AE54" i="128" s="1"/>
  <c r="CA76" i="128"/>
  <c r="BZ126" i="128"/>
  <c r="AE126" i="128" s="1"/>
  <c r="CB126" i="128"/>
  <c r="BZ22" i="128"/>
  <c r="AE22" i="128" s="1"/>
  <c r="BZ51" i="128"/>
  <c r="AE51" i="128" s="1"/>
  <c r="CB19" i="128"/>
  <c r="CA19" i="128"/>
  <c r="BZ100" i="128"/>
  <c r="AE100" i="128" s="1"/>
  <c r="CB112" i="128"/>
  <c r="CB103" i="128"/>
  <c r="CB127" i="128"/>
  <c r="CA90" i="128"/>
  <c r="BZ98" i="128"/>
  <c r="AE98" i="128" s="1"/>
  <c r="CA79" i="128"/>
  <c r="BZ74" i="128"/>
  <c r="AE74" i="128" s="1"/>
  <c r="CA75" i="128"/>
  <c r="BZ75" i="128"/>
  <c r="AE75" i="128" s="1"/>
  <c r="CB28" i="128"/>
  <c r="BZ28" i="128"/>
  <c r="AE28" i="128" s="1"/>
  <c r="BZ33" i="128"/>
  <c r="AE33" i="128" s="1"/>
  <c r="BZ35" i="128"/>
  <c r="AE35" i="128" s="1"/>
  <c r="BZ80" i="128"/>
  <c r="AE80" i="128" s="1"/>
  <c r="CB80" i="128"/>
  <c r="BZ42" i="128"/>
  <c r="AE42" i="128" s="1"/>
  <c r="Q42" i="131" s="1"/>
  <c r="CA84" i="128"/>
  <c r="CA115" i="128"/>
  <c r="CB30" i="128"/>
  <c r="BZ3" i="128"/>
  <c r="AE3" i="128" s="1"/>
  <c r="CB55" i="128"/>
  <c r="BZ43" i="128"/>
  <c r="AE43" i="128" s="1"/>
  <c r="CA14" i="128"/>
  <c r="CB14" i="128"/>
  <c r="BZ116" i="128"/>
  <c r="AE116" i="128" s="1"/>
  <c r="CA128" i="128"/>
  <c r="CB129" i="128"/>
  <c r="CA129" i="128"/>
  <c r="CB26" i="128"/>
  <c r="BZ26" i="128"/>
  <c r="AE26" i="128" s="1"/>
  <c r="Q26" i="131" s="1"/>
  <c r="CA40" i="128"/>
  <c r="BZ9" i="128"/>
  <c r="AE9" i="128" s="1"/>
  <c r="CB71" i="128"/>
  <c r="CB12" i="128"/>
  <c r="BZ82" i="128"/>
  <c r="AE82" i="128" s="1"/>
  <c r="CA82" i="128"/>
  <c r="BZ63" i="128"/>
  <c r="AE63" i="128" s="1"/>
  <c r="BZ122" i="128"/>
  <c r="AE122" i="128" s="1"/>
  <c r="CB50" i="128"/>
  <c r="CB4" i="128"/>
  <c r="BZ114" i="128"/>
  <c r="AE114" i="128" s="1"/>
  <c r="BZ96" i="128"/>
  <c r="AE96" i="128" s="1"/>
  <c r="CB96" i="128"/>
  <c r="BZ91" i="128"/>
  <c r="AE91" i="128" s="1"/>
  <c r="CA64" i="128"/>
  <c r="CA68" i="128"/>
  <c r="BZ46" i="128"/>
  <c r="AE46" i="128" s="1"/>
  <c r="BZ88" i="128"/>
  <c r="AE88" i="128" s="1"/>
  <c r="BZ10" i="128"/>
  <c r="AE10" i="128" s="1"/>
  <c r="Q10" i="131" s="1"/>
  <c r="CB29" i="128"/>
  <c r="BZ125" i="128"/>
  <c r="AE125" i="128" s="1"/>
  <c r="BZ61" i="128"/>
  <c r="AE61" i="128" s="1"/>
  <c r="CA13" i="128"/>
  <c r="CA16" i="128"/>
  <c r="BZ73" i="128"/>
  <c r="AE73" i="128" s="1"/>
  <c r="BZ76" i="128"/>
  <c r="AE76" i="128" s="1"/>
  <c r="CA126" i="128"/>
  <c r="CA98" i="128"/>
  <c r="BZ55" i="128"/>
  <c r="AE55" i="128" s="1"/>
  <c r="BZ11" i="128"/>
  <c r="AE11" i="128" s="1"/>
  <c r="CA26" i="128"/>
  <c r="BZ123" i="128"/>
  <c r="AE123" i="128" s="1"/>
  <c r="CB82" i="128"/>
  <c r="CB87" i="128"/>
  <c r="CA97" i="128"/>
  <c r="CA25" i="128"/>
  <c r="CB45" i="128"/>
  <c r="CB122" i="128"/>
  <c r="CB37" i="128"/>
  <c r="AG23" i="128"/>
  <c r="AG30" i="128"/>
  <c r="AG22" i="128"/>
  <c r="BA5" i="47"/>
  <c r="AM5" i="47"/>
  <c r="AG105" i="128"/>
  <c r="AG15" i="128"/>
  <c r="AG17" i="128"/>
  <c r="AG14" i="128"/>
  <c r="AG19" i="128"/>
  <c r="AG26" i="128"/>
  <c r="AG18" i="128"/>
  <c r="AG25" i="128"/>
  <c r="AG7" i="128"/>
  <c r="AG4" i="128"/>
  <c r="AM6" i="47"/>
  <c r="BA6" i="47"/>
  <c r="BB6" i="47" s="1"/>
  <c r="AI114" i="128"/>
  <c r="AH96" i="128"/>
  <c r="AG52" i="128"/>
  <c r="AI89" i="128"/>
  <c r="AI107" i="128"/>
  <c r="AI118" i="128"/>
  <c r="AH18" i="128"/>
  <c r="AI68" i="128"/>
  <c r="AG68" i="128"/>
  <c r="AH32" i="128"/>
  <c r="AG32" i="128"/>
  <c r="AG59" i="128"/>
  <c r="AH8" i="128"/>
  <c r="AG39" i="128"/>
  <c r="AH101" i="128"/>
  <c r="AG101" i="128"/>
  <c r="AI110" i="128"/>
  <c r="AH46" i="128"/>
  <c r="AG46" i="128"/>
  <c r="AI121" i="128"/>
  <c r="AI111" i="128"/>
  <c r="AI10" i="128"/>
  <c r="AI53" i="128"/>
  <c r="AH29" i="128"/>
  <c r="AH61" i="128"/>
  <c r="AG61" i="128"/>
  <c r="AI13" i="128"/>
  <c r="AG113" i="128"/>
  <c r="AI48" i="128"/>
  <c r="AH81" i="128"/>
  <c r="AI60" i="128"/>
  <c r="AH16" i="128"/>
  <c r="AI44" i="128"/>
  <c r="AG94" i="128"/>
  <c r="AH15" i="128"/>
  <c r="AH73" i="128"/>
  <c r="AG93" i="128"/>
  <c r="AH76" i="128"/>
  <c r="AH22" i="128"/>
  <c r="AH51" i="128"/>
  <c r="AH130" i="128"/>
  <c r="AH83" i="128"/>
  <c r="AH6" i="128"/>
  <c r="AI99" i="128"/>
  <c r="AH102" i="128"/>
  <c r="AG117" i="128"/>
  <c r="AH127" i="128"/>
  <c r="AH57" i="128"/>
  <c r="AG57" i="128"/>
  <c r="AI57" i="128"/>
  <c r="AH75" i="128"/>
  <c r="AG75" i="128"/>
  <c r="AG33" i="128"/>
  <c r="AI17" i="128"/>
  <c r="AG80" i="128"/>
  <c r="AH84" i="128"/>
  <c r="AG84" i="128"/>
  <c r="AI115" i="128"/>
  <c r="AH104" i="128"/>
  <c r="AH30" i="128"/>
  <c r="AI67" i="128"/>
  <c r="AI38" i="128"/>
  <c r="AH3" i="128"/>
  <c r="T3" i="131" s="1"/>
  <c r="AG55" i="128"/>
  <c r="AH55" i="128"/>
  <c r="AH43" i="128"/>
  <c r="AH14" i="128"/>
  <c r="AI128" i="128"/>
  <c r="AG128" i="128"/>
  <c r="AH40" i="128"/>
  <c r="AG40" i="128"/>
  <c r="AI123" i="128"/>
  <c r="AG123" i="128"/>
  <c r="AI71" i="128"/>
  <c r="AG71" i="128"/>
  <c r="AI47" i="128"/>
  <c r="AG82" i="128"/>
  <c r="AI27" i="128"/>
  <c r="AH95" i="128"/>
  <c r="AG95" i="128"/>
  <c r="AH119" i="128"/>
  <c r="AI7" i="128"/>
  <c r="AH87" i="128"/>
  <c r="AI106" i="128"/>
  <c r="AI5" i="128"/>
  <c r="AH63" i="128"/>
  <c r="AI45" i="128"/>
  <c r="AH92" i="128"/>
  <c r="AG37" i="128"/>
  <c r="AI24" i="128"/>
  <c r="AI122" i="128"/>
  <c r="AH72" i="128"/>
  <c r="AI66" i="128"/>
  <c r="AI78" i="128"/>
  <c r="AI91" i="128"/>
  <c r="AI18" i="128"/>
  <c r="AH124" i="128"/>
  <c r="AI32" i="128"/>
  <c r="AI8" i="128"/>
  <c r="AI108" i="128"/>
  <c r="AG108" i="128"/>
  <c r="AH44" i="128"/>
  <c r="AH54" i="128"/>
  <c r="AI83" i="128"/>
  <c r="AI19" i="128"/>
  <c r="AI102" i="128"/>
  <c r="AG102" i="128"/>
  <c r="AI98" i="128"/>
  <c r="AH79" i="128"/>
  <c r="AG115" i="128"/>
  <c r="AG43" i="128"/>
  <c r="AH11" i="128"/>
  <c r="AH128" i="128"/>
  <c r="AI26" i="128"/>
  <c r="AH123" i="128"/>
  <c r="AI82" i="128"/>
  <c r="AG119" i="128"/>
  <c r="AI62" i="128"/>
  <c r="AI92" i="128"/>
  <c r="AI4" i="128"/>
  <c r="AH114" i="128"/>
  <c r="AG114" i="128"/>
  <c r="AI96" i="128"/>
  <c r="AG96" i="128"/>
  <c r="AG36" i="128"/>
  <c r="AH52" i="128"/>
  <c r="AH89" i="128"/>
  <c r="AG89" i="128"/>
  <c r="AH107" i="128"/>
  <c r="AG107" i="128"/>
  <c r="AH118" i="128"/>
  <c r="AG86" i="128"/>
  <c r="AH20" i="128"/>
  <c r="AG124" i="128"/>
  <c r="AH68" i="128"/>
  <c r="AI49" i="128"/>
  <c r="AH110" i="128"/>
  <c r="AG110" i="128"/>
  <c r="AG88" i="128"/>
  <c r="AH121" i="128"/>
  <c r="AG121" i="128"/>
  <c r="AI34" i="128"/>
  <c r="AG34" i="128"/>
  <c r="AH31" i="128"/>
  <c r="AG31" i="128"/>
  <c r="AH111" i="128"/>
  <c r="AG111" i="128"/>
  <c r="AH53" i="128"/>
  <c r="AI29" i="128"/>
  <c r="AI125" i="128"/>
  <c r="AG125" i="128"/>
  <c r="AH13" i="128"/>
  <c r="AI113" i="128"/>
  <c r="AH48" i="128"/>
  <c r="AI81" i="128"/>
  <c r="AH60" i="128"/>
  <c r="AG70" i="128"/>
  <c r="AH23" i="128"/>
  <c r="AH94" i="128"/>
  <c r="AI15" i="128"/>
  <c r="AH93" i="128"/>
  <c r="AG54" i="128"/>
  <c r="AI76" i="128"/>
  <c r="AG76" i="128"/>
  <c r="AG126" i="128"/>
  <c r="AI6" i="128"/>
  <c r="AH100" i="128"/>
  <c r="AG100" i="128"/>
  <c r="AI112" i="128"/>
  <c r="AH117" i="128"/>
  <c r="AH69" i="128"/>
  <c r="AG69" i="128"/>
  <c r="AI103" i="128"/>
  <c r="AH109" i="128"/>
  <c r="AG127" i="128"/>
  <c r="AH90" i="128"/>
  <c r="AG79" i="128"/>
  <c r="AI75" i="128"/>
  <c r="AH28" i="128"/>
  <c r="AI33" i="128"/>
  <c r="AI35" i="128"/>
  <c r="AH35" i="128"/>
  <c r="AH42" i="128"/>
  <c r="T42" i="131" s="1"/>
  <c r="AI30" i="128"/>
  <c r="AG67" i="128"/>
  <c r="AI3" i="128"/>
  <c r="U3" i="131" s="1"/>
  <c r="AI14" i="128"/>
  <c r="AH116" i="128"/>
  <c r="AI129" i="128"/>
  <c r="AI120" i="128"/>
  <c r="AG120" i="128"/>
  <c r="AI40" i="128"/>
  <c r="AI21" i="128"/>
  <c r="AH47" i="128"/>
  <c r="AG47" i="128"/>
  <c r="AH12" i="128"/>
  <c r="AI95" i="128"/>
  <c r="AI119" i="128"/>
  <c r="AG62" i="128"/>
  <c r="AH56" i="128"/>
  <c r="AG106" i="128"/>
  <c r="AI97" i="128"/>
  <c r="AG97" i="128"/>
  <c r="AH5" i="128"/>
  <c r="AI105" i="128"/>
  <c r="AI63" i="128"/>
  <c r="AH24" i="128"/>
  <c r="AI25" i="128"/>
  <c r="AG45" i="128"/>
  <c r="AH122" i="128"/>
  <c r="AI58" i="128"/>
  <c r="U58" i="131" s="1"/>
  <c r="AH58" i="128"/>
  <c r="AI72" i="128"/>
  <c r="AG72" i="128"/>
  <c r="AI85" i="128"/>
  <c r="AG85" i="128"/>
  <c r="AI37" i="128"/>
  <c r="AH37" i="128"/>
  <c r="AH105" i="128"/>
  <c r="AG63" i="128"/>
  <c r="AH25" i="128"/>
  <c r="AG50" i="128"/>
  <c r="AG58" i="128"/>
  <c r="AH85" i="128"/>
  <c r="AG66" i="128"/>
  <c r="AH64" i="128"/>
  <c r="AH59" i="128"/>
  <c r="AI39" i="128"/>
  <c r="AI101" i="128"/>
  <c r="AH49" i="128"/>
  <c r="AH41" i="128"/>
  <c r="AI88" i="128"/>
  <c r="AH10" i="128"/>
  <c r="AI61" i="128"/>
  <c r="AH70" i="128"/>
  <c r="AI16" i="128"/>
  <c r="AI73" i="128"/>
  <c r="AG73" i="128"/>
  <c r="AI54" i="128"/>
  <c r="AI126" i="128"/>
  <c r="AG51" i="128"/>
  <c r="AI130" i="128"/>
  <c r="AI127" i="128"/>
  <c r="AH33" i="128"/>
  <c r="AH115" i="128"/>
  <c r="AI104" i="128"/>
  <c r="AG38" i="128"/>
  <c r="AH9" i="128"/>
  <c r="AH71" i="128"/>
  <c r="AI65" i="128"/>
  <c r="AG122" i="128"/>
  <c r="AH50" i="128"/>
  <c r="AI50" i="128"/>
  <c r="AH66" i="128"/>
  <c r="AH4" i="128"/>
  <c r="AH78" i="128"/>
  <c r="AG78" i="128"/>
  <c r="AH91" i="128"/>
  <c r="AG91" i="128"/>
  <c r="AI77" i="128"/>
  <c r="AG77" i="128"/>
  <c r="AH36" i="128"/>
  <c r="AI52" i="128"/>
  <c r="AG118" i="128"/>
  <c r="AH86" i="128"/>
  <c r="AI20" i="128"/>
  <c r="AI64" i="128"/>
  <c r="AG64" i="128"/>
  <c r="AI124" i="128"/>
  <c r="AH39" i="128"/>
  <c r="AI46" i="128"/>
  <c r="AI41" i="128"/>
  <c r="AH88" i="128"/>
  <c r="AH34" i="128"/>
  <c r="AG53" i="128"/>
  <c r="AH125" i="128"/>
  <c r="AH113" i="128"/>
  <c r="AG48" i="128"/>
  <c r="AG81" i="128"/>
  <c r="AG60" i="128"/>
  <c r="AI70" i="128"/>
  <c r="AI23" i="128"/>
  <c r="AH108" i="128"/>
  <c r="AI94" i="128"/>
  <c r="AI93" i="128"/>
  <c r="AH126" i="128"/>
  <c r="AI51" i="128"/>
  <c r="AG83" i="128"/>
  <c r="AH19" i="128"/>
  <c r="AI100" i="128"/>
  <c r="AG99" i="128"/>
  <c r="AH112" i="128"/>
  <c r="AG112" i="128"/>
  <c r="AI117" i="128"/>
  <c r="AI69" i="128"/>
  <c r="AH103" i="128"/>
  <c r="AI109" i="128"/>
  <c r="AI90" i="128"/>
  <c r="AH98" i="128"/>
  <c r="AG98" i="128"/>
  <c r="AI79" i="128"/>
  <c r="AI74" i="128"/>
  <c r="AG74" i="128"/>
  <c r="AI28" i="128"/>
  <c r="AG35" i="128"/>
  <c r="AH80" i="128"/>
  <c r="AG42" i="128"/>
  <c r="AI42" i="128"/>
  <c r="AG104" i="128"/>
  <c r="AH38" i="128"/>
  <c r="AG3" i="128"/>
  <c r="AI55" i="128"/>
  <c r="AI43" i="128"/>
  <c r="AI11" i="128"/>
  <c r="AI116" i="128"/>
  <c r="AG116" i="128"/>
  <c r="AH129" i="128"/>
  <c r="AG129" i="128"/>
  <c r="AH26" i="128"/>
  <c r="AH120" i="128"/>
  <c r="AH21" i="128"/>
  <c r="AI9" i="128"/>
  <c r="AI12" i="128"/>
  <c r="AH82" i="128"/>
  <c r="AH62" i="128"/>
  <c r="AG56" i="128"/>
  <c r="AG87" i="128"/>
  <c r="AH97" i="128"/>
  <c r="AH65" i="128"/>
  <c r="AH45" i="128"/>
  <c r="AG92" i="128"/>
  <c r="AH77" i="128"/>
  <c r="AI36" i="128"/>
  <c r="AI86" i="128"/>
  <c r="AI59" i="128"/>
  <c r="AG49" i="128"/>
  <c r="AG41" i="128"/>
  <c r="S41" i="131" s="1"/>
  <c r="AI31" i="128"/>
  <c r="AG44" i="128"/>
  <c r="AI22" i="128"/>
  <c r="AG130" i="128"/>
  <c r="AH99" i="128"/>
  <c r="AG103" i="128"/>
  <c r="AG109" i="128"/>
  <c r="AG90" i="128"/>
  <c r="AH74" i="128"/>
  <c r="AH17" i="128"/>
  <c r="AI80" i="128"/>
  <c r="AI84" i="128"/>
  <c r="AH67" i="128"/>
  <c r="AH27" i="128"/>
  <c r="AH7" i="128"/>
  <c r="AI56" i="128"/>
  <c r="U56" i="131" s="1"/>
  <c r="AI87" i="128"/>
  <c r="AH106" i="128"/>
  <c r="AG65" i="128"/>
  <c r="BJ4" i="128"/>
  <c r="BI114" i="128"/>
  <c r="BH114" i="128"/>
  <c r="AC114" i="128" s="1"/>
  <c r="BH96" i="128"/>
  <c r="AC96" i="128" s="1"/>
  <c r="BJ96" i="128"/>
  <c r="BI78" i="128"/>
  <c r="BJ78" i="128"/>
  <c r="BI77" i="128"/>
  <c r="BI52" i="128"/>
  <c r="BJ52" i="128"/>
  <c r="BI89" i="128"/>
  <c r="BH118" i="128"/>
  <c r="AC118" i="128" s="1"/>
  <c r="BJ64" i="128"/>
  <c r="BJ18" i="128"/>
  <c r="BH32" i="128"/>
  <c r="BI49" i="128"/>
  <c r="BJ88" i="128"/>
  <c r="BJ121" i="128"/>
  <c r="BI34" i="128"/>
  <c r="BJ10" i="128"/>
  <c r="BI53" i="128"/>
  <c r="BI29" i="128"/>
  <c r="BH125" i="128"/>
  <c r="AC125" i="128" s="1"/>
  <c r="BJ81" i="128"/>
  <c r="BI60" i="128"/>
  <c r="BJ60" i="128"/>
  <c r="BH16" i="128"/>
  <c r="BI16" i="128"/>
  <c r="BI108" i="128"/>
  <c r="BH94" i="128"/>
  <c r="AC94" i="128" s="1"/>
  <c r="BH15" i="128"/>
  <c r="BI73" i="128"/>
  <c r="BJ73" i="128"/>
  <c r="BH76" i="128"/>
  <c r="AC76" i="128" s="1"/>
  <c r="BI76" i="128"/>
  <c r="BH51" i="128"/>
  <c r="BI130" i="128"/>
  <c r="BH130" i="128"/>
  <c r="AC130" i="128" s="1"/>
  <c r="BI19" i="128"/>
  <c r="BH100" i="128"/>
  <c r="AC100" i="128" s="1"/>
  <c r="BI99" i="128"/>
  <c r="BH102" i="128"/>
  <c r="AC102" i="128" s="1"/>
  <c r="BI117" i="128"/>
  <c r="BI109" i="128"/>
  <c r="BH109" i="128"/>
  <c r="AC109" i="128" s="1"/>
  <c r="BH127" i="128"/>
  <c r="AC127" i="128" s="1"/>
  <c r="BI127" i="128"/>
  <c r="BJ127" i="128"/>
  <c r="BJ90" i="128"/>
  <c r="BI98" i="128"/>
  <c r="BI74" i="128"/>
  <c r="BI75" i="128"/>
  <c r="BH28" i="128"/>
  <c r="BJ28" i="128"/>
  <c r="BI35" i="128"/>
  <c r="BJ35" i="128"/>
  <c r="BH80" i="128"/>
  <c r="AC80" i="128" s="1"/>
  <c r="BH42" i="128"/>
  <c r="BJ42" i="128"/>
  <c r="BJ115" i="128"/>
  <c r="BH104" i="128"/>
  <c r="AC104" i="128" s="1"/>
  <c r="BI67" i="128"/>
  <c r="BI3" i="128"/>
  <c r="BI55" i="128"/>
  <c r="BH14" i="128"/>
  <c r="BH116" i="128"/>
  <c r="AC116" i="128" s="1"/>
  <c r="BI128" i="128"/>
  <c r="BI129" i="128"/>
  <c r="BI26" i="128"/>
  <c r="BH26" i="128"/>
  <c r="BI9" i="128"/>
  <c r="BJ9" i="128"/>
  <c r="BH123" i="128"/>
  <c r="AC123" i="128" s="1"/>
  <c r="BJ123" i="128"/>
  <c r="BH71" i="128"/>
  <c r="AC71" i="128" s="1"/>
  <c r="BH12" i="128"/>
  <c r="BI82" i="128"/>
  <c r="BH27" i="128"/>
  <c r="BH95" i="128"/>
  <c r="AC95" i="128" s="1"/>
  <c r="BI62" i="128"/>
  <c r="BH62" i="128"/>
  <c r="AC62" i="128" s="1"/>
  <c r="BI7" i="128"/>
  <c r="BJ87" i="128"/>
  <c r="BJ106" i="128"/>
  <c r="BJ97" i="128"/>
  <c r="BH63" i="128"/>
  <c r="AC63" i="128" s="1"/>
  <c r="BI24" i="128"/>
  <c r="BJ24" i="128"/>
  <c r="BJ25" i="128"/>
  <c r="BI25" i="128"/>
  <c r="BH65" i="128"/>
  <c r="AC65" i="128" s="1"/>
  <c r="BJ45" i="128"/>
  <c r="AV45" i="131" s="1"/>
  <c r="BJ122" i="128"/>
  <c r="BJ50" i="128"/>
  <c r="BI50" i="128"/>
  <c r="BH58" i="128"/>
  <c r="BJ72" i="128"/>
  <c r="BJ37" i="128"/>
  <c r="BH97" i="128"/>
  <c r="AC97" i="128" s="1"/>
  <c r="BI97" i="128"/>
  <c r="BH5" i="128"/>
  <c r="BI5" i="128"/>
  <c r="BI92" i="128"/>
  <c r="BI58" i="128"/>
  <c r="BJ85" i="128"/>
  <c r="BI91" i="128"/>
  <c r="BJ89" i="128"/>
  <c r="BJ86" i="128"/>
  <c r="BH124" i="128"/>
  <c r="AC124" i="128" s="1"/>
  <c r="BH70" i="128"/>
  <c r="AC70" i="128" s="1"/>
  <c r="BI23" i="128"/>
  <c r="BJ93" i="128"/>
  <c r="BI51" i="128"/>
  <c r="BJ130" i="128"/>
  <c r="BJ19" i="128"/>
  <c r="BJ112" i="128"/>
  <c r="BJ117" i="128"/>
  <c r="BI28" i="128"/>
  <c r="BJ80" i="128"/>
  <c r="BH38" i="128"/>
  <c r="BJ14" i="128"/>
  <c r="BJ26" i="128"/>
  <c r="BI21" i="128"/>
  <c r="BI123" i="128"/>
  <c r="BJ12" i="128"/>
  <c r="BH119" i="128"/>
  <c r="AC119" i="128" s="1"/>
  <c r="BJ62" i="128"/>
  <c r="BJ56" i="128"/>
  <c r="BI106" i="128"/>
  <c r="BH106" i="128"/>
  <c r="AC106" i="128" s="1"/>
  <c r="BI37" i="128"/>
  <c r="BI4" i="128"/>
  <c r="BH4" i="128"/>
  <c r="BJ114" i="128"/>
  <c r="BH78" i="128"/>
  <c r="AC78" i="128" s="1"/>
  <c r="BJ77" i="128"/>
  <c r="BI107" i="128"/>
  <c r="BH107" i="128"/>
  <c r="AC107" i="128" s="1"/>
  <c r="BI68" i="128"/>
  <c r="BI32" i="128"/>
  <c r="BH59" i="128"/>
  <c r="BI8" i="128"/>
  <c r="BH39" i="128"/>
  <c r="BI39" i="128"/>
  <c r="BI101" i="128"/>
  <c r="BJ101" i="128"/>
  <c r="BJ49" i="128"/>
  <c r="BH110" i="128"/>
  <c r="AC110" i="128" s="1"/>
  <c r="BJ110" i="128"/>
  <c r="BI46" i="128"/>
  <c r="BH46" i="128"/>
  <c r="BI41" i="128"/>
  <c r="BJ41" i="128"/>
  <c r="BH41" i="128"/>
  <c r="BI88" i="128"/>
  <c r="BH88" i="128"/>
  <c r="AC88" i="128" s="1"/>
  <c r="BI121" i="128"/>
  <c r="BI61" i="128"/>
  <c r="BH13" i="128"/>
  <c r="BJ13" i="128"/>
  <c r="BH113" i="128"/>
  <c r="AC113" i="128" s="1"/>
  <c r="BI48" i="128"/>
  <c r="BH60" i="128"/>
  <c r="AC60" i="128" s="1"/>
  <c r="BJ70" i="128"/>
  <c r="BH44" i="128"/>
  <c r="BI44" i="128"/>
  <c r="BJ94" i="128"/>
  <c r="BI15" i="128"/>
  <c r="BH126" i="128"/>
  <c r="AC126" i="128" s="1"/>
  <c r="BI22" i="128"/>
  <c r="BJ51" i="128"/>
  <c r="BJ83" i="128"/>
  <c r="BH19" i="128"/>
  <c r="BI100" i="128"/>
  <c r="BH99" i="128"/>
  <c r="AC99" i="128" s="1"/>
  <c r="BH112" i="128"/>
  <c r="AC112" i="128" s="1"/>
  <c r="BJ102" i="128"/>
  <c r="BH103" i="128"/>
  <c r="AC103" i="128" s="1"/>
  <c r="BJ103" i="128"/>
  <c r="BJ109" i="128"/>
  <c r="BH90" i="128"/>
  <c r="AC90" i="128" s="1"/>
  <c r="BH74" i="128"/>
  <c r="AC74" i="128" s="1"/>
  <c r="BJ33" i="128"/>
  <c r="BH35" i="128"/>
  <c r="BJ17" i="128"/>
  <c r="BI80" i="128"/>
  <c r="BH84" i="128"/>
  <c r="AC84" i="128" s="1"/>
  <c r="BJ104" i="128"/>
  <c r="BJ30" i="128"/>
  <c r="BH67" i="128"/>
  <c r="AC67" i="128" s="1"/>
  <c r="BJ3" i="128"/>
  <c r="BJ55" i="128"/>
  <c r="BH43" i="128"/>
  <c r="BJ11" i="128"/>
  <c r="BJ129" i="128"/>
  <c r="BI120" i="128"/>
  <c r="BH21" i="128"/>
  <c r="BI12" i="128"/>
  <c r="BJ82" i="128"/>
  <c r="BJ27" i="128"/>
  <c r="BJ95" i="128"/>
  <c r="BJ119" i="128"/>
  <c r="BJ7" i="128"/>
  <c r="BI87" i="128"/>
  <c r="BH105" i="128"/>
  <c r="AC105" i="128" s="1"/>
  <c r="BH24" i="128"/>
  <c r="BH25" i="128"/>
  <c r="BI65" i="128"/>
  <c r="BH45" i="128"/>
  <c r="BH92" i="128"/>
  <c r="AC92" i="128" s="1"/>
  <c r="BH122" i="128"/>
  <c r="AC122" i="128" s="1"/>
  <c r="BI122" i="128"/>
  <c r="BI72" i="128"/>
  <c r="BH37" i="128"/>
  <c r="BH7" i="128"/>
  <c r="BH56" i="128"/>
  <c r="BJ105" i="128"/>
  <c r="BH91" i="128"/>
  <c r="AC91" i="128" s="1"/>
  <c r="BI36" i="128"/>
  <c r="BH52" i="128"/>
  <c r="BJ20" i="128"/>
  <c r="BI64" i="128"/>
  <c r="BJ39" i="128"/>
  <c r="BH49" i="128"/>
  <c r="BJ31" i="128"/>
  <c r="BH10" i="128"/>
  <c r="BH53" i="128"/>
  <c r="BH61" i="128"/>
  <c r="AC61" i="128" s="1"/>
  <c r="BI13" i="128"/>
  <c r="BI113" i="128"/>
  <c r="BH81" i="128"/>
  <c r="AC81" i="128" s="1"/>
  <c r="BJ23" i="128"/>
  <c r="BI94" i="128"/>
  <c r="BJ15" i="128"/>
  <c r="BI54" i="128"/>
  <c r="AU54" i="131" s="1"/>
  <c r="BI126" i="128"/>
  <c r="BI112" i="128"/>
  <c r="BJ69" i="128"/>
  <c r="BH57" i="128"/>
  <c r="BJ98" i="128"/>
  <c r="BH98" i="128"/>
  <c r="AC98" i="128" s="1"/>
  <c r="BH79" i="128"/>
  <c r="AC79" i="128" s="1"/>
  <c r="BJ75" i="128"/>
  <c r="BI84" i="128"/>
  <c r="BJ38" i="128"/>
  <c r="BH3" i="128"/>
  <c r="BI43" i="128"/>
  <c r="BI11" i="128"/>
  <c r="BI116" i="128"/>
  <c r="BH129" i="128"/>
  <c r="AC129" i="128" s="1"/>
  <c r="BI40" i="128"/>
  <c r="BI71" i="128"/>
  <c r="BH82" i="128"/>
  <c r="AC82" i="128" s="1"/>
  <c r="BI56" i="128"/>
  <c r="BH87" i="128"/>
  <c r="AC87" i="128" s="1"/>
  <c r="BI105" i="128"/>
  <c r="BJ63" i="128"/>
  <c r="BJ92" i="128"/>
  <c r="BI85" i="128"/>
  <c r="BH66" i="128"/>
  <c r="AC66" i="128" s="1"/>
  <c r="BI66" i="128"/>
  <c r="BI96" i="128"/>
  <c r="BJ91" i="128"/>
  <c r="BH77" i="128"/>
  <c r="AC77" i="128" s="1"/>
  <c r="BJ36" i="128"/>
  <c r="BH89" i="128"/>
  <c r="AC89" i="128" s="1"/>
  <c r="BJ107" i="128"/>
  <c r="BI118" i="128"/>
  <c r="BH86" i="128"/>
  <c r="AC86" i="128" s="1"/>
  <c r="BI20" i="128"/>
  <c r="BJ68" i="128"/>
  <c r="BH68" i="128"/>
  <c r="AC68" i="128" s="1"/>
  <c r="BJ32" i="128"/>
  <c r="BJ59" i="128"/>
  <c r="AV59" i="131" s="1"/>
  <c r="BJ8" i="128"/>
  <c r="BH101" i="128"/>
  <c r="AC101" i="128" s="1"/>
  <c r="BI110" i="128"/>
  <c r="BJ46" i="128"/>
  <c r="BH121" i="128"/>
  <c r="AC121" i="128" s="1"/>
  <c r="BI31" i="128"/>
  <c r="BH31" i="128"/>
  <c r="BH111" i="128"/>
  <c r="AC111" i="128" s="1"/>
  <c r="BI10" i="128"/>
  <c r="BJ53" i="128"/>
  <c r="BH29" i="128"/>
  <c r="BJ29" i="128"/>
  <c r="BJ125" i="128"/>
  <c r="BJ61" i="128"/>
  <c r="BJ113" i="128"/>
  <c r="BH48" i="128"/>
  <c r="BI70" i="128"/>
  <c r="BH23" i="128"/>
  <c r="BJ16" i="128"/>
  <c r="BH108" i="128"/>
  <c r="AC108" i="128" s="1"/>
  <c r="BJ44" i="128"/>
  <c r="BH93" i="128"/>
  <c r="AC93" i="128" s="1"/>
  <c r="BI93" i="128"/>
  <c r="BJ54" i="128"/>
  <c r="BH54" i="128"/>
  <c r="BJ76" i="128"/>
  <c r="BJ126" i="128"/>
  <c r="BH22" i="128"/>
  <c r="BH83" i="128"/>
  <c r="AC83" i="128" s="1"/>
  <c r="BI6" i="128"/>
  <c r="BH6" i="128"/>
  <c r="BJ100" i="128"/>
  <c r="BI102" i="128"/>
  <c r="BH117" i="128"/>
  <c r="AC117" i="128" s="1"/>
  <c r="BI69" i="128"/>
  <c r="BH69" i="128"/>
  <c r="AC69" i="128" s="1"/>
  <c r="BI103" i="128"/>
  <c r="BI90" i="128"/>
  <c r="BI57" i="128"/>
  <c r="BJ57" i="128"/>
  <c r="BI79" i="128"/>
  <c r="BJ79" i="128"/>
  <c r="BH75" i="128"/>
  <c r="AC75" i="128" s="1"/>
  <c r="BI33" i="128"/>
  <c r="BH33" i="128"/>
  <c r="BH17" i="128"/>
  <c r="BI17" i="128"/>
  <c r="BJ84" i="128"/>
  <c r="BH115" i="128"/>
  <c r="AC115" i="128" s="1"/>
  <c r="BI115" i="128"/>
  <c r="BI30" i="128"/>
  <c r="BJ67" i="128"/>
  <c r="BH55" i="128"/>
  <c r="BJ43" i="128"/>
  <c r="AV43" i="131" s="1"/>
  <c r="BH11" i="128"/>
  <c r="BJ116" i="128"/>
  <c r="BH128" i="128"/>
  <c r="AC128" i="128" s="1"/>
  <c r="BH120" i="128"/>
  <c r="AC120" i="128" s="1"/>
  <c r="BJ120" i="128"/>
  <c r="BJ40" i="128"/>
  <c r="BJ21" i="128"/>
  <c r="BJ71" i="128"/>
  <c r="BJ47" i="128"/>
  <c r="BI47" i="128"/>
  <c r="BI27" i="128"/>
  <c r="AU27" i="131" s="1"/>
  <c r="BI119" i="128"/>
  <c r="BJ65" i="128"/>
  <c r="BI45" i="128"/>
  <c r="BH50" i="128"/>
  <c r="BH85" i="128"/>
  <c r="AC85" i="128" s="1"/>
  <c r="BJ66" i="128"/>
  <c r="BH36" i="128"/>
  <c r="BJ118" i="128"/>
  <c r="BI86" i="128"/>
  <c r="BH20" i="128"/>
  <c r="BH64" i="128"/>
  <c r="AC64" i="128" s="1"/>
  <c r="BI18" i="128"/>
  <c r="BH18" i="128"/>
  <c r="BJ124" i="128"/>
  <c r="BI124" i="128"/>
  <c r="BI59" i="128"/>
  <c r="BH8" i="128"/>
  <c r="BJ34" i="128"/>
  <c r="BH34" i="128"/>
  <c r="BI111" i="128"/>
  <c r="BJ111" i="128"/>
  <c r="BI125" i="128"/>
  <c r="BJ48" i="128"/>
  <c r="BI81" i="128"/>
  <c r="BJ108" i="128"/>
  <c r="BH73" i="128"/>
  <c r="AC73" i="128" s="1"/>
  <c r="BJ22" i="128"/>
  <c r="BI83" i="128"/>
  <c r="BJ6" i="128"/>
  <c r="BJ99" i="128"/>
  <c r="BJ74" i="128"/>
  <c r="BI42" i="128"/>
  <c r="BI104" i="128"/>
  <c r="BH30" i="128"/>
  <c r="BI38" i="128"/>
  <c r="BI14" i="128"/>
  <c r="BJ128" i="128"/>
  <c r="BH40" i="128"/>
  <c r="BH9" i="128"/>
  <c r="BH47" i="128"/>
  <c r="BI95" i="128"/>
  <c r="BJ5" i="128"/>
  <c r="AV5" i="131" s="1"/>
  <c r="BI63" i="128"/>
  <c r="BJ58" i="128"/>
  <c r="BH72" i="128"/>
  <c r="AC72" i="128" s="1"/>
  <c r="AG6" i="128"/>
  <c r="BA66" i="128"/>
  <c r="AZ114" i="128"/>
  <c r="AY78" i="128"/>
  <c r="AB78" i="128" s="1"/>
  <c r="BA91" i="128"/>
  <c r="AY91" i="128"/>
  <c r="AB91" i="128" s="1"/>
  <c r="AZ36" i="128"/>
  <c r="AZ52" i="128"/>
  <c r="AZ107" i="128"/>
  <c r="AZ86" i="128"/>
  <c r="AY64" i="128"/>
  <c r="AB64" i="128" s="1"/>
  <c r="BA18" i="128"/>
  <c r="AY124" i="128"/>
  <c r="AB124" i="128" s="1"/>
  <c r="BA124" i="128"/>
  <c r="AY59" i="128"/>
  <c r="AZ39" i="128"/>
  <c r="AY39" i="128"/>
  <c r="AZ46" i="128"/>
  <c r="BA88" i="128"/>
  <c r="BA34" i="128"/>
  <c r="BA31" i="128"/>
  <c r="AY111" i="128"/>
  <c r="AB111" i="128" s="1"/>
  <c r="BA111" i="128"/>
  <c r="AZ10" i="128"/>
  <c r="AZ29" i="128"/>
  <c r="AY125" i="128"/>
  <c r="AB125" i="128" s="1"/>
  <c r="AZ125" i="128"/>
  <c r="AY61" i="128"/>
  <c r="AB61" i="128" s="1"/>
  <c r="AZ113" i="128"/>
  <c r="AY48" i="128"/>
  <c r="BA81" i="128"/>
  <c r="BA60" i="128"/>
  <c r="AY70" i="128"/>
  <c r="AB70" i="128" s="1"/>
  <c r="AZ70" i="128"/>
  <c r="BA23" i="128"/>
  <c r="BA108" i="128"/>
  <c r="AY44" i="128"/>
  <c r="BA73" i="128"/>
  <c r="AY93" i="128"/>
  <c r="AB93" i="128" s="1"/>
  <c r="AZ93" i="128"/>
  <c r="AZ54" i="128"/>
  <c r="AY54" i="128"/>
  <c r="AY126" i="128"/>
  <c r="AB126" i="128" s="1"/>
  <c r="BA22" i="128"/>
  <c r="AZ51" i="128"/>
  <c r="AZ130" i="128"/>
  <c r="AZ6" i="128"/>
  <c r="AY6" i="128"/>
  <c r="AY99" i="128"/>
  <c r="AB99" i="128" s="1"/>
  <c r="AY112" i="128"/>
  <c r="AB112" i="128" s="1"/>
  <c r="BA69" i="128"/>
  <c r="AY69" i="128"/>
  <c r="AB69" i="128" s="1"/>
  <c r="AZ103" i="128"/>
  <c r="BA103" i="128"/>
  <c r="AZ90" i="128"/>
  <c r="AZ98" i="128"/>
  <c r="AY79" i="128"/>
  <c r="AB79" i="128" s="1"/>
  <c r="BA74" i="128"/>
  <c r="AY28" i="128"/>
  <c r="AY33" i="128"/>
  <c r="BA84" i="128"/>
  <c r="AZ115" i="128"/>
  <c r="AY115" i="128"/>
  <c r="AB115" i="128" s="1"/>
  <c r="AZ104" i="128"/>
  <c r="BA30" i="128"/>
  <c r="AY30" i="128"/>
  <c r="AZ67" i="128"/>
  <c r="AY3" i="128"/>
  <c r="AZ55" i="128"/>
  <c r="AY43" i="128"/>
  <c r="BA43" i="128"/>
  <c r="AZ14" i="128"/>
  <c r="AY128" i="128"/>
  <c r="AB128" i="128" s="1"/>
  <c r="BA129" i="128"/>
  <c r="AZ26" i="128"/>
  <c r="AY120" i="128"/>
  <c r="AB120" i="128" s="1"/>
  <c r="AY40" i="128"/>
  <c r="BA21" i="128"/>
  <c r="AY21" i="128"/>
  <c r="AY123" i="128"/>
  <c r="AB123" i="128" s="1"/>
  <c r="AY71" i="128"/>
  <c r="AB71" i="128" s="1"/>
  <c r="AY82" i="128"/>
  <c r="AB82" i="128" s="1"/>
  <c r="AY27" i="128"/>
  <c r="AZ27" i="128"/>
  <c r="AZ95" i="128"/>
  <c r="BA119" i="128"/>
  <c r="AZ7" i="128"/>
  <c r="BA56" i="128"/>
  <c r="AZ56" i="128"/>
  <c r="AY87" i="128"/>
  <c r="AB87" i="128" s="1"/>
  <c r="AZ106" i="128"/>
  <c r="AZ97" i="128"/>
  <c r="AY105" i="128"/>
  <c r="AB105" i="128" s="1"/>
  <c r="AY63" i="128"/>
  <c r="AB63" i="128" s="1"/>
  <c r="AZ25" i="128"/>
  <c r="AZ45" i="128"/>
  <c r="AZ92" i="128"/>
  <c r="BA122" i="128"/>
  <c r="BA58" i="128"/>
  <c r="AY85" i="128"/>
  <c r="AB85" i="128" s="1"/>
  <c r="AZ37" i="128"/>
  <c r="BA87" i="128"/>
  <c r="AY25" i="128"/>
  <c r="AY45" i="128"/>
  <c r="AY92" i="128"/>
  <c r="AB92" i="128" s="1"/>
  <c r="BA72" i="128"/>
  <c r="BA37" i="128"/>
  <c r="AY37" i="128"/>
  <c r="BA4" i="128"/>
  <c r="BA77" i="128"/>
  <c r="AY52" i="128"/>
  <c r="BA64" i="128"/>
  <c r="AZ124" i="128"/>
  <c r="AY68" i="128"/>
  <c r="AB68" i="128" s="1"/>
  <c r="BA8" i="128"/>
  <c r="AM8" i="131" s="1"/>
  <c r="AY113" i="128"/>
  <c r="AB113" i="128" s="1"/>
  <c r="AZ48" i="128"/>
  <c r="AZ16" i="128"/>
  <c r="BA100" i="128"/>
  <c r="AY102" i="128"/>
  <c r="AB102" i="128" s="1"/>
  <c r="AY103" i="128"/>
  <c r="AB103" i="128" s="1"/>
  <c r="BA79" i="128"/>
  <c r="BA35" i="128"/>
  <c r="BA55" i="128"/>
  <c r="AZ11" i="128"/>
  <c r="BA120" i="128"/>
  <c r="BA9" i="128"/>
  <c r="AZ47" i="128"/>
  <c r="BA82" i="128"/>
  <c r="AZ62" i="128"/>
  <c r="AY7" i="128"/>
  <c r="BA97" i="128"/>
  <c r="AZ105" i="128"/>
  <c r="BB105" i="128" s="1"/>
  <c r="BA65" i="128"/>
  <c r="BA45" i="128"/>
  <c r="AY58" i="128"/>
  <c r="AZ85" i="128"/>
  <c r="AY114" i="128"/>
  <c r="AB114" i="128" s="1"/>
  <c r="AY96" i="128"/>
  <c r="AB96" i="128" s="1"/>
  <c r="BA96" i="128"/>
  <c r="AZ78" i="128"/>
  <c r="AZ91" i="128"/>
  <c r="BA52" i="128"/>
  <c r="AY89" i="128"/>
  <c r="AB89" i="128" s="1"/>
  <c r="AZ118" i="128"/>
  <c r="AY118" i="128"/>
  <c r="AB118" i="128" s="1"/>
  <c r="AY20" i="128"/>
  <c r="AZ64" i="128"/>
  <c r="AZ18" i="128"/>
  <c r="AZ59" i="128"/>
  <c r="BA49" i="128"/>
  <c r="AZ49" i="128"/>
  <c r="AY46" i="128"/>
  <c r="BA41" i="128"/>
  <c r="AY31" i="128"/>
  <c r="AZ111" i="128"/>
  <c r="AY10" i="128"/>
  <c r="AZ53" i="128"/>
  <c r="AY13" i="128"/>
  <c r="AY81" i="128"/>
  <c r="AB81" i="128" s="1"/>
  <c r="AZ81" i="128"/>
  <c r="AZ60" i="128"/>
  <c r="AY23" i="128"/>
  <c r="AY16" i="128"/>
  <c r="BA16" i="128"/>
  <c r="AZ108" i="128"/>
  <c r="BA44" i="128"/>
  <c r="AY94" i="128"/>
  <c r="AB94" i="128" s="1"/>
  <c r="BA54" i="128"/>
  <c r="AZ76" i="128"/>
  <c r="BA76" i="128"/>
  <c r="BA126" i="128"/>
  <c r="AY22" i="128"/>
  <c r="AY130" i="128"/>
  <c r="AB130" i="128" s="1"/>
  <c r="BA130" i="128"/>
  <c r="AY83" i="128"/>
  <c r="AB83" i="128" s="1"/>
  <c r="BA6" i="128"/>
  <c r="BA19" i="128"/>
  <c r="AY100" i="128"/>
  <c r="AB100" i="128" s="1"/>
  <c r="AZ99" i="128"/>
  <c r="AZ69" i="128"/>
  <c r="BA109" i="128"/>
  <c r="AZ127" i="128"/>
  <c r="BA90" i="128"/>
  <c r="AY57" i="128"/>
  <c r="AY98" i="128"/>
  <c r="AB98" i="128" s="1"/>
  <c r="BA98" i="128"/>
  <c r="AZ74" i="128"/>
  <c r="AZ75" i="128"/>
  <c r="BA75" i="128"/>
  <c r="BA28" i="128"/>
  <c r="AZ35" i="128"/>
  <c r="AL35" i="131" s="1"/>
  <c r="AY42" i="128"/>
  <c r="AZ42" i="128"/>
  <c r="AZ84" i="128"/>
  <c r="BA115" i="128"/>
  <c r="BA38" i="128"/>
  <c r="AZ38" i="128"/>
  <c r="AZ3" i="128"/>
  <c r="AZ43" i="128"/>
  <c r="BA11" i="128"/>
  <c r="BA14" i="128"/>
  <c r="AY116" i="128"/>
  <c r="AB116" i="128" s="1"/>
  <c r="AZ128" i="128"/>
  <c r="BA128" i="128"/>
  <c r="AZ129" i="128"/>
  <c r="AY129" i="128"/>
  <c r="AB129" i="128" s="1"/>
  <c r="AY26" i="128"/>
  <c r="BA40" i="128"/>
  <c r="AZ21" i="128"/>
  <c r="AZ9" i="128"/>
  <c r="AZ123" i="128"/>
  <c r="BA123" i="128"/>
  <c r="AZ71" i="128"/>
  <c r="AY12" i="128"/>
  <c r="AZ82" i="128"/>
  <c r="BA27" i="128"/>
  <c r="BA95" i="128"/>
  <c r="AZ119" i="128"/>
  <c r="AY62" i="128"/>
  <c r="AB62" i="128" s="1"/>
  <c r="AY56" i="128"/>
  <c r="AY97" i="128"/>
  <c r="AB97" i="128" s="1"/>
  <c r="AY5" i="128"/>
  <c r="BA105" i="128"/>
  <c r="BA63" i="128"/>
  <c r="AZ63" i="128"/>
  <c r="BA24" i="128"/>
  <c r="AZ24" i="128"/>
  <c r="BA25" i="128"/>
  <c r="AZ65" i="128"/>
  <c r="AY65" i="128"/>
  <c r="AB65" i="128" s="1"/>
  <c r="AZ50" i="128"/>
  <c r="AY50" i="128"/>
  <c r="AZ58" i="128"/>
  <c r="BA85" i="128"/>
  <c r="AZ87" i="128"/>
  <c r="AZ5" i="128"/>
  <c r="AY24" i="128"/>
  <c r="AZ66" i="128"/>
  <c r="BA78" i="128"/>
  <c r="AZ77" i="128"/>
  <c r="AY36" i="128"/>
  <c r="AZ89" i="128"/>
  <c r="BA118" i="128"/>
  <c r="BA86" i="128"/>
  <c r="BA20" i="128"/>
  <c r="AZ68" i="128"/>
  <c r="BA32" i="128"/>
  <c r="BA59" i="128"/>
  <c r="AY8" i="128"/>
  <c r="BA39" i="128"/>
  <c r="AY101" i="128"/>
  <c r="AB101" i="128" s="1"/>
  <c r="BA110" i="128"/>
  <c r="AZ34" i="128"/>
  <c r="AZ31" i="128"/>
  <c r="AY53" i="128"/>
  <c r="BA29" i="128"/>
  <c r="BA48" i="128"/>
  <c r="AZ23" i="128"/>
  <c r="AY108" i="128"/>
  <c r="AB108" i="128" s="1"/>
  <c r="AZ94" i="128"/>
  <c r="AY15" i="128"/>
  <c r="BA93" i="128"/>
  <c r="AZ22" i="128"/>
  <c r="AZ100" i="128"/>
  <c r="AY117" i="128"/>
  <c r="AB117" i="128" s="1"/>
  <c r="AY127" i="128"/>
  <c r="AB127" i="128" s="1"/>
  <c r="AY74" i="128"/>
  <c r="AB74" i="128" s="1"/>
  <c r="AZ33" i="128"/>
  <c r="BA17" i="128"/>
  <c r="AZ80" i="128"/>
  <c r="AY84" i="128"/>
  <c r="AB84" i="128" s="1"/>
  <c r="BA26" i="128"/>
  <c r="AZ40" i="128"/>
  <c r="BA71" i="128"/>
  <c r="AY95" i="128"/>
  <c r="AB95" i="128" s="1"/>
  <c r="BA92" i="128"/>
  <c r="AZ122" i="128"/>
  <c r="BA50" i="128"/>
  <c r="AY66" i="128"/>
  <c r="AB66" i="128" s="1"/>
  <c r="AZ4" i="128"/>
  <c r="AY4" i="128"/>
  <c r="BA114" i="128"/>
  <c r="AZ96" i="128"/>
  <c r="AY77" i="128"/>
  <c r="AB77" i="128" s="1"/>
  <c r="BA36" i="128"/>
  <c r="BA89" i="128"/>
  <c r="BA107" i="128"/>
  <c r="AY107" i="128"/>
  <c r="AB107" i="128" s="1"/>
  <c r="AY86" i="128"/>
  <c r="AB86" i="128" s="1"/>
  <c r="AZ20" i="128"/>
  <c r="AY18" i="128"/>
  <c r="AZ32" i="128"/>
  <c r="AY32" i="128"/>
  <c r="AZ8" i="128"/>
  <c r="AY49" i="128"/>
  <c r="AY110" i="128"/>
  <c r="AB110" i="128" s="1"/>
  <c r="AZ110" i="128"/>
  <c r="AY41" i="128"/>
  <c r="AY88" i="128"/>
  <c r="AB88" i="128" s="1"/>
  <c r="AZ88" i="128"/>
  <c r="AY121" i="128"/>
  <c r="AB121" i="128" s="1"/>
  <c r="AY34" i="128"/>
  <c r="BA53" i="128"/>
  <c r="AY29" i="128"/>
  <c r="BA125" i="128"/>
  <c r="BA61" i="128"/>
  <c r="AZ13" i="128"/>
  <c r="BA13" i="128"/>
  <c r="BA113" i="128"/>
  <c r="AY60" i="128"/>
  <c r="AB60" i="128" s="1"/>
  <c r="AZ44" i="128"/>
  <c r="BA94" i="128"/>
  <c r="BA15" i="128"/>
  <c r="AZ15" i="128"/>
  <c r="AZ73" i="128"/>
  <c r="AY73" i="128"/>
  <c r="AB73" i="128" s="1"/>
  <c r="AY51" i="128"/>
  <c r="BA83" i="128"/>
  <c r="AZ19" i="128"/>
  <c r="AY19" i="128"/>
  <c r="BA99" i="128"/>
  <c r="AZ112" i="128"/>
  <c r="AZ102" i="128"/>
  <c r="BA102" i="128"/>
  <c r="AZ117" i="128"/>
  <c r="BA117" i="128"/>
  <c r="AY109" i="128"/>
  <c r="AB109" i="128" s="1"/>
  <c r="AZ109" i="128"/>
  <c r="BA127" i="128"/>
  <c r="AY90" i="128"/>
  <c r="AB90" i="128" s="1"/>
  <c r="AZ57" i="128"/>
  <c r="AZ79" i="128"/>
  <c r="AY35" i="128"/>
  <c r="AZ17" i="128"/>
  <c r="BA80" i="128"/>
  <c r="BA42" i="128"/>
  <c r="AY104" i="128"/>
  <c r="AB104" i="128" s="1"/>
  <c r="BA67" i="128"/>
  <c r="AY67" i="128"/>
  <c r="AB67" i="128" s="1"/>
  <c r="AY38" i="128"/>
  <c r="BA3" i="128"/>
  <c r="AY11" i="128"/>
  <c r="AY14" i="128"/>
  <c r="BA116" i="128"/>
  <c r="AY9" i="128"/>
  <c r="BA47" i="128"/>
  <c r="AM47" i="131" s="1"/>
  <c r="AY47" i="128"/>
  <c r="BA12" i="128"/>
  <c r="BA62" i="128"/>
  <c r="BA106" i="128"/>
  <c r="AY106" i="128"/>
  <c r="AB106" i="128" s="1"/>
  <c r="AY122" i="128"/>
  <c r="AB122" i="128" s="1"/>
  <c r="AZ72" i="128"/>
  <c r="AY72" i="128"/>
  <c r="AB72" i="128" s="1"/>
  <c r="BA68" i="128"/>
  <c r="AZ101" i="128"/>
  <c r="BA101" i="128"/>
  <c r="BA46" i="128"/>
  <c r="AZ41" i="128"/>
  <c r="BA121" i="128"/>
  <c r="AZ121" i="128"/>
  <c r="BA10" i="128"/>
  <c r="AZ61" i="128"/>
  <c r="BA70" i="128"/>
  <c r="AY76" i="128"/>
  <c r="AB76" i="128" s="1"/>
  <c r="AZ126" i="128"/>
  <c r="BA51" i="128"/>
  <c r="AZ83" i="128"/>
  <c r="BA112" i="128"/>
  <c r="BA57" i="128"/>
  <c r="AY75" i="128"/>
  <c r="AB75" i="128" s="1"/>
  <c r="AZ28" i="128"/>
  <c r="BA33" i="128"/>
  <c r="AY17" i="128"/>
  <c r="AY80" i="128"/>
  <c r="AB80" i="128" s="1"/>
  <c r="BA104" i="128"/>
  <c r="AZ30" i="128"/>
  <c r="AY55" i="128"/>
  <c r="AZ116" i="128"/>
  <c r="AZ120" i="128"/>
  <c r="AZ12" i="128"/>
  <c r="AY119" i="128"/>
  <c r="AB119" i="128" s="1"/>
  <c r="BA7" i="128"/>
  <c r="BA5" i="128"/>
  <c r="AZ3" i="47"/>
  <c r="AZ4" i="47"/>
  <c r="AY9" i="47"/>
  <c r="AG12" i="128"/>
  <c r="AG27" i="128"/>
  <c r="AG9" i="128"/>
  <c r="S9" i="131" s="1"/>
  <c r="AG24" i="128"/>
  <c r="AG29" i="128"/>
  <c r="AM5" i="131" l="1"/>
  <c r="AM30" i="131"/>
  <c r="S35" i="131"/>
  <c r="S31" i="131"/>
  <c r="P3" i="131"/>
  <c r="AV6" i="131"/>
  <c r="P42" i="131"/>
  <c r="Q35" i="131"/>
  <c r="U12" i="131"/>
  <c r="U52" i="131"/>
  <c r="S34" i="131"/>
  <c r="AV53" i="131"/>
  <c r="CC8" i="128"/>
  <c r="Q52" i="131"/>
  <c r="AC56" i="131"/>
  <c r="AC11" i="131"/>
  <c r="T34" i="131"/>
  <c r="Q11" i="131"/>
  <c r="AM46" i="131"/>
  <c r="AL3" i="131"/>
  <c r="AL32" i="131"/>
  <c r="U50" i="131"/>
  <c r="AD24" i="131"/>
  <c r="T9" i="131"/>
  <c r="Q50" i="131"/>
  <c r="AC12" i="131"/>
  <c r="AV48" i="131"/>
  <c r="AC35" i="131"/>
  <c r="AU32" i="131"/>
  <c r="P38" i="131"/>
  <c r="AV55" i="131"/>
  <c r="S51" i="131"/>
  <c r="Q46" i="131"/>
  <c r="AD5" i="131"/>
  <c r="AD13" i="131"/>
  <c r="P30" i="131"/>
  <c r="S54" i="131"/>
  <c r="AV12" i="131"/>
  <c r="S44" i="131"/>
  <c r="AC50" i="131"/>
  <c r="AL45" i="131"/>
  <c r="Q47" i="131"/>
  <c r="U55" i="131"/>
  <c r="S40" i="131"/>
  <c r="P56" i="131"/>
  <c r="AU38" i="131"/>
  <c r="AV40" i="131"/>
  <c r="T38" i="131"/>
  <c r="AD27" i="131"/>
  <c r="AC20" i="131"/>
  <c r="T4" i="131"/>
  <c r="Q55" i="131"/>
  <c r="U29" i="131"/>
  <c r="AD44" i="131"/>
  <c r="U36" i="131"/>
  <c r="AM32" i="131"/>
  <c r="AV47" i="131"/>
  <c r="AU42" i="131"/>
  <c r="T17" i="131"/>
  <c r="S42" i="131"/>
  <c r="S38" i="131"/>
  <c r="U13" i="131"/>
  <c r="CC21" i="128"/>
  <c r="P54" i="131"/>
  <c r="AC19" i="131"/>
  <c r="S55" i="131"/>
  <c r="AM7" i="131"/>
  <c r="AM51" i="131"/>
  <c r="AL57" i="131"/>
  <c r="AL44" i="131"/>
  <c r="AL22" i="131"/>
  <c r="AL50" i="131"/>
  <c r="AL47" i="131"/>
  <c r="AU31" i="131"/>
  <c r="AU41" i="131"/>
  <c r="AV24" i="131"/>
  <c r="T7" i="131"/>
  <c r="U28" i="131"/>
  <c r="T50" i="131"/>
  <c r="U39" i="131"/>
  <c r="U25" i="131"/>
  <c r="T56" i="131"/>
  <c r="U49" i="131"/>
  <c r="U18" i="131"/>
  <c r="T57" i="131"/>
  <c r="S14" i="131"/>
  <c r="Q40" i="131"/>
  <c r="Q31" i="131"/>
  <c r="CC20" i="128"/>
  <c r="P14" i="131"/>
  <c r="P53" i="131"/>
  <c r="P32" i="131"/>
  <c r="P46" i="131"/>
  <c r="P39" i="131"/>
  <c r="AC27" i="131"/>
  <c r="AC13" i="131"/>
  <c r="AC10" i="131"/>
  <c r="AD55" i="131"/>
  <c r="S24" i="131"/>
  <c r="AM10" i="131"/>
  <c r="O89" i="128"/>
  <c r="AV21" i="131"/>
  <c r="AU40" i="131"/>
  <c r="T41" i="131"/>
  <c r="CC13" i="128"/>
  <c r="CC5" i="128"/>
  <c r="AC21" i="131"/>
  <c r="AD16" i="131"/>
  <c r="S27" i="131"/>
  <c r="AM33" i="131"/>
  <c r="AM3" i="131"/>
  <c r="S39" i="131"/>
  <c r="S26" i="131"/>
  <c r="Q3" i="131"/>
  <c r="Q54" i="131"/>
  <c r="P48" i="131"/>
  <c r="BT5" i="128"/>
  <c r="AC15" i="131"/>
  <c r="AD30" i="131"/>
  <c r="AD48" i="131"/>
  <c r="AD8" i="131"/>
  <c r="AC33" i="131"/>
  <c r="AD33" i="131"/>
  <c r="AD46" i="131"/>
  <c r="AL41" i="131"/>
  <c r="AL19" i="131"/>
  <c r="AM53" i="131"/>
  <c r="AM56" i="131"/>
  <c r="AU6" i="131"/>
  <c r="AU11" i="131"/>
  <c r="AV27" i="131"/>
  <c r="U22" i="131"/>
  <c r="S49" i="131"/>
  <c r="U41" i="131"/>
  <c r="T33" i="131"/>
  <c r="T5" i="131"/>
  <c r="T12" i="131"/>
  <c r="U40" i="131"/>
  <c r="Q43" i="131"/>
  <c r="Q14" i="131"/>
  <c r="Q27" i="131"/>
  <c r="P16" i="131"/>
  <c r="P41" i="131"/>
  <c r="AC41" i="131"/>
  <c r="AL30" i="131"/>
  <c r="AM20" i="131"/>
  <c r="AM41" i="131"/>
  <c r="AV22" i="131"/>
  <c r="AU45" i="131"/>
  <c r="AU47" i="131"/>
  <c r="AV46" i="131"/>
  <c r="AU44" i="131"/>
  <c r="AV37" i="131"/>
  <c r="U31" i="131"/>
  <c r="S56" i="131"/>
  <c r="S48" i="131"/>
  <c r="U20" i="131"/>
  <c r="T37" i="131"/>
  <c r="T48" i="131"/>
  <c r="T43" i="131"/>
  <c r="Q33" i="131"/>
  <c r="P26" i="131"/>
  <c r="P44" i="131"/>
  <c r="AD45" i="131"/>
  <c r="AD9" i="131"/>
  <c r="AD21" i="131"/>
  <c r="S29" i="131"/>
  <c r="R94" i="128"/>
  <c r="AL11" i="131"/>
  <c r="S57" i="131"/>
  <c r="Q28" i="131"/>
  <c r="Q44" i="131"/>
  <c r="P59" i="131"/>
  <c r="S19" i="131"/>
  <c r="AV29" i="131"/>
  <c r="AU56" i="131"/>
  <c r="T13" i="131"/>
  <c r="AM29" i="131"/>
  <c r="AD57" i="131"/>
  <c r="AD35" i="131"/>
  <c r="AV39" i="131"/>
  <c r="AV7" i="131"/>
  <c r="T27" i="131"/>
  <c r="U59" i="131"/>
  <c r="U54" i="131"/>
  <c r="S47" i="131"/>
  <c r="Q41" i="131"/>
  <c r="AM15" i="131"/>
  <c r="AM36" i="131"/>
  <c r="AV57" i="131"/>
  <c r="T45" i="131"/>
  <c r="U23" i="131"/>
  <c r="T39" i="131"/>
  <c r="Q22" i="131"/>
  <c r="AM57" i="131"/>
  <c r="AM50" i="131"/>
  <c r="AM24" i="131"/>
  <c r="AL9" i="131"/>
  <c r="AM28" i="131"/>
  <c r="AM44" i="131"/>
  <c r="AV58" i="131"/>
  <c r="T26" i="131"/>
  <c r="U51" i="131"/>
  <c r="U46" i="131"/>
  <c r="U14" i="131"/>
  <c r="S43" i="131"/>
  <c r="U45" i="131"/>
  <c r="P17" i="131"/>
  <c r="AC45" i="131"/>
  <c r="AD38" i="131"/>
  <c r="AC46" i="131"/>
  <c r="AD26" i="131"/>
  <c r="AL12" i="131"/>
  <c r="AL40" i="131"/>
  <c r="AU46" i="131"/>
  <c r="U9" i="131"/>
  <c r="T23" i="131"/>
  <c r="Q9" i="131"/>
  <c r="Q36" i="131"/>
  <c r="CC28" i="128"/>
  <c r="CC10" i="128"/>
  <c r="P35" i="131"/>
  <c r="AD40" i="131"/>
  <c r="AM48" i="131"/>
  <c r="AL58" i="131"/>
  <c r="S12" i="131"/>
  <c r="AM12" i="131"/>
  <c r="AM42" i="131"/>
  <c r="AL33" i="131"/>
  <c r="AV16" i="131"/>
  <c r="U43" i="131"/>
  <c r="T10" i="131"/>
  <c r="S45" i="131"/>
  <c r="Q57" i="131"/>
  <c r="BT28" i="128"/>
  <c r="P45" i="131"/>
  <c r="BT10" i="128"/>
  <c r="AC25" i="131"/>
  <c r="AC40" i="131"/>
  <c r="AM27" i="131"/>
  <c r="AM40" i="131"/>
  <c r="AM6" i="131"/>
  <c r="AM54" i="131"/>
  <c r="AU57" i="131"/>
  <c r="T21" i="131"/>
  <c r="T25" i="131"/>
  <c r="U19" i="131"/>
  <c r="Q8" i="131"/>
  <c r="Q21" i="131"/>
  <c r="P23" i="131"/>
  <c r="AD22" i="131"/>
  <c r="AD14" i="131"/>
  <c r="AM13" i="131"/>
  <c r="AV32" i="131"/>
  <c r="AV36" i="131"/>
  <c r="AV31" i="131"/>
  <c r="S33" i="131"/>
  <c r="P13" i="131"/>
  <c r="P7" i="131"/>
  <c r="P20" i="131"/>
  <c r="AD58" i="131"/>
  <c r="AC16" i="131"/>
  <c r="Q58" i="131"/>
  <c r="AM39" i="131"/>
  <c r="AU43" i="131"/>
  <c r="AL38" i="131"/>
  <c r="U11" i="131"/>
  <c r="T52" i="131"/>
  <c r="U26" i="131"/>
  <c r="AL24" i="131"/>
  <c r="AL43" i="131"/>
  <c r="AL49" i="131"/>
  <c r="AM55" i="131"/>
  <c r="AL27" i="131"/>
  <c r="AM22" i="131"/>
  <c r="AM34" i="131"/>
  <c r="AL39" i="131"/>
  <c r="AM18" i="131"/>
  <c r="AL52" i="131"/>
  <c r="AV23" i="131"/>
  <c r="AV13" i="131"/>
  <c r="AU39" i="131"/>
  <c r="AV56" i="131"/>
  <c r="AU58" i="131"/>
  <c r="AV9" i="131"/>
  <c r="AU55" i="131"/>
  <c r="AV35" i="131"/>
  <c r="AU16" i="131"/>
  <c r="AV10" i="131"/>
  <c r="AU49" i="131"/>
  <c r="U42" i="131"/>
  <c r="U16" i="131"/>
  <c r="T58" i="131"/>
  <c r="U30" i="131"/>
  <c r="U33" i="131"/>
  <c r="U15" i="131"/>
  <c r="T53" i="131"/>
  <c r="T31" i="131"/>
  <c r="U4" i="131"/>
  <c r="T11" i="131"/>
  <c r="U47" i="131"/>
  <c r="T30" i="131"/>
  <c r="T51" i="131"/>
  <c r="T16" i="131"/>
  <c r="T29" i="131"/>
  <c r="S59" i="131"/>
  <c r="S25" i="131"/>
  <c r="S23" i="131"/>
  <c r="Q17" i="131"/>
  <c r="Q29" i="131"/>
  <c r="Q18" i="131"/>
  <c r="Q24" i="131"/>
  <c r="Q16" i="131"/>
  <c r="Q48" i="131"/>
  <c r="P19" i="131"/>
  <c r="P25" i="131"/>
  <c r="P9" i="131"/>
  <c r="P40" i="131"/>
  <c r="P10" i="131"/>
  <c r="P58" i="131"/>
  <c r="P51" i="131"/>
  <c r="S10" i="131"/>
  <c r="AC55" i="131"/>
  <c r="AC6" i="131"/>
  <c r="AC52" i="131"/>
  <c r="AC22" i="131"/>
  <c r="AD52" i="131"/>
  <c r="AC24" i="131"/>
  <c r="AC26" i="131"/>
  <c r="AD34" i="131"/>
  <c r="AD50" i="131"/>
  <c r="AD47" i="131"/>
  <c r="AC43" i="131"/>
  <c r="AD53" i="131"/>
  <c r="AC49" i="131"/>
  <c r="AD4" i="131"/>
  <c r="S28" i="131"/>
  <c r="AL31" i="131"/>
  <c r="AM49" i="131"/>
  <c r="AM52" i="131"/>
  <c r="AM45" i="131"/>
  <c r="AM9" i="131"/>
  <c r="AM35" i="131"/>
  <c r="AM37" i="131"/>
  <c r="AM58" i="131"/>
  <c r="AL7" i="131"/>
  <c r="AM43" i="131"/>
  <c r="AL6" i="131"/>
  <c r="AM23" i="131"/>
  <c r="AL36" i="131"/>
  <c r="AV44" i="131"/>
  <c r="AV8" i="131"/>
  <c r="AU36" i="131"/>
  <c r="AV3" i="131"/>
  <c r="AV33" i="131"/>
  <c r="AV51" i="131"/>
  <c r="AV49" i="131"/>
  <c r="AU37" i="131"/>
  <c r="AV19" i="131"/>
  <c r="AU50" i="131"/>
  <c r="AU24" i="131"/>
  <c r="AU9" i="131"/>
  <c r="AU3" i="131"/>
  <c r="AV42" i="131"/>
  <c r="AU35" i="131"/>
  <c r="AU19" i="131"/>
  <c r="AU34" i="131"/>
  <c r="S3" i="131"/>
  <c r="S53" i="131"/>
  <c r="T59" i="131"/>
  <c r="S58" i="131"/>
  <c r="T24" i="131"/>
  <c r="T28" i="131"/>
  <c r="T54" i="131"/>
  <c r="U8" i="131"/>
  <c r="T14" i="131"/>
  <c r="T6" i="131"/>
  <c r="T22" i="131"/>
  <c r="T15" i="131"/>
  <c r="U53" i="131"/>
  <c r="S46" i="131"/>
  <c r="S32" i="131"/>
  <c r="T18" i="131"/>
  <c r="S52" i="131"/>
  <c r="S18" i="131"/>
  <c r="S17" i="131"/>
  <c r="Q51" i="131"/>
  <c r="Q15" i="131"/>
  <c r="Q53" i="131"/>
  <c r="Q59" i="131"/>
  <c r="Q45" i="131"/>
  <c r="Q56" i="131"/>
  <c r="Q19" i="131"/>
  <c r="Q7" i="131"/>
  <c r="Q34" i="131"/>
  <c r="Q39" i="131"/>
  <c r="S11" i="131"/>
  <c r="P50" i="131"/>
  <c r="P57" i="131"/>
  <c r="P34" i="131"/>
  <c r="P11" i="131"/>
  <c r="P8" i="131"/>
  <c r="AC34" i="131"/>
  <c r="AD36" i="131"/>
  <c r="AD32" i="131"/>
  <c r="AD56" i="131"/>
  <c r="AD17" i="131"/>
  <c r="AD29" i="131"/>
  <c r="AC8" i="131"/>
  <c r="AC18" i="131"/>
  <c r="AD10" i="131"/>
  <c r="AD12" i="131"/>
  <c r="AC3" i="131"/>
  <c r="AD6" i="131"/>
  <c r="AC44" i="131"/>
  <c r="AC4" i="131"/>
  <c r="S16" i="131"/>
  <c r="AM17" i="131"/>
  <c r="AL34" i="131"/>
  <c r="AM14" i="131"/>
  <c r="AL42" i="131"/>
  <c r="AM19" i="131"/>
  <c r="AL53" i="131"/>
  <c r="AL59" i="131"/>
  <c r="AL16" i="131"/>
  <c r="AM21" i="131"/>
  <c r="AL46" i="131"/>
  <c r="AU33" i="131"/>
  <c r="AV54" i="131"/>
  <c r="AV15" i="131"/>
  <c r="AU12" i="131"/>
  <c r="AV11" i="131"/>
  <c r="AU48" i="131"/>
  <c r="AV26" i="131"/>
  <c r="AV50" i="131"/>
  <c r="AU7" i="131"/>
  <c r="AV28" i="131"/>
  <c r="AU29" i="131"/>
  <c r="AV18" i="131"/>
  <c r="AV52" i="131"/>
  <c r="T36" i="131"/>
  <c r="T49" i="131"/>
  <c r="S50" i="131"/>
  <c r="T47" i="131"/>
  <c r="T35" i="131"/>
  <c r="U6" i="131"/>
  <c r="U34" i="131"/>
  <c r="T44" i="131"/>
  <c r="U32" i="131"/>
  <c r="U24" i="131"/>
  <c r="U7" i="131"/>
  <c r="U27" i="131"/>
  <c r="T40" i="131"/>
  <c r="U38" i="131"/>
  <c r="U17" i="131"/>
  <c r="U57" i="131"/>
  <c r="U10" i="131"/>
  <c r="T46" i="131"/>
  <c r="T32" i="131"/>
  <c r="S4" i="131"/>
  <c r="S15" i="131"/>
  <c r="S22" i="131"/>
  <c r="Q38" i="131"/>
  <c r="Q23" i="131"/>
  <c r="Q32" i="131"/>
  <c r="Q20" i="131"/>
  <c r="Q4" i="131"/>
  <c r="Q25" i="131"/>
  <c r="Q37" i="131"/>
  <c r="Q5" i="131"/>
  <c r="Q12" i="131"/>
  <c r="Q30" i="131"/>
  <c r="Q13" i="131"/>
  <c r="S21" i="131"/>
  <c r="P33" i="131"/>
  <c r="P47" i="131"/>
  <c r="P21" i="131"/>
  <c r="P28" i="131"/>
  <c r="P29" i="131"/>
  <c r="P43" i="131"/>
  <c r="P31" i="131"/>
  <c r="P4" i="131"/>
  <c r="S8" i="131"/>
  <c r="AC42" i="131"/>
  <c r="AD49" i="131"/>
  <c r="AD20" i="131"/>
  <c r="AC36" i="131"/>
  <c r="AC17" i="131"/>
  <c r="AC32" i="131"/>
  <c r="AD25" i="131"/>
  <c r="AD7" i="131"/>
  <c r="AC47" i="131"/>
  <c r="AC38" i="131"/>
  <c r="AD42" i="131"/>
  <c r="AC48" i="131"/>
  <c r="AM26" i="131"/>
  <c r="AM59" i="131"/>
  <c r="AM25" i="131"/>
  <c r="AM11" i="131"/>
  <c r="AM38" i="131"/>
  <c r="AM16" i="131"/>
  <c r="AL48" i="131"/>
  <c r="AM4" i="131"/>
  <c r="AL37" i="131"/>
  <c r="AL56" i="131"/>
  <c r="AL55" i="131"/>
  <c r="AL51" i="131"/>
  <c r="AL54" i="131"/>
  <c r="AL29" i="131"/>
  <c r="AM31" i="131"/>
  <c r="S6" i="131"/>
  <c r="AV34" i="131"/>
  <c r="AV38" i="131"/>
  <c r="AV20" i="131"/>
  <c r="AV30" i="131"/>
  <c r="AV17" i="131"/>
  <c r="AV41" i="131"/>
  <c r="AV14" i="131"/>
  <c r="AU51" i="131"/>
  <c r="AV25" i="131"/>
  <c r="AU53" i="131"/>
  <c r="AU52" i="131"/>
  <c r="AV4" i="131"/>
  <c r="T19" i="131"/>
  <c r="U37" i="131"/>
  <c r="U21" i="131"/>
  <c r="U35" i="131"/>
  <c r="T20" i="131"/>
  <c r="S36" i="131"/>
  <c r="S37" i="131"/>
  <c r="U5" i="131"/>
  <c r="T55" i="131"/>
  <c r="U44" i="131"/>
  <c r="U48" i="131"/>
  <c r="T8" i="131"/>
  <c r="S7" i="131"/>
  <c r="S30" i="131"/>
  <c r="Q6" i="131"/>
  <c r="Q49" i="131"/>
  <c r="S13" i="131"/>
  <c r="P37" i="131"/>
  <c r="P27" i="131"/>
  <c r="P18" i="131"/>
  <c r="P6" i="131"/>
  <c r="P55" i="131"/>
  <c r="P15" i="131"/>
  <c r="P49" i="131"/>
  <c r="P36" i="131"/>
  <c r="S20" i="131"/>
  <c r="AD54" i="131"/>
  <c r="AD15" i="131"/>
  <c r="AC53" i="131"/>
  <c r="AC31" i="131"/>
  <c r="AC59" i="131"/>
  <c r="AC37" i="131"/>
  <c r="AD18" i="131"/>
  <c r="AC7" i="131"/>
  <c r="AC58" i="131"/>
  <c r="AD11" i="131"/>
  <c r="AC30" i="131"/>
  <c r="AD28" i="131"/>
  <c r="AD19" i="131"/>
  <c r="AC54" i="131"/>
  <c r="AD23" i="131"/>
  <c r="AC29" i="131"/>
  <c r="AD31" i="131"/>
  <c r="AD59" i="131"/>
  <c r="S5" i="131"/>
  <c r="AB11" i="128"/>
  <c r="AK11" i="131"/>
  <c r="BB17" i="128"/>
  <c r="AL17" i="131"/>
  <c r="BB15" i="128"/>
  <c r="AL15" i="131"/>
  <c r="AB34" i="128"/>
  <c r="AK34" i="131"/>
  <c r="AB41" i="128"/>
  <c r="AK41" i="131"/>
  <c r="BB8" i="128"/>
  <c r="AL8" i="131"/>
  <c r="BB20" i="128"/>
  <c r="AL20" i="131"/>
  <c r="BB23" i="128"/>
  <c r="AL23" i="131"/>
  <c r="AB5" i="128"/>
  <c r="AK5" i="131"/>
  <c r="AB12" i="128"/>
  <c r="AK12" i="131"/>
  <c r="AB23" i="128"/>
  <c r="AK23" i="131"/>
  <c r="AB13" i="128"/>
  <c r="AK13" i="131"/>
  <c r="AB31" i="128"/>
  <c r="AK31" i="131"/>
  <c r="AB20" i="128"/>
  <c r="AK20" i="131"/>
  <c r="AB7" i="128"/>
  <c r="AK7" i="131"/>
  <c r="AB52" i="128"/>
  <c r="AK52" i="131"/>
  <c r="AB25" i="128"/>
  <c r="AK25" i="131"/>
  <c r="BB25" i="128"/>
  <c r="AL25" i="131"/>
  <c r="AB27" i="128"/>
  <c r="AK27" i="131"/>
  <c r="AB21" i="128"/>
  <c r="N21" i="131" s="1"/>
  <c r="AK21" i="131"/>
  <c r="BB26" i="128"/>
  <c r="AL26" i="131"/>
  <c r="AB28" i="128"/>
  <c r="AK28" i="131"/>
  <c r="AB59" i="128"/>
  <c r="AK59" i="131"/>
  <c r="AC47" i="128"/>
  <c r="AT47" i="131"/>
  <c r="BK14" i="128"/>
  <c r="AU14" i="131"/>
  <c r="BK59" i="128"/>
  <c r="AU59" i="131"/>
  <c r="BK18" i="128"/>
  <c r="AU18" i="131"/>
  <c r="AC50" i="128"/>
  <c r="AT50" i="131"/>
  <c r="AC55" i="128"/>
  <c r="AT55" i="131"/>
  <c r="AC33" i="128"/>
  <c r="AT33" i="131"/>
  <c r="AC54" i="128"/>
  <c r="AT54" i="131"/>
  <c r="BK10" i="128"/>
  <c r="AU10" i="131"/>
  <c r="AC57" i="128"/>
  <c r="AT57" i="131"/>
  <c r="AC53" i="128"/>
  <c r="AT53" i="131"/>
  <c r="AC7" i="128"/>
  <c r="AT7" i="131"/>
  <c r="AC25" i="128"/>
  <c r="AT25" i="131"/>
  <c r="AC13" i="128"/>
  <c r="AT13" i="131"/>
  <c r="AC46" i="128"/>
  <c r="AT46" i="131"/>
  <c r="AC39" i="128"/>
  <c r="AT39" i="131"/>
  <c r="BK21" i="128"/>
  <c r="AU21" i="131"/>
  <c r="BK23" i="128"/>
  <c r="AU23" i="131"/>
  <c r="AC15" i="128"/>
  <c r="AT15" i="131"/>
  <c r="AC16" i="128"/>
  <c r="AT16" i="131"/>
  <c r="AC32" i="128"/>
  <c r="AT32" i="131"/>
  <c r="AA8" i="128"/>
  <c r="AB8" i="131"/>
  <c r="AA26" i="128"/>
  <c r="AB26" i="131"/>
  <c r="AA43" i="128"/>
  <c r="AB43" i="131"/>
  <c r="AA10" i="128"/>
  <c r="AB10" i="131"/>
  <c r="AA28" i="128"/>
  <c r="AB28" i="131"/>
  <c r="AA58" i="128"/>
  <c r="AB58" i="131"/>
  <c r="AA5" i="128"/>
  <c r="AV5" i="128" s="1"/>
  <c r="AB5" i="131"/>
  <c r="AA51" i="128"/>
  <c r="AB51" i="131"/>
  <c r="AA24" i="128"/>
  <c r="AB24" i="131"/>
  <c r="AA33" i="128"/>
  <c r="AB33" i="131"/>
  <c r="AA6" i="128"/>
  <c r="AB6" i="131"/>
  <c r="AA47" i="128"/>
  <c r="AB47" i="131"/>
  <c r="AA42" i="128"/>
  <c r="AB42" i="131"/>
  <c r="AA57" i="128"/>
  <c r="AB57" i="131"/>
  <c r="AA36" i="128"/>
  <c r="AB36" i="131"/>
  <c r="AB17" i="128"/>
  <c r="AK17" i="131"/>
  <c r="AB35" i="128"/>
  <c r="AK35" i="131"/>
  <c r="AB51" i="128"/>
  <c r="AK51" i="131"/>
  <c r="AB32" i="128"/>
  <c r="AK32" i="131"/>
  <c r="AB4" i="128"/>
  <c r="AK4" i="131"/>
  <c r="AB15" i="128"/>
  <c r="AK15" i="131"/>
  <c r="AB8" i="128"/>
  <c r="AK8" i="131"/>
  <c r="AB36" i="128"/>
  <c r="AK36" i="131"/>
  <c r="AB24" i="128"/>
  <c r="AK24" i="131"/>
  <c r="BB21" i="128"/>
  <c r="AL21" i="131"/>
  <c r="AB43" i="128"/>
  <c r="AK43" i="131"/>
  <c r="AB30" i="128"/>
  <c r="AK30" i="131"/>
  <c r="AB54" i="128"/>
  <c r="N54" i="131" s="1"/>
  <c r="AK54" i="131"/>
  <c r="AB48" i="128"/>
  <c r="AK48" i="131"/>
  <c r="AC9" i="128"/>
  <c r="AT9" i="131"/>
  <c r="AC34" i="128"/>
  <c r="AT34" i="131"/>
  <c r="AC36" i="128"/>
  <c r="AT36" i="131"/>
  <c r="AC22" i="128"/>
  <c r="AT22" i="131"/>
  <c r="AC48" i="128"/>
  <c r="AT48" i="131"/>
  <c r="BK20" i="128"/>
  <c r="AU20" i="131"/>
  <c r="AC3" i="128"/>
  <c r="AT3" i="131"/>
  <c r="AC10" i="128"/>
  <c r="AT10" i="131"/>
  <c r="AC37" i="128"/>
  <c r="AT37" i="131"/>
  <c r="AC24" i="128"/>
  <c r="AT24" i="131"/>
  <c r="BK22" i="128"/>
  <c r="AU22" i="131"/>
  <c r="AC41" i="128"/>
  <c r="AT41" i="131"/>
  <c r="BK8" i="128"/>
  <c r="AU8" i="131"/>
  <c r="BK28" i="128"/>
  <c r="AU28" i="131"/>
  <c r="BK5" i="128"/>
  <c r="AU5" i="131"/>
  <c r="BK25" i="128"/>
  <c r="AU25" i="131"/>
  <c r="AC27" i="128"/>
  <c r="AT27" i="131"/>
  <c r="AC26" i="128"/>
  <c r="AT26" i="131"/>
  <c r="AC42" i="128"/>
  <c r="AT42" i="131"/>
  <c r="AS28" i="128"/>
  <c r="AC28" i="131"/>
  <c r="AA54" i="128"/>
  <c r="AB54" i="131"/>
  <c r="AA21" i="128"/>
  <c r="AB21" i="131"/>
  <c r="AA22" i="128"/>
  <c r="AB22" i="131"/>
  <c r="AA44" i="128"/>
  <c r="AB44" i="131"/>
  <c r="AA48" i="128"/>
  <c r="AB48" i="131"/>
  <c r="AA49" i="128"/>
  <c r="AB49" i="131"/>
  <c r="AA50" i="128"/>
  <c r="AB50" i="131"/>
  <c r="AA55" i="128"/>
  <c r="AB55" i="131"/>
  <c r="AA53" i="128"/>
  <c r="AB53" i="131"/>
  <c r="AA39" i="128"/>
  <c r="AB39" i="131"/>
  <c r="AA32" i="128"/>
  <c r="AB32" i="131"/>
  <c r="AA17" i="128"/>
  <c r="AB17" i="131"/>
  <c r="AA19" i="128"/>
  <c r="AB19" i="131"/>
  <c r="AA15" i="128"/>
  <c r="AB15" i="131"/>
  <c r="AA59" i="128"/>
  <c r="AB59" i="131"/>
  <c r="AB55" i="128"/>
  <c r="AK55" i="131"/>
  <c r="AB9" i="128"/>
  <c r="AK9" i="131"/>
  <c r="BB28" i="128"/>
  <c r="AL28" i="131"/>
  <c r="AB38" i="128"/>
  <c r="AK38" i="131"/>
  <c r="AB19" i="128"/>
  <c r="AK19" i="131"/>
  <c r="AB29" i="128"/>
  <c r="AK29" i="131"/>
  <c r="BB4" i="128"/>
  <c r="AL4" i="131"/>
  <c r="BB5" i="128"/>
  <c r="AL5" i="131"/>
  <c r="AB50" i="128"/>
  <c r="AK50" i="131"/>
  <c r="AB56" i="128"/>
  <c r="AK56" i="131"/>
  <c r="AB42" i="128"/>
  <c r="AK42" i="131"/>
  <c r="AB57" i="128"/>
  <c r="AK57" i="131"/>
  <c r="AB22" i="128"/>
  <c r="AK22" i="131"/>
  <c r="AB10" i="128"/>
  <c r="AK10" i="131"/>
  <c r="AB46" i="128"/>
  <c r="AK46" i="131"/>
  <c r="BB18" i="128"/>
  <c r="AL18" i="131"/>
  <c r="AB40" i="128"/>
  <c r="AK40" i="131"/>
  <c r="AB44" i="128"/>
  <c r="AK44" i="131"/>
  <c r="AB39" i="128"/>
  <c r="AK39" i="131"/>
  <c r="AC40" i="128"/>
  <c r="AT40" i="131"/>
  <c r="AC30" i="128"/>
  <c r="AT30" i="131"/>
  <c r="AC20" i="128"/>
  <c r="AT20" i="131"/>
  <c r="AC11" i="128"/>
  <c r="AT11" i="131"/>
  <c r="BK30" i="128"/>
  <c r="AU30" i="131"/>
  <c r="BK17" i="128"/>
  <c r="AU17" i="131"/>
  <c r="AC6" i="128"/>
  <c r="O6" i="131" s="1"/>
  <c r="AT6" i="131"/>
  <c r="AC29" i="128"/>
  <c r="AT29" i="131"/>
  <c r="AC31" i="128"/>
  <c r="AT31" i="131"/>
  <c r="BK13" i="128"/>
  <c r="AU13" i="131"/>
  <c r="AC45" i="128"/>
  <c r="AT45" i="131"/>
  <c r="AC21" i="128"/>
  <c r="AT21" i="131"/>
  <c r="AC43" i="128"/>
  <c r="AT43" i="131"/>
  <c r="AC19" i="128"/>
  <c r="AT19" i="131"/>
  <c r="AC44" i="128"/>
  <c r="AT44" i="131"/>
  <c r="AC59" i="128"/>
  <c r="AT59" i="131"/>
  <c r="AC4" i="128"/>
  <c r="AT4" i="131"/>
  <c r="AC5" i="128"/>
  <c r="AT5" i="131"/>
  <c r="BK26" i="128"/>
  <c r="AU26" i="131"/>
  <c r="AC14" i="128"/>
  <c r="AT14" i="131"/>
  <c r="AC28" i="128"/>
  <c r="AT28" i="131"/>
  <c r="AA40" i="128"/>
  <c r="AB40" i="131"/>
  <c r="AA34" i="128"/>
  <c r="AB34" i="131"/>
  <c r="AA9" i="128"/>
  <c r="AB9" i="131"/>
  <c r="AA52" i="128"/>
  <c r="AB52" i="131"/>
  <c r="AA3" i="128"/>
  <c r="M3" i="131" s="1"/>
  <c r="AB3" i="131"/>
  <c r="AA4" i="128"/>
  <c r="AB4" i="131"/>
  <c r="AA14" i="128"/>
  <c r="AB14" i="131"/>
  <c r="AA35" i="128"/>
  <c r="AB35" i="131"/>
  <c r="AA13" i="128"/>
  <c r="AB13" i="131"/>
  <c r="AB47" i="128"/>
  <c r="AK47" i="131"/>
  <c r="AB14" i="128"/>
  <c r="AK14" i="131"/>
  <c r="BB13" i="128"/>
  <c r="AL13" i="131"/>
  <c r="AB49" i="128"/>
  <c r="AK49" i="131"/>
  <c r="AB18" i="128"/>
  <c r="AK18" i="131"/>
  <c r="AB53" i="128"/>
  <c r="AK53" i="131"/>
  <c r="AB26" i="128"/>
  <c r="AK26" i="131"/>
  <c r="AB16" i="128"/>
  <c r="AK16" i="131"/>
  <c r="AB58" i="128"/>
  <c r="AK58" i="131"/>
  <c r="AB37" i="128"/>
  <c r="AK37" i="131"/>
  <c r="AB45" i="128"/>
  <c r="AK45" i="131"/>
  <c r="BB14" i="128"/>
  <c r="AL14" i="131"/>
  <c r="AB3" i="128"/>
  <c r="AK3" i="131"/>
  <c r="AB33" i="128"/>
  <c r="AK33" i="131"/>
  <c r="AB6" i="128"/>
  <c r="N6" i="131" s="1"/>
  <c r="AK6" i="131"/>
  <c r="BB10" i="128"/>
  <c r="AL10" i="131"/>
  <c r="AC8" i="128"/>
  <c r="AT8" i="131"/>
  <c r="AC18" i="128"/>
  <c r="AT18" i="131"/>
  <c r="AC17" i="128"/>
  <c r="AT17" i="131"/>
  <c r="AC23" i="128"/>
  <c r="AT23" i="131"/>
  <c r="AC49" i="128"/>
  <c r="AT49" i="131"/>
  <c r="AC52" i="128"/>
  <c r="AT52" i="131"/>
  <c r="AC56" i="128"/>
  <c r="O56" i="131" s="1"/>
  <c r="AT56" i="131"/>
  <c r="AC35" i="128"/>
  <c r="AT35" i="131"/>
  <c r="BK15" i="128"/>
  <c r="AU15" i="131"/>
  <c r="BK4" i="128"/>
  <c r="AU4" i="131"/>
  <c r="AC38" i="128"/>
  <c r="O38" i="131" s="1"/>
  <c r="AT38" i="131"/>
  <c r="AC58" i="128"/>
  <c r="AT58" i="131"/>
  <c r="AC12" i="128"/>
  <c r="AT12" i="131"/>
  <c r="AC51" i="128"/>
  <c r="AT51" i="131"/>
  <c r="AA46" i="128"/>
  <c r="AB46" i="131"/>
  <c r="AA37" i="128"/>
  <c r="AB37" i="131"/>
  <c r="AA27" i="128"/>
  <c r="AB27" i="131"/>
  <c r="AA7" i="128"/>
  <c r="AB7" i="131"/>
  <c r="AA30" i="128"/>
  <c r="AB30" i="131"/>
  <c r="AA18" i="128"/>
  <c r="AB18" i="131"/>
  <c r="AA45" i="128"/>
  <c r="AB45" i="131"/>
  <c r="AS5" i="128"/>
  <c r="AC5" i="131"/>
  <c r="AA38" i="128"/>
  <c r="M38" i="131" s="1"/>
  <c r="AB38" i="131"/>
  <c r="AA16" i="128"/>
  <c r="AB16" i="131"/>
  <c r="AA29" i="128"/>
  <c r="AB29" i="131"/>
  <c r="AA25" i="128"/>
  <c r="AB25" i="131"/>
  <c r="AA12" i="128"/>
  <c r="AB12" i="131"/>
  <c r="AA56" i="128"/>
  <c r="AB56" i="131"/>
  <c r="AA11" i="128"/>
  <c r="AB11" i="131"/>
  <c r="AA23" i="128"/>
  <c r="AB23" i="131"/>
  <c r="AA31" i="128"/>
  <c r="AB31" i="131"/>
  <c r="AA41" i="128"/>
  <c r="M41" i="131" s="1"/>
  <c r="AB41" i="131"/>
  <c r="AA20" i="128"/>
  <c r="AB20" i="131"/>
  <c r="P67" i="128"/>
  <c r="BB7" i="128"/>
  <c r="BB6" i="128"/>
  <c r="BK19" i="128"/>
  <c r="BB5" i="47"/>
  <c r="AS16" i="128"/>
  <c r="BB12" i="128"/>
  <c r="BB30" i="128"/>
  <c r="BB16" i="128"/>
  <c r="BK7" i="128"/>
  <c r="CC25" i="128"/>
  <c r="CC16" i="128"/>
  <c r="BB41" i="128"/>
  <c r="BB19" i="128"/>
  <c r="P108" i="128"/>
  <c r="BK105" i="128"/>
  <c r="BK11" i="128"/>
  <c r="BK16" i="128"/>
  <c r="BT16" i="128"/>
  <c r="Z9" i="128"/>
  <c r="AJ9" i="128"/>
  <c r="BA4" i="47"/>
  <c r="BB4" i="47" s="1"/>
  <c r="AM4" i="47"/>
  <c r="BB9" i="128"/>
  <c r="BK27" i="128"/>
  <c r="BK24" i="128"/>
  <c r="BK9" i="128"/>
  <c r="O106" i="128"/>
  <c r="R106" i="128"/>
  <c r="O27" i="128"/>
  <c r="O17" i="128"/>
  <c r="BB103" i="128"/>
  <c r="CC103" i="128"/>
  <c r="BK103" i="128"/>
  <c r="AJ103" i="128"/>
  <c r="Z103" i="128"/>
  <c r="AV103" i="128" s="1"/>
  <c r="AS103" i="128"/>
  <c r="BT103" i="128"/>
  <c r="AJ44" i="128"/>
  <c r="BB44" i="128"/>
  <c r="Z44" i="128"/>
  <c r="AS44" i="128"/>
  <c r="BT44" i="128"/>
  <c r="BK44" i="128"/>
  <c r="CC44" i="128"/>
  <c r="P59" i="128"/>
  <c r="BT92" i="128"/>
  <c r="AS92" i="128"/>
  <c r="AJ92" i="128"/>
  <c r="CC92" i="128"/>
  <c r="BK92" i="128"/>
  <c r="Z92" i="128"/>
  <c r="BW92" i="128" s="1"/>
  <c r="BB92" i="128"/>
  <c r="AJ87" i="128"/>
  <c r="AS87" i="128"/>
  <c r="BT87" i="128"/>
  <c r="BK87" i="128"/>
  <c r="Z87" i="128"/>
  <c r="BN87" i="128" s="1"/>
  <c r="BB87" i="128"/>
  <c r="CC87" i="128"/>
  <c r="P12" i="128"/>
  <c r="O26" i="128"/>
  <c r="P116" i="128"/>
  <c r="BT3" i="128"/>
  <c r="Z3" i="128"/>
  <c r="BB3" i="128"/>
  <c r="AJ3" i="128"/>
  <c r="AS3" i="128"/>
  <c r="BK3" i="128"/>
  <c r="CC3" i="128"/>
  <c r="BT42" i="128"/>
  <c r="Z42" i="128"/>
  <c r="BK42" i="128"/>
  <c r="AJ42" i="128"/>
  <c r="AS42" i="128"/>
  <c r="CC42" i="128"/>
  <c r="BB42" i="128"/>
  <c r="BB74" i="128"/>
  <c r="AS74" i="128"/>
  <c r="BK74" i="128"/>
  <c r="CC74" i="128"/>
  <c r="BT74" i="128"/>
  <c r="Z74" i="128"/>
  <c r="BN74" i="128" s="1"/>
  <c r="AJ74" i="128"/>
  <c r="R98" i="128"/>
  <c r="O98" i="128"/>
  <c r="P69" i="128"/>
  <c r="CC99" i="128"/>
  <c r="BK99" i="128"/>
  <c r="Z99" i="128"/>
  <c r="BW99" i="128" s="1"/>
  <c r="BT99" i="128"/>
  <c r="AS99" i="128"/>
  <c r="AJ99" i="128"/>
  <c r="BB99" i="128"/>
  <c r="P51" i="128"/>
  <c r="R108" i="128"/>
  <c r="O108" i="128"/>
  <c r="BT81" i="128"/>
  <c r="AJ81" i="128"/>
  <c r="BK81" i="128"/>
  <c r="BB81" i="128"/>
  <c r="Z81" i="128"/>
  <c r="BE81" i="128" s="1"/>
  <c r="CC81" i="128"/>
  <c r="AS81" i="128"/>
  <c r="AJ53" i="128"/>
  <c r="BT53" i="128"/>
  <c r="BB53" i="128"/>
  <c r="Z53" i="128"/>
  <c r="CC53" i="128"/>
  <c r="BK53" i="128"/>
  <c r="AS53" i="128"/>
  <c r="P46" i="128"/>
  <c r="P64" i="128"/>
  <c r="P52" i="128"/>
  <c r="BB91" i="128"/>
  <c r="BK91" i="128"/>
  <c r="AS91" i="128"/>
  <c r="AJ91" i="128"/>
  <c r="CC91" i="128"/>
  <c r="BT91" i="128"/>
  <c r="Z91" i="128"/>
  <c r="AV91" i="128" s="1"/>
  <c r="O4" i="128"/>
  <c r="BT122" i="128"/>
  <c r="Z122" i="128"/>
  <c r="BN122" i="128" s="1"/>
  <c r="AJ122" i="128"/>
  <c r="BK122" i="128"/>
  <c r="CC122" i="128"/>
  <c r="AS122" i="128"/>
  <c r="BB122" i="128"/>
  <c r="BK38" i="128"/>
  <c r="CC38" i="128"/>
  <c r="Z38" i="128"/>
  <c r="BT38" i="128"/>
  <c r="AS38" i="128"/>
  <c r="BB38" i="128"/>
  <c r="AJ38" i="128"/>
  <c r="P127" i="128"/>
  <c r="P54" i="128"/>
  <c r="R70" i="128"/>
  <c r="O70" i="128"/>
  <c r="O41" i="128"/>
  <c r="O59" i="128"/>
  <c r="AJ58" i="128"/>
  <c r="BT58" i="128"/>
  <c r="AS58" i="128"/>
  <c r="CC58" i="128"/>
  <c r="BK58" i="128"/>
  <c r="BB58" i="128"/>
  <c r="Z58" i="128"/>
  <c r="R105" i="128"/>
  <c r="O105" i="128"/>
  <c r="P85" i="128"/>
  <c r="P58" i="128"/>
  <c r="O24" i="128"/>
  <c r="BB97" i="128"/>
  <c r="AS97" i="128"/>
  <c r="Z97" i="128"/>
  <c r="BN97" i="128" s="1"/>
  <c r="CC97" i="128"/>
  <c r="BT97" i="128"/>
  <c r="BK97" i="128"/>
  <c r="AJ97" i="128"/>
  <c r="CC62" i="128"/>
  <c r="AS62" i="128"/>
  <c r="BB62" i="128"/>
  <c r="Z62" i="128"/>
  <c r="CF62" i="128" s="1"/>
  <c r="BT62" i="128"/>
  <c r="AJ62" i="128"/>
  <c r="BK62" i="128"/>
  <c r="Z47" i="128"/>
  <c r="BT47" i="128"/>
  <c r="BK47" i="128"/>
  <c r="BB47" i="128"/>
  <c r="AJ47" i="128"/>
  <c r="AS47" i="128"/>
  <c r="CC47" i="128"/>
  <c r="CC120" i="128"/>
  <c r="BT120" i="128"/>
  <c r="Z120" i="128"/>
  <c r="CF120" i="128" s="1"/>
  <c r="AJ120" i="128"/>
  <c r="BB120" i="128"/>
  <c r="AS120" i="128"/>
  <c r="BK120" i="128"/>
  <c r="P14" i="128"/>
  <c r="O42" i="128"/>
  <c r="O28" i="128"/>
  <c r="Z127" i="128"/>
  <c r="BW127" i="128" s="1"/>
  <c r="BK127" i="128"/>
  <c r="AS127" i="128"/>
  <c r="BT127" i="128"/>
  <c r="CC127" i="128"/>
  <c r="AJ127" i="128"/>
  <c r="BB127" i="128"/>
  <c r="O69" i="128"/>
  <c r="R69" i="128"/>
  <c r="R100" i="128"/>
  <c r="O100" i="128"/>
  <c r="P76" i="128"/>
  <c r="O94" i="128"/>
  <c r="P81" i="128"/>
  <c r="BT125" i="128"/>
  <c r="AS125" i="128"/>
  <c r="AJ125" i="128"/>
  <c r="Z125" i="128"/>
  <c r="BE125" i="128" s="1"/>
  <c r="BB125" i="128"/>
  <c r="CC125" i="128"/>
  <c r="BK125" i="128"/>
  <c r="AS111" i="128"/>
  <c r="Z111" i="128"/>
  <c r="AV111" i="128" s="1"/>
  <c r="CC111" i="128"/>
  <c r="BK111" i="128"/>
  <c r="BT111" i="128"/>
  <c r="BB111" i="128"/>
  <c r="AJ111" i="128"/>
  <c r="AJ34" i="128"/>
  <c r="AS34" i="128"/>
  <c r="BB34" i="128"/>
  <c r="BK34" i="128"/>
  <c r="Z34" i="128"/>
  <c r="CC34" i="128"/>
  <c r="BT34" i="128"/>
  <c r="CC88" i="128"/>
  <c r="BK88" i="128"/>
  <c r="Z88" i="128"/>
  <c r="AV88" i="128" s="1"/>
  <c r="BT88" i="128"/>
  <c r="AJ88" i="128"/>
  <c r="BB88" i="128"/>
  <c r="AS88" i="128"/>
  <c r="R68" i="128"/>
  <c r="O68" i="128"/>
  <c r="O118" i="128"/>
  <c r="R118" i="128"/>
  <c r="R89" i="128"/>
  <c r="P96" i="128"/>
  <c r="P92" i="128"/>
  <c r="O123" i="128"/>
  <c r="R123" i="128"/>
  <c r="AS43" i="128"/>
  <c r="BK43" i="128"/>
  <c r="Z43" i="128"/>
  <c r="CC43" i="128"/>
  <c r="AJ43" i="128"/>
  <c r="BT43" i="128"/>
  <c r="BB43" i="128"/>
  <c r="BB102" i="128"/>
  <c r="BT102" i="128"/>
  <c r="AJ102" i="128"/>
  <c r="CC102" i="128"/>
  <c r="AS102" i="128"/>
  <c r="Z102" i="128"/>
  <c r="BW102" i="128" s="1"/>
  <c r="BK102" i="128"/>
  <c r="O54" i="128"/>
  <c r="P8" i="128"/>
  <c r="P122" i="128"/>
  <c r="P45" i="128"/>
  <c r="R87" i="128"/>
  <c r="O87" i="128"/>
  <c r="O95" i="128"/>
  <c r="R95" i="128"/>
  <c r="Z71" i="128"/>
  <c r="BN71" i="128" s="1"/>
  <c r="CC71" i="128"/>
  <c r="BB71" i="128"/>
  <c r="AJ71" i="128"/>
  <c r="BK71" i="128"/>
  <c r="AS71" i="128"/>
  <c r="BT71" i="128"/>
  <c r="BB40" i="128"/>
  <c r="AJ40" i="128"/>
  <c r="Z40" i="128"/>
  <c r="AS40" i="128"/>
  <c r="BK40" i="128"/>
  <c r="CC40" i="128"/>
  <c r="BT40" i="128"/>
  <c r="O14" i="128"/>
  <c r="O3" i="128"/>
  <c r="R104" i="128"/>
  <c r="O104" i="128"/>
  <c r="CC80" i="128"/>
  <c r="AJ80" i="128"/>
  <c r="BK80" i="128"/>
  <c r="BT80" i="128"/>
  <c r="Z80" i="128"/>
  <c r="AV80" i="128" s="1"/>
  <c r="AS80" i="128"/>
  <c r="BB80" i="128"/>
  <c r="R75" i="128"/>
  <c r="O75" i="128"/>
  <c r="R127" i="128"/>
  <c r="O127" i="128"/>
  <c r="O6" i="128"/>
  <c r="O22" i="128"/>
  <c r="O15" i="128"/>
  <c r="P60" i="128"/>
  <c r="P13" i="128"/>
  <c r="P53" i="128"/>
  <c r="BK46" i="128"/>
  <c r="AJ46" i="128"/>
  <c r="BB46" i="128"/>
  <c r="BT46" i="128"/>
  <c r="CC46" i="128"/>
  <c r="Z46" i="128"/>
  <c r="AS46" i="128"/>
  <c r="R101" i="128"/>
  <c r="O101" i="128"/>
  <c r="CC32" i="128"/>
  <c r="AS32" i="128"/>
  <c r="BB32" i="128"/>
  <c r="BT32" i="128"/>
  <c r="BK32" i="128"/>
  <c r="Z32" i="128"/>
  <c r="AJ32" i="128"/>
  <c r="O18" i="128"/>
  <c r="BK52" i="128"/>
  <c r="BT52" i="128"/>
  <c r="AS52" i="128"/>
  <c r="BB52" i="128"/>
  <c r="AJ52" i="128"/>
  <c r="CC52" i="128"/>
  <c r="Z52" i="128"/>
  <c r="Z18" i="128"/>
  <c r="AJ18" i="128"/>
  <c r="Z17" i="128"/>
  <c r="AJ17" i="128"/>
  <c r="CC14" i="128"/>
  <c r="CC19" i="128"/>
  <c r="CC24" i="128"/>
  <c r="CC12" i="128"/>
  <c r="CF81" i="128"/>
  <c r="AS13" i="128"/>
  <c r="AJ13" i="128"/>
  <c r="Z13" i="128"/>
  <c r="BW81" i="128"/>
  <c r="BT4" i="128"/>
  <c r="BT22" i="128"/>
  <c r="BT105" i="128"/>
  <c r="BT12" i="128"/>
  <c r="BT21" i="128"/>
  <c r="BT26" i="128"/>
  <c r="BT30" i="128"/>
  <c r="BT41" i="128"/>
  <c r="AJ8" i="128"/>
  <c r="Z8" i="128"/>
  <c r="AS15" i="128"/>
  <c r="AS11" i="128"/>
  <c r="AS17" i="128"/>
  <c r="Z27" i="128"/>
  <c r="AJ27" i="128"/>
  <c r="AZ9" i="47"/>
  <c r="BA3" i="47"/>
  <c r="BA2" i="47"/>
  <c r="AM3" i="47"/>
  <c r="BK12" i="128"/>
  <c r="BK29" i="128"/>
  <c r="P87" i="128"/>
  <c r="R67" i="128"/>
  <c r="O67" i="128"/>
  <c r="R74" i="128"/>
  <c r="O74" i="128"/>
  <c r="R99" i="128"/>
  <c r="O99" i="128"/>
  <c r="P31" i="128"/>
  <c r="P86" i="128"/>
  <c r="O45" i="128"/>
  <c r="BT56" i="128"/>
  <c r="AS56" i="128"/>
  <c r="BB56" i="128"/>
  <c r="Z56" i="128"/>
  <c r="CC56" i="128"/>
  <c r="BK56" i="128"/>
  <c r="AJ56" i="128"/>
  <c r="P9" i="128"/>
  <c r="AJ129" i="128"/>
  <c r="CC129" i="128"/>
  <c r="Z129" i="128"/>
  <c r="BE129" i="128" s="1"/>
  <c r="BT129" i="128"/>
  <c r="AS129" i="128"/>
  <c r="BB129" i="128"/>
  <c r="BK129" i="128"/>
  <c r="P11" i="128"/>
  <c r="O38" i="128"/>
  <c r="R80" i="128"/>
  <c r="O80" i="128"/>
  <c r="P74" i="128"/>
  <c r="P90" i="128"/>
  <c r="P117" i="128"/>
  <c r="P100" i="128"/>
  <c r="O126" i="128"/>
  <c r="R126" i="128"/>
  <c r="P23" i="128"/>
  <c r="BB48" i="128"/>
  <c r="BT48" i="128"/>
  <c r="AS48" i="128"/>
  <c r="AJ48" i="128"/>
  <c r="CC48" i="128"/>
  <c r="BK48" i="128"/>
  <c r="Z48" i="128"/>
  <c r="O34" i="128"/>
  <c r="O39" i="128"/>
  <c r="P20" i="128"/>
  <c r="O36" i="128"/>
  <c r="R91" i="128"/>
  <c r="O91" i="128"/>
  <c r="O66" i="128"/>
  <c r="R66" i="128"/>
  <c r="P65" i="128"/>
  <c r="P104" i="128"/>
  <c r="P130" i="128"/>
  <c r="BT73" i="128"/>
  <c r="CC73" i="128"/>
  <c r="AJ73" i="128"/>
  <c r="BB73" i="128"/>
  <c r="BK73" i="128"/>
  <c r="AS73" i="128"/>
  <c r="Z73" i="128"/>
  <c r="AV73" i="128" s="1"/>
  <c r="P61" i="128"/>
  <c r="O49" i="128"/>
  <c r="R64" i="128"/>
  <c r="O64" i="128"/>
  <c r="CC50" i="128"/>
  <c r="BK50" i="128"/>
  <c r="AJ50" i="128"/>
  <c r="BB50" i="128"/>
  <c r="Z50" i="128"/>
  <c r="BT50" i="128"/>
  <c r="AS50" i="128"/>
  <c r="O37" i="128"/>
  <c r="BK72" i="128"/>
  <c r="Z72" i="128"/>
  <c r="AV72" i="128" s="1"/>
  <c r="CC72" i="128"/>
  <c r="BT72" i="128"/>
  <c r="BB72" i="128"/>
  <c r="AS72" i="128"/>
  <c r="AJ72" i="128"/>
  <c r="R122" i="128"/>
  <c r="O122" i="128"/>
  <c r="P63" i="128"/>
  <c r="P97" i="128"/>
  <c r="P119" i="128"/>
  <c r="O47" i="128"/>
  <c r="P120" i="128"/>
  <c r="P3" i="128"/>
  <c r="O35" i="128"/>
  <c r="P75" i="128"/>
  <c r="R109" i="128"/>
  <c r="O109" i="128"/>
  <c r="R117" i="128"/>
  <c r="O117" i="128"/>
  <c r="P6" i="128"/>
  <c r="AS54" i="128"/>
  <c r="BT54" i="128"/>
  <c r="Z54" i="128"/>
  <c r="BK54" i="128"/>
  <c r="BB54" i="128"/>
  <c r="AJ54" i="128"/>
  <c r="CC54" i="128"/>
  <c r="O23" i="128"/>
  <c r="O48" i="128"/>
  <c r="P125" i="128"/>
  <c r="R111" i="128"/>
  <c r="O111" i="128"/>
  <c r="P34" i="128"/>
  <c r="BT110" i="128"/>
  <c r="CC110" i="128"/>
  <c r="BB110" i="128"/>
  <c r="AS110" i="128"/>
  <c r="AJ110" i="128"/>
  <c r="Z110" i="128"/>
  <c r="CF110" i="128" s="1"/>
  <c r="BK110" i="128"/>
  <c r="BB124" i="128"/>
  <c r="AS124" i="128"/>
  <c r="BK124" i="128"/>
  <c r="BT124" i="128"/>
  <c r="Z124" i="128"/>
  <c r="BW124" i="128" s="1"/>
  <c r="AJ124" i="128"/>
  <c r="CC124" i="128"/>
  <c r="BK107" i="128"/>
  <c r="AJ107" i="128"/>
  <c r="AS107" i="128"/>
  <c r="BB107" i="128"/>
  <c r="BT107" i="128"/>
  <c r="CC107" i="128"/>
  <c r="Z107" i="128"/>
  <c r="BN107" i="128" s="1"/>
  <c r="O52" i="128"/>
  <c r="CC114" i="128"/>
  <c r="AJ114" i="128"/>
  <c r="AS114" i="128"/>
  <c r="BK114" i="128"/>
  <c r="BT114" i="128"/>
  <c r="Z114" i="128"/>
  <c r="BW114" i="128" s="1"/>
  <c r="BB114" i="128"/>
  <c r="P62" i="128"/>
  <c r="P26" i="128"/>
  <c r="BK115" i="128"/>
  <c r="AJ115" i="128"/>
  <c r="BT115" i="128"/>
  <c r="CC115" i="128"/>
  <c r="BB115" i="128"/>
  <c r="AS115" i="128"/>
  <c r="Z115" i="128"/>
  <c r="CF115" i="128" s="1"/>
  <c r="P102" i="128"/>
  <c r="O44" i="128"/>
  <c r="P32" i="128"/>
  <c r="P78" i="128"/>
  <c r="P24" i="128"/>
  <c r="O63" i="128"/>
  <c r="R63" i="128"/>
  <c r="P7" i="128"/>
  <c r="P27" i="128"/>
  <c r="P71" i="128"/>
  <c r="O40" i="128"/>
  <c r="O43" i="128"/>
  <c r="P38" i="128"/>
  <c r="P115" i="128"/>
  <c r="P17" i="128"/>
  <c r="P57" i="128"/>
  <c r="CC117" i="128"/>
  <c r="Z117" i="128"/>
  <c r="CF117" i="128" s="1"/>
  <c r="BK117" i="128"/>
  <c r="BT117" i="128"/>
  <c r="AJ117" i="128"/>
  <c r="AS117" i="128"/>
  <c r="BB117" i="128"/>
  <c r="O83" i="128"/>
  <c r="R83" i="128"/>
  <c r="O76" i="128"/>
  <c r="R76" i="128"/>
  <c r="BT94" i="128"/>
  <c r="CC94" i="128"/>
  <c r="Z94" i="128"/>
  <c r="AV94" i="128" s="1"/>
  <c r="AJ94" i="128"/>
  <c r="AS94" i="128"/>
  <c r="BK94" i="128"/>
  <c r="BB94" i="128"/>
  <c r="R81" i="128"/>
  <c r="O81" i="128"/>
  <c r="Z61" i="128"/>
  <c r="BW61" i="128" s="1"/>
  <c r="BT61" i="128"/>
  <c r="AS61" i="128"/>
  <c r="BB61" i="128"/>
  <c r="AJ61" i="128"/>
  <c r="BK61" i="128"/>
  <c r="CC61" i="128"/>
  <c r="P10" i="128"/>
  <c r="O46" i="128"/>
  <c r="BT39" i="128"/>
  <c r="AJ39" i="128"/>
  <c r="BK39" i="128"/>
  <c r="Z39" i="128"/>
  <c r="BB39" i="128"/>
  <c r="AS39" i="128"/>
  <c r="CC39" i="128"/>
  <c r="R32" i="128"/>
  <c r="O32" i="128"/>
  <c r="P118" i="128"/>
  <c r="R96" i="128"/>
  <c r="O96" i="128"/>
  <c r="Z4" i="128"/>
  <c r="AJ4" i="128"/>
  <c r="Z26" i="128"/>
  <c r="AJ26" i="128"/>
  <c r="Z15" i="128"/>
  <c r="AJ15" i="128"/>
  <c r="Z22" i="128"/>
  <c r="AJ22" i="128"/>
  <c r="BB22" i="128"/>
  <c r="AS23" i="128"/>
  <c r="Z23" i="128"/>
  <c r="AJ23" i="128"/>
  <c r="CC18" i="128"/>
  <c r="CC4" i="128"/>
  <c r="CC27" i="128"/>
  <c r="CC30" i="128"/>
  <c r="CC105" i="128"/>
  <c r="CC17" i="128"/>
  <c r="CC15" i="128"/>
  <c r="BT7" i="128"/>
  <c r="BT27" i="128"/>
  <c r="BT19" i="128"/>
  <c r="Z10" i="128"/>
  <c r="AJ10" i="128"/>
  <c r="AJ20" i="128"/>
  <c r="Z20" i="128"/>
  <c r="AS25" i="128"/>
  <c r="AS9" i="128"/>
  <c r="AS12" i="128"/>
  <c r="AS19" i="128"/>
  <c r="AS20" i="128"/>
  <c r="AS7" i="128"/>
  <c r="AS30" i="128"/>
  <c r="AS29" i="128"/>
  <c r="Z29" i="128"/>
  <c r="AJ29" i="128"/>
  <c r="Z12" i="128"/>
  <c r="AJ12" i="128"/>
  <c r="BB29" i="128"/>
  <c r="P91" i="128"/>
  <c r="Z6" i="128"/>
  <c r="AJ6" i="128"/>
  <c r="P56" i="128"/>
  <c r="P84" i="128"/>
  <c r="BB90" i="128"/>
  <c r="Z90" i="128"/>
  <c r="CF90" i="128" s="1"/>
  <c r="BK90" i="128"/>
  <c r="AJ90" i="128"/>
  <c r="BT90" i="128"/>
  <c r="CC90" i="128"/>
  <c r="AS90" i="128"/>
  <c r="BB130" i="128"/>
  <c r="BK130" i="128"/>
  <c r="AJ130" i="128"/>
  <c r="CC130" i="128"/>
  <c r="BT130" i="128"/>
  <c r="AS130" i="128"/>
  <c r="Z130" i="128"/>
  <c r="BN130" i="128" s="1"/>
  <c r="Z41" i="128"/>
  <c r="CC41" i="128"/>
  <c r="AJ41" i="128"/>
  <c r="BK41" i="128"/>
  <c r="P36" i="128"/>
  <c r="O65" i="128"/>
  <c r="R65" i="128"/>
  <c r="O62" i="128"/>
  <c r="R62" i="128"/>
  <c r="O21" i="128"/>
  <c r="O129" i="128"/>
  <c r="R129" i="128"/>
  <c r="P43" i="128"/>
  <c r="AS104" i="128"/>
  <c r="Z104" i="128"/>
  <c r="BN104" i="128" s="1"/>
  <c r="BT104" i="128"/>
  <c r="BB104" i="128"/>
  <c r="BK104" i="128"/>
  <c r="CC104" i="128"/>
  <c r="AJ104" i="128"/>
  <c r="BB35" i="128"/>
  <c r="BT35" i="128"/>
  <c r="Z35" i="128"/>
  <c r="CC35" i="128"/>
  <c r="AJ35" i="128"/>
  <c r="BK35" i="128"/>
  <c r="AS35" i="128"/>
  <c r="P79" i="128"/>
  <c r="P109" i="128"/>
  <c r="AS112" i="128"/>
  <c r="BT112" i="128"/>
  <c r="CC112" i="128"/>
  <c r="BK112" i="128"/>
  <c r="Z112" i="128"/>
  <c r="BE112" i="128" s="1"/>
  <c r="AJ112" i="128"/>
  <c r="BB112" i="128"/>
  <c r="O19" i="128"/>
  <c r="P93" i="128"/>
  <c r="P70" i="128"/>
  <c r="O113" i="128"/>
  <c r="R113" i="128"/>
  <c r="R88" i="128"/>
  <c r="O88" i="128"/>
  <c r="P124" i="128"/>
  <c r="O86" i="128"/>
  <c r="R86" i="128"/>
  <c r="BB77" i="128"/>
  <c r="AS77" i="128"/>
  <c r="Z77" i="128"/>
  <c r="BW77" i="128" s="1"/>
  <c r="AJ77" i="128"/>
  <c r="CC77" i="128"/>
  <c r="BT77" i="128"/>
  <c r="BK77" i="128"/>
  <c r="CC78" i="128"/>
  <c r="BT78" i="128"/>
  <c r="Z78" i="128"/>
  <c r="AV78" i="128" s="1"/>
  <c r="BB78" i="128"/>
  <c r="AS78" i="128"/>
  <c r="BK78" i="128"/>
  <c r="AJ78" i="128"/>
  <c r="P50" i="128"/>
  <c r="O71" i="128"/>
  <c r="R71" i="128"/>
  <c r="R115" i="128"/>
  <c r="O115" i="128"/>
  <c r="Z51" i="128"/>
  <c r="BT51" i="128"/>
  <c r="AS51" i="128"/>
  <c r="CC51" i="128"/>
  <c r="BK51" i="128"/>
  <c r="AJ51" i="128"/>
  <c r="BB51" i="128"/>
  <c r="P73" i="128"/>
  <c r="O10" i="128"/>
  <c r="P101" i="128"/>
  <c r="Z66" i="128"/>
  <c r="CF66" i="128" s="1"/>
  <c r="CC66" i="128"/>
  <c r="BB66" i="128"/>
  <c r="BK66" i="128"/>
  <c r="AS66" i="128"/>
  <c r="BT66" i="128"/>
  <c r="AJ66" i="128"/>
  <c r="O25" i="128"/>
  <c r="P37" i="128"/>
  <c r="P72" i="128"/>
  <c r="Z45" i="128"/>
  <c r="BT45" i="128"/>
  <c r="BB45" i="128"/>
  <c r="AJ45" i="128"/>
  <c r="AS45" i="128"/>
  <c r="BK45" i="128"/>
  <c r="CC45" i="128"/>
  <c r="P105" i="128"/>
  <c r="AJ106" i="128"/>
  <c r="Z106" i="128"/>
  <c r="CF106" i="128" s="1"/>
  <c r="BT106" i="128"/>
  <c r="BB106" i="128"/>
  <c r="CC106" i="128"/>
  <c r="AS106" i="128"/>
  <c r="BK106" i="128"/>
  <c r="P95" i="128"/>
  <c r="P21" i="128"/>
  <c r="P129" i="128"/>
  <c r="AS67" i="128"/>
  <c r="BB67" i="128"/>
  <c r="BT67" i="128"/>
  <c r="AJ67" i="128"/>
  <c r="Z67" i="128"/>
  <c r="BW67" i="128" s="1"/>
  <c r="BK67" i="128"/>
  <c r="CC67" i="128"/>
  <c r="P35" i="128"/>
  <c r="CC79" i="128"/>
  <c r="BB79" i="128"/>
  <c r="AS79" i="128"/>
  <c r="BT79" i="128"/>
  <c r="BK79" i="128"/>
  <c r="AJ79" i="128"/>
  <c r="Z79" i="128"/>
  <c r="CF79" i="128" s="1"/>
  <c r="P103" i="128"/>
  <c r="P112" i="128"/>
  <c r="BB126" i="128"/>
  <c r="AS126" i="128"/>
  <c r="Z126" i="128"/>
  <c r="BN126" i="128" s="1"/>
  <c r="CC126" i="128"/>
  <c r="AJ126" i="128"/>
  <c r="BK126" i="128"/>
  <c r="BT126" i="128"/>
  <c r="R93" i="128"/>
  <c r="O93" i="128"/>
  <c r="AS70" i="128"/>
  <c r="CC70" i="128"/>
  <c r="Z70" i="128"/>
  <c r="BW70" i="128" s="1"/>
  <c r="BK70" i="128"/>
  <c r="BB70" i="128"/>
  <c r="AJ70" i="128"/>
  <c r="BT70" i="128"/>
  <c r="P113" i="128"/>
  <c r="P29" i="128"/>
  <c r="BT31" i="128"/>
  <c r="BK31" i="128"/>
  <c r="AS31" i="128"/>
  <c r="BB31" i="128"/>
  <c r="AJ31" i="128"/>
  <c r="Z31" i="128"/>
  <c r="CC31" i="128"/>
  <c r="AJ121" i="128"/>
  <c r="Z121" i="128"/>
  <c r="BW121" i="128" s="1"/>
  <c r="BT121" i="128"/>
  <c r="AS121" i="128"/>
  <c r="CC121" i="128"/>
  <c r="BK121" i="128"/>
  <c r="BB121" i="128"/>
  <c r="R110" i="128"/>
  <c r="O110" i="128"/>
  <c r="O20" i="128"/>
  <c r="R107" i="128"/>
  <c r="O107" i="128"/>
  <c r="BK36" i="128"/>
  <c r="CC36" i="128"/>
  <c r="BB36" i="128"/>
  <c r="Z36" i="128"/>
  <c r="BT36" i="128"/>
  <c r="AS36" i="128"/>
  <c r="AJ36" i="128"/>
  <c r="R114" i="128"/>
  <c r="O114" i="128"/>
  <c r="BT119" i="128"/>
  <c r="BB119" i="128"/>
  <c r="AS119" i="128"/>
  <c r="AJ119" i="128"/>
  <c r="BK119" i="128"/>
  <c r="CC119" i="128"/>
  <c r="Z119" i="128"/>
  <c r="CF119" i="128" s="1"/>
  <c r="O128" i="128"/>
  <c r="R128" i="128"/>
  <c r="R79" i="128"/>
  <c r="O79" i="128"/>
  <c r="P19" i="128"/>
  <c r="Z108" i="128"/>
  <c r="BE108" i="128" s="1"/>
  <c r="AS108" i="128"/>
  <c r="AJ108" i="128"/>
  <c r="BB108" i="128"/>
  <c r="BT108" i="128"/>
  <c r="CC108" i="128"/>
  <c r="BK108" i="128"/>
  <c r="R124" i="128"/>
  <c r="O124" i="128"/>
  <c r="P66" i="128"/>
  <c r="BK37" i="128"/>
  <c r="Z37" i="128"/>
  <c r="CC37" i="128"/>
  <c r="AS37" i="128"/>
  <c r="BB37" i="128"/>
  <c r="AJ37" i="128"/>
  <c r="BT37" i="128"/>
  <c r="P5" i="128"/>
  <c r="O119" i="128"/>
  <c r="R119" i="128"/>
  <c r="BK82" i="128"/>
  <c r="CC82" i="128"/>
  <c r="AJ82" i="128"/>
  <c r="Z82" i="128"/>
  <c r="BN82" i="128" s="1"/>
  <c r="BB82" i="128"/>
  <c r="AS82" i="128"/>
  <c r="BT82" i="128"/>
  <c r="CC123" i="128"/>
  <c r="AJ123" i="128"/>
  <c r="AS123" i="128"/>
  <c r="BB123" i="128"/>
  <c r="BT123" i="128"/>
  <c r="Z123" i="128"/>
  <c r="CF123" i="128" s="1"/>
  <c r="BK123" i="128"/>
  <c r="BK128" i="128"/>
  <c r="AS128" i="128"/>
  <c r="Z128" i="128"/>
  <c r="BN128" i="128" s="1"/>
  <c r="BB128" i="128"/>
  <c r="BT128" i="128"/>
  <c r="CC128" i="128"/>
  <c r="AJ128" i="128"/>
  <c r="O55" i="128"/>
  <c r="BB84" i="128"/>
  <c r="AJ84" i="128"/>
  <c r="CC84" i="128"/>
  <c r="BT84" i="128"/>
  <c r="AS84" i="128"/>
  <c r="Z84" i="128"/>
  <c r="BN84" i="128" s="1"/>
  <c r="BK84" i="128"/>
  <c r="BK33" i="128"/>
  <c r="Z33" i="128"/>
  <c r="CC33" i="128"/>
  <c r="AS33" i="128"/>
  <c r="BT33" i="128"/>
  <c r="BB33" i="128"/>
  <c r="AJ33" i="128"/>
  <c r="AS57" i="128"/>
  <c r="CC57" i="128"/>
  <c r="BT57" i="128"/>
  <c r="Z57" i="128"/>
  <c r="BB57" i="128"/>
  <c r="BK57" i="128"/>
  <c r="AJ57" i="128"/>
  <c r="R102" i="128"/>
  <c r="O102" i="128"/>
  <c r="R130" i="128"/>
  <c r="O130" i="128"/>
  <c r="BB93" i="128"/>
  <c r="BT93" i="128"/>
  <c r="BK93" i="128"/>
  <c r="AS93" i="128"/>
  <c r="AJ93" i="128"/>
  <c r="Z93" i="128"/>
  <c r="AV93" i="128" s="1"/>
  <c r="CC93" i="128"/>
  <c r="P44" i="128"/>
  <c r="P48" i="128"/>
  <c r="O61" i="128"/>
  <c r="R61" i="128"/>
  <c r="P111" i="128"/>
  <c r="P110" i="128"/>
  <c r="O8" i="128"/>
  <c r="CC68" i="128"/>
  <c r="BB68" i="128"/>
  <c r="AS68" i="128"/>
  <c r="AJ68" i="128"/>
  <c r="Z68" i="128"/>
  <c r="CF68" i="128" s="1"/>
  <c r="BT68" i="128"/>
  <c r="BK68" i="128"/>
  <c r="P107" i="128"/>
  <c r="P114" i="128"/>
  <c r="Z7" i="128"/>
  <c r="AJ7" i="128"/>
  <c r="Z19" i="128"/>
  <c r="AJ19" i="128"/>
  <c r="AJ105" i="128"/>
  <c r="Z105" i="128"/>
  <c r="BN105" i="128" s="1"/>
  <c r="AJ30" i="128"/>
  <c r="Z30" i="128"/>
  <c r="CC26" i="128"/>
  <c r="CC9" i="128"/>
  <c r="CC22" i="128"/>
  <c r="CC23" i="128"/>
  <c r="CC29" i="128"/>
  <c r="Z11" i="128"/>
  <c r="AJ11" i="128"/>
  <c r="BB11" i="128"/>
  <c r="BT29" i="128"/>
  <c r="BT11" i="128"/>
  <c r="BT15" i="128"/>
  <c r="BT23" i="128"/>
  <c r="BT13" i="128"/>
  <c r="BT25" i="128"/>
  <c r="BT6" i="128"/>
  <c r="BT9" i="128"/>
  <c r="AS27" i="128"/>
  <c r="AS6" i="128"/>
  <c r="AS10" i="128"/>
  <c r="AS41" i="128"/>
  <c r="AS22" i="128"/>
  <c r="AS24" i="128"/>
  <c r="AS26" i="128"/>
  <c r="AJ28" i="128"/>
  <c r="Z28" i="128"/>
  <c r="AJ24" i="128"/>
  <c r="Z24" i="128"/>
  <c r="BB24" i="128"/>
  <c r="BB27" i="128"/>
  <c r="BK6" i="128"/>
  <c r="BK65" i="128"/>
  <c r="BT65" i="128"/>
  <c r="Z65" i="128"/>
  <c r="AJ65" i="128"/>
  <c r="BB65" i="128"/>
  <c r="AS65" i="128"/>
  <c r="CC65" i="128"/>
  <c r="O7" i="128"/>
  <c r="P80" i="128"/>
  <c r="CC109" i="128"/>
  <c r="Z109" i="128"/>
  <c r="BN109" i="128" s="1"/>
  <c r="AS109" i="128"/>
  <c r="BT109" i="128"/>
  <c r="AJ109" i="128"/>
  <c r="BB109" i="128"/>
  <c r="BK109" i="128"/>
  <c r="P22" i="128"/>
  <c r="Z49" i="128"/>
  <c r="AS49" i="128"/>
  <c r="BK49" i="128"/>
  <c r="BT49" i="128"/>
  <c r="CC49" i="128"/>
  <c r="AJ49" i="128"/>
  <c r="BB49" i="128"/>
  <c r="R77" i="128"/>
  <c r="O77" i="128"/>
  <c r="R97" i="128"/>
  <c r="O97" i="128"/>
  <c r="R82" i="128"/>
  <c r="O82" i="128"/>
  <c r="O120" i="128"/>
  <c r="R120" i="128"/>
  <c r="AS116" i="128"/>
  <c r="BK116" i="128"/>
  <c r="BT116" i="128"/>
  <c r="AJ116" i="128"/>
  <c r="BB116" i="128"/>
  <c r="Z116" i="128"/>
  <c r="CC116" i="128"/>
  <c r="P55" i="128"/>
  <c r="P42" i="128"/>
  <c r="P28" i="128"/>
  <c r="Z98" i="128"/>
  <c r="AV98" i="128" s="1"/>
  <c r="AJ98" i="128"/>
  <c r="AS98" i="128"/>
  <c r="CC98" i="128"/>
  <c r="BK98" i="128"/>
  <c r="BT98" i="128"/>
  <c r="BB98" i="128"/>
  <c r="R103" i="128"/>
  <c r="O103" i="128"/>
  <c r="R112" i="128"/>
  <c r="O112" i="128"/>
  <c r="CC83" i="128"/>
  <c r="Z83" i="128"/>
  <c r="AV83" i="128" s="1"/>
  <c r="BK83" i="128"/>
  <c r="AJ83" i="128"/>
  <c r="AS83" i="128"/>
  <c r="BT83" i="128"/>
  <c r="BB83" i="128"/>
  <c r="P94" i="128"/>
  <c r="BT60" i="128"/>
  <c r="BK60" i="128"/>
  <c r="CC60" i="128"/>
  <c r="Z60" i="128"/>
  <c r="AV60" i="128" s="1"/>
  <c r="AJ60" i="128"/>
  <c r="BB60" i="128"/>
  <c r="AS60" i="128"/>
  <c r="R125" i="128"/>
  <c r="O125" i="128"/>
  <c r="P41" i="128"/>
  <c r="Z64" i="128"/>
  <c r="BE64" i="128" s="1"/>
  <c r="CC64" i="128"/>
  <c r="AJ64" i="128"/>
  <c r="BT64" i="128"/>
  <c r="AS64" i="128"/>
  <c r="BB64" i="128"/>
  <c r="BK64" i="128"/>
  <c r="BB118" i="128"/>
  <c r="BK118" i="128"/>
  <c r="BT118" i="128"/>
  <c r="Z118" i="128"/>
  <c r="CC118" i="128"/>
  <c r="AS118" i="128"/>
  <c r="AJ118" i="128"/>
  <c r="P77" i="128"/>
  <c r="R78" i="128"/>
  <c r="O78" i="128"/>
  <c r="O50" i="128"/>
  <c r="O9" i="128"/>
  <c r="O33" i="128"/>
  <c r="P126" i="128"/>
  <c r="P16" i="128"/>
  <c r="P88" i="128"/>
  <c r="P39" i="128"/>
  <c r="O85" i="128"/>
  <c r="R85" i="128"/>
  <c r="BT63" i="128"/>
  <c r="CC63" i="128"/>
  <c r="BK63" i="128"/>
  <c r="Z63" i="128"/>
  <c r="BN63" i="128" s="1"/>
  <c r="BB63" i="128"/>
  <c r="AJ63" i="128"/>
  <c r="AS63" i="128"/>
  <c r="CC85" i="128"/>
  <c r="AJ85" i="128"/>
  <c r="BB85" i="128"/>
  <c r="BT85" i="128"/>
  <c r="Z85" i="128"/>
  <c r="AV85" i="128" s="1"/>
  <c r="BK85" i="128"/>
  <c r="AS85" i="128"/>
  <c r="O58" i="128"/>
  <c r="P25" i="128"/>
  <c r="O5" i="128"/>
  <c r="O56" i="128"/>
  <c r="O12" i="128"/>
  <c r="P40" i="128"/>
  <c r="R116" i="128"/>
  <c r="O116" i="128"/>
  <c r="P30" i="128"/>
  <c r="P33" i="128"/>
  <c r="O90" i="128"/>
  <c r="R90" i="128"/>
  <c r="AJ69" i="128"/>
  <c r="BB69" i="128"/>
  <c r="BK69" i="128"/>
  <c r="CC69" i="128"/>
  <c r="AS69" i="128"/>
  <c r="BT69" i="128"/>
  <c r="Z69" i="128"/>
  <c r="BT100" i="128"/>
  <c r="BB100" i="128"/>
  <c r="CC100" i="128"/>
  <c r="AS100" i="128"/>
  <c r="AJ100" i="128"/>
  <c r="BK100" i="128"/>
  <c r="Z100" i="128"/>
  <c r="BE100" i="128" s="1"/>
  <c r="Z76" i="128"/>
  <c r="BN76" i="128" s="1"/>
  <c r="BK76" i="128"/>
  <c r="AJ76" i="128"/>
  <c r="BT76" i="128"/>
  <c r="AS76" i="128"/>
  <c r="CC76" i="128"/>
  <c r="BB76" i="128"/>
  <c r="P15" i="128"/>
  <c r="O60" i="128"/>
  <c r="R60" i="128"/>
  <c r="O13" i="128"/>
  <c r="O53" i="128"/>
  <c r="O31" i="128"/>
  <c r="O121" i="128"/>
  <c r="R121" i="128"/>
  <c r="P49" i="128"/>
  <c r="Z86" i="128"/>
  <c r="CF86" i="128" s="1"/>
  <c r="CC86" i="128"/>
  <c r="BB86" i="128"/>
  <c r="BK86" i="128"/>
  <c r="AS86" i="128"/>
  <c r="AJ86" i="128"/>
  <c r="BT86" i="128"/>
  <c r="BT89" i="128"/>
  <c r="Z89" i="128"/>
  <c r="BW89" i="128" s="1"/>
  <c r="AJ89" i="128"/>
  <c r="BK89" i="128"/>
  <c r="CC89" i="128"/>
  <c r="AS89" i="128"/>
  <c r="BB89" i="128"/>
  <c r="BB96" i="128"/>
  <c r="Z96" i="128"/>
  <c r="AS96" i="128"/>
  <c r="BK96" i="128"/>
  <c r="AJ96" i="128"/>
  <c r="CC96" i="128"/>
  <c r="BT96" i="128"/>
  <c r="P4" i="128"/>
  <c r="P82" i="128"/>
  <c r="O11" i="128"/>
  <c r="P98" i="128"/>
  <c r="P83" i="128"/>
  <c r="P18" i="128"/>
  <c r="R72" i="128"/>
  <c r="O72" i="128"/>
  <c r="R92" i="128"/>
  <c r="O92" i="128"/>
  <c r="P106" i="128"/>
  <c r="BK95" i="128"/>
  <c r="BT95" i="128"/>
  <c r="CC95" i="128"/>
  <c r="AJ95" i="128"/>
  <c r="BB95" i="128"/>
  <c r="Z95" i="128"/>
  <c r="CF95" i="128" s="1"/>
  <c r="AS95" i="128"/>
  <c r="P47" i="128"/>
  <c r="P123" i="128"/>
  <c r="P128" i="128"/>
  <c r="CC55" i="128"/>
  <c r="BB55" i="128"/>
  <c r="Z55" i="128"/>
  <c r="AJ55" i="128"/>
  <c r="BK55" i="128"/>
  <c r="BT55" i="128"/>
  <c r="AS55" i="128"/>
  <c r="O30" i="128"/>
  <c r="O84" i="128"/>
  <c r="R84" i="128"/>
  <c r="BK75" i="128"/>
  <c r="BB75" i="128"/>
  <c r="BT75" i="128"/>
  <c r="CC75" i="128"/>
  <c r="AJ75" i="128"/>
  <c r="AS75" i="128"/>
  <c r="Z75" i="128"/>
  <c r="BN75" i="128" s="1"/>
  <c r="O57" i="128"/>
  <c r="P99" i="128"/>
  <c r="O51" i="128"/>
  <c r="O73" i="128"/>
  <c r="R73" i="128"/>
  <c r="O16" i="128"/>
  <c r="BT113" i="128"/>
  <c r="BK113" i="128"/>
  <c r="CC113" i="128"/>
  <c r="AJ113" i="128"/>
  <c r="AS113" i="128"/>
  <c r="Z113" i="128"/>
  <c r="BB113" i="128"/>
  <c r="O29" i="128"/>
  <c r="P121" i="128"/>
  <c r="BK101" i="128"/>
  <c r="Z101" i="128"/>
  <c r="AV101" i="128" s="1"/>
  <c r="CC101" i="128"/>
  <c r="BT101" i="128"/>
  <c r="AS101" i="128"/>
  <c r="AJ101" i="128"/>
  <c r="BB101" i="128"/>
  <c r="AS59" i="128"/>
  <c r="Z59" i="128"/>
  <c r="CC59" i="128"/>
  <c r="AJ59" i="128"/>
  <c r="BT59" i="128"/>
  <c r="BB59" i="128"/>
  <c r="P68" i="128"/>
  <c r="P89" i="128"/>
  <c r="AJ25" i="128"/>
  <c r="Z25" i="128"/>
  <c r="AJ14" i="128"/>
  <c r="AS14" i="128"/>
  <c r="Z14" i="128"/>
  <c r="CC6" i="128"/>
  <c r="CC7" i="128"/>
  <c r="Z21" i="128"/>
  <c r="AJ21" i="128"/>
  <c r="BT18" i="128"/>
  <c r="BT14" i="128"/>
  <c r="BT24" i="128"/>
  <c r="BT17" i="128"/>
  <c r="BT20" i="128"/>
  <c r="AJ5" i="128"/>
  <c r="AS21" i="128"/>
  <c r="AS105" i="128"/>
  <c r="AV81" i="128"/>
  <c r="AS8" i="128"/>
  <c r="AS18" i="128"/>
  <c r="AS4" i="128"/>
  <c r="Z16" i="128"/>
  <c r="AJ16" i="128"/>
  <c r="O23" i="131" l="1"/>
  <c r="O14" i="131"/>
  <c r="M56" i="131"/>
  <c r="N33" i="131"/>
  <c r="N37" i="131"/>
  <c r="N50" i="131"/>
  <c r="N36" i="131"/>
  <c r="BN110" i="128"/>
  <c r="N44" i="131"/>
  <c r="J42" i="131"/>
  <c r="M52" i="131"/>
  <c r="O35" i="131"/>
  <c r="M55" i="131"/>
  <c r="N30" i="131"/>
  <c r="AV40" i="128"/>
  <c r="M27" i="131"/>
  <c r="M50" i="131"/>
  <c r="M25" i="131"/>
  <c r="M37" i="131"/>
  <c r="O52" i="131"/>
  <c r="N14" i="131"/>
  <c r="M59" i="131"/>
  <c r="M20" i="131"/>
  <c r="O17" i="131"/>
  <c r="M22" i="131"/>
  <c r="O18" i="131"/>
  <c r="N16" i="131"/>
  <c r="BN5" i="128"/>
  <c r="M45" i="131"/>
  <c r="O4" i="131"/>
  <c r="O43" i="131"/>
  <c r="N45" i="131"/>
  <c r="N53" i="131"/>
  <c r="N56" i="131"/>
  <c r="BE42" i="128"/>
  <c r="BW21" i="128"/>
  <c r="AV19" i="128"/>
  <c r="CF35" i="128"/>
  <c r="BN12" i="128"/>
  <c r="BN27" i="128"/>
  <c r="CF38" i="128"/>
  <c r="CF53" i="128"/>
  <c r="BW9" i="128"/>
  <c r="BE40" i="128"/>
  <c r="BW120" i="128"/>
  <c r="AV120" i="128"/>
  <c r="AV42" i="128"/>
  <c r="CF5" i="128"/>
  <c r="BE5" i="128"/>
  <c r="AV122" i="128"/>
  <c r="BW5" i="128"/>
  <c r="CF122" i="128"/>
  <c r="BW111" i="128"/>
  <c r="CF92" i="128"/>
  <c r="AV39" i="128"/>
  <c r="BN34" i="128"/>
  <c r="M11" i="131"/>
  <c r="AV92" i="128"/>
  <c r="AV13" i="128"/>
  <c r="R48" i="128"/>
  <c r="BN111" i="128"/>
  <c r="CF61" i="128"/>
  <c r="J18" i="131"/>
  <c r="CF23" i="128"/>
  <c r="BN18" i="128"/>
  <c r="AV9" i="128"/>
  <c r="AV35" i="128"/>
  <c r="CF103" i="128"/>
  <c r="J17" i="131"/>
  <c r="BN92" i="128"/>
  <c r="R18" i="128"/>
  <c r="H48" i="131" s="1"/>
  <c r="BE103" i="128"/>
  <c r="BN103" i="128"/>
  <c r="BE111" i="128"/>
  <c r="BW122" i="128"/>
  <c r="L37" i="131"/>
  <c r="J41" i="131"/>
  <c r="CF41" i="128"/>
  <c r="BN23" i="128"/>
  <c r="CF18" i="128"/>
  <c r="L29" i="131"/>
  <c r="J49" i="131"/>
  <c r="T25" i="128"/>
  <c r="J36" i="131"/>
  <c r="M31" i="131"/>
  <c r="M12" i="131"/>
  <c r="M29" i="131"/>
  <c r="M46" i="131"/>
  <c r="O12" i="131"/>
  <c r="N26" i="131"/>
  <c r="N47" i="131"/>
  <c r="M35" i="131"/>
  <c r="M4" i="131"/>
  <c r="M34" i="131"/>
  <c r="O44" i="131"/>
  <c r="O45" i="131"/>
  <c r="O31" i="131"/>
  <c r="N10" i="131"/>
  <c r="N57" i="131"/>
  <c r="BN8" i="128"/>
  <c r="BE18" i="128"/>
  <c r="CF40" i="128"/>
  <c r="BE38" i="128"/>
  <c r="CF9" i="128"/>
  <c r="BE32" i="128"/>
  <c r="BE53" i="128"/>
  <c r="BW48" i="128"/>
  <c r="BN42" i="128"/>
  <c r="BN9" i="128"/>
  <c r="BW43" i="128"/>
  <c r="BE51" i="128"/>
  <c r="CF10" i="128"/>
  <c r="BW26" i="128"/>
  <c r="BW13" i="128"/>
  <c r="AV127" i="128"/>
  <c r="BN38" i="128"/>
  <c r="BN120" i="128"/>
  <c r="CF45" i="128"/>
  <c r="CF30" i="128"/>
  <c r="BE6" i="128"/>
  <c r="BE9" i="128"/>
  <c r="BW53" i="128"/>
  <c r="AV22" i="128"/>
  <c r="BE26" i="128"/>
  <c r="R13" i="128"/>
  <c r="R51" i="128"/>
  <c r="AV54" i="128"/>
  <c r="CF50" i="128"/>
  <c r="BN56" i="128"/>
  <c r="R33" i="128"/>
  <c r="H51" i="131" s="1"/>
  <c r="BE46" i="128"/>
  <c r="CF43" i="128"/>
  <c r="CF130" i="128"/>
  <c r="CF42" i="128"/>
  <c r="BW56" i="128"/>
  <c r="J19" i="131"/>
  <c r="BN51" i="128"/>
  <c r="R21" i="128"/>
  <c r="BN40" i="128"/>
  <c r="CF15" i="128"/>
  <c r="BE4" i="128"/>
  <c r="BE87" i="128"/>
  <c r="BW8" i="128"/>
  <c r="CF13" i="128"/>
  <c r="BN52" i="128"/>
  <c r="CF47" i="128"/>
  <c r="BE58" i="128"/>
  <c r="BN3" i="128"/>
  <c r="CF44" i="128"/>
  <c r="AV126" i="128"/>
  <c r="AV106" i="128"/>
  <c r="BW104" i="128"/>
  <c r="AV32" i="128"/>
  <c r="AV34" i="128"/>
  <c r="T5" i="128"/>
  <c r="BW35" i="128"/>
  <c r="CF12" i="128"/>
  <c r="J15" i="131"/>
  <c r="J33" i="131"/>
  <c r="J40" i="131"/>
  <c r="BN17" i="128"/>
  <c r="BW28" i="128"/>
  <c r="BW34" i="128"/>
  <c r="CF87" i="128"/>
  <c r="CF33" i="128"/>
  <c r="CF36" i="128"/>
  <c r="BE99" i="128"/>
  <c r="BN20" i="128"/>
  <c r="BW87" i="128"/>
  <c r="BW32" i="128"/>
  <c r="AV48" i="128"/>
  <c r="BW17" i="128"/>
  <c r="M18" i="131"/>
  <c r="O51" i="131"/>
  <c r="O59" i="131"/>
  <c r="N39" i="131"/>
  <c r="N40" i="131"/>
  <c r="J16" i="131"/>
  <c r="BN88" i="128"/>
  <c r="BE88" i="128"/>
  <c r="AV125" i="128"/>
  <c r="BW52" i="128"/>
  <c r="M32" i="131"/>
  <c r="AV115" i="128"/>
  <c r="J22" i="131"/>
  <c r="T28" i="128"/>
  <c r="CF56" i="128"/>
  <c r="CF88" i="128"/>
  <c r="AV74" i="128"/>
  <c r="BW88" i="128"/>
  <c r="CF22" i="128"/>
  <c r="R57" i="128"/>
  <c r="H57" i="131" s="1"/>
  <c r="J39" i="131"/>
  <c r="BE74" i="128"/>
  <c r="BN117" i="128"/>
  <c r="BE67" i="128"/>
  <c r="AV50" i="128"/>
  <c r="BW117" i="128"/>
  <c r="J44" i="131"/>
  <c r="R58" i="128"/>
  <c r="T16" i="128"/>
  <c r="AV4" i="128"/>
  <c r="AV108" i="128"/>
  <c r="AV52" i="128"/>
  <c r="BW126" i="128"/>
  <c r="BW44" i="128"/>
  <c r="CF4" i="128"/>
  <c r="BN58" i="128"/>
  <c r="AV62" i="128"/>
  <c r="BW80" i="128"/>
  <c r="AV97" i="128"/>
  <c r="BW4" i="128"/>
  <c r="CF124" i="128"/>
  <c r="J4" i="131"/>
  <c r="BE102" i="128"/>
  <c r="BE80" i="128"/>
  <c r="CF114" i="128"/>
  <c r="CF58" i="128"/>
  <c r="BW29" i="128"/>
  <c r="CF77" i="128"/>
  <c r="J30" i="131"/>
  <c r="CF94" i="128"/>
  <c r="AV117" i="128"/>
  <c r="BW94" i="128"/>
  <c r="R56" i="128"/>
  <c r="BW50" i="128"/>
  <c r="J21" i="131"/>
  <c r="BE123" i="128"/>
  <c r="AV15" i="128"/>
  <c r="M19" i="131"/>
  <c r="M54" i="131"/>
  <c r="O42" i="131"/>
  <c r="O9" i="131"/>
  <c r="N43" i="131"/>
  <c r="N24" i="131"/>
  <c r="N8" i="131"/>
  <c r="M26" i="131"/>
  <c r="O32" i="131"/>
  <c r="AV124" i="128"/>
  <c r="BE110" i="128"/>
  <c r="O15" i="131"/>
  <c r="L11" i="131"/>
  <c r="L45" i="131"/>
  <c r="BN43" i="128"/>
  <c r="BE106" i="128"/>
  <c r="CF19" i="128"/>
  <c r="BN124" i="128"/>
  <c r="CF80" i="128"/>
  <c r="R53" i="128"/>
  <c r="H13" i="131" s="1"/>
  <c r="CF60" i="128"/>
  <c r="BW33" i="128"/>
  <c r="BE104" i="128"/>
  <c r="BW106" i="128"/>
  <c r="BW22" i="128"/>
  <c r="CF102" i="128"/>
  <c r="R7" i="128"/>
  <c r="BE71" i="128"/>
  <c r="CF125" i="128"/>
  <c r="AV64" i="128"/>
  <c r="AV67" i="128"/>
  <c r="BN72" i="128"/>
  <c r="AV58" i="128"/>
  <c r="BW74" i="128"/>
  <c r="CF71" i="128"/>
  <c r="AM8" i="47"/>
  <c r="BW76" i="128"/>
  <c r="BE3" i="128"/>
  <c r="AV102" i="128"/>
  <c r="BN44" i="128"/>
  <c r="BE44" i="128"/>
  <c r="AV47" i="128"/>
  <c r="BW62" i="128"/>
  <c r="BW112" i="128"/>
  <c r="CF3" i="128"/>
  <c r="AV3" i="128"/>
  <c r="CF107" i="128"/>
  <c r="CF100" i="128"/>
  <c r="R12" i="128"/>
  <c r="H21" i="131" s="1"/>
  <c r="AV17" i="128"/>
  <c r="CF129" i="128"/>
  <c r="T19" i="128"/>
  <c r="CF20" i="128"/>
  <c r="CF76" i="128"/>
  <c r="AV112" i="128"/>
  <c r="BW47" i="128"/>
  <c r="AV107" i="128"/>
  <c r="AV129" i="128"/>
  <c r="BW129" i="128"/>
  <c r="R29" i="128"/>
  <c r="BE62" i="128"/>
  <c r="BN73" i="128"/>
  <c r="BW97" i="128"/>
  <c r="O8" i="131"/>
  <c r="AV63" i="128"/>
  <c r="CF11" i="128"/>
  <c r="BN112" i="128"/>
  <c r="J57" i="131"/>
  <c r="J6" i="131"/>
  <c r="J55" i="131"/>
  <c r="CF101" i="128"/>
  <c r="AV76" i="128"/>
  <c r="CF37" i="128"/>
  <c r="CF70" i="128"/>
  <c r="J47" i="131"/>
  <c r="J25" i="131"/>
  <c r="BE61" i="128"/>
  <c r="BE45" i="128"/>
  <c r="AV82" i="128"/>
  <c r="BW78" i="128"/>
  <c r="L19" i="131"/>
  <c r="BE107" i="128"/>
  <c r="BW71" i="128"/>
  <c r="L4" i="131"/>
  <c r="AV99" i="128"/>
  <c r="N49" i="131"/>
  <c r="M13" i="131"/>
  <c r="O11" i="131"/>
  <c r="N22" i="131"/>
  <c r="N19" i="131"/>
  <c r="N55" i="131"/>
  <c r="J5" i="131"/>
  <c r="BE66" i="128"/>
  <c r="T12" i="128"/>
  <c r="BW46" i="128"/>
  <c r="BW91" i="128"/>
  <c r="O20" i="131"/>
  <c r="O40" i="131"/>
  <c r="BN29" i="128"/>
  <c r="R20" i="128"/>
  <c r="H20" i="131" s="1"/>
  <c r="L48" i="131"/>
  <c r="J28" i="131"/>
  <c r="BN66" i="128"/>
  <c r="BE78" i="128"/>
  <c r="AV70" i="128"/>
  <c r="J50" i="131"/>
  <c r="J43" i="131"/>
  <c r="BN4" i="128"/>
  <c r="BE73" i="128"/>
  <c r="AV43" i="128"/>
  <c r="J20" i="131"/>
  <c r="L56" i="131"/>
  <c r="BN91" i="128"/>
  <c r="BE91" i="128"/>
  <c r="BE97" i="128"/>
  <c r="J13" i="131"/>
  <c r="L38" i="131"/>
  <c r="M15" i="131"/>
  <c r="L36" i="131"/>
  <c r="J29" i="131"/>
  <c r="L51" i="131"/>
  <c r="CF48" i="128"/>
  <c r="L39" i="131"/>
  <c r="J38" i="131"/>
  <c r="J27" i="131"/>
  <c r="J24" i="131"/>
  <c r="J26" i="131"/>
  <c r="J3" i="131"/>
  <c r="J23" i="131"/>
  <c r="J31" i="131"/>
  <c r="AV38" i="128"/>
  <c r="L43" i="131"/>
  <c r="J14" i="131"/>
  <c r="J51" i="131"/>
  <c r="J10" i="131"/>
  <c r="J7" i="131"/>
  <c r="L8" i="131"/>
  <c r="J45" i="131"/>
  <c r="J54" i="131"/>
  <c r="J52" i="131"/>
  <c r="J59" i="131"/>
  <c r="M30" i="131"/>
  <c r="O49" i="131"/>
  <c r="N3" i="131"/>
  <c r="N58" i="131"/>
  <c r="N18" i="131"/>
  <c r="O28" i="131"/>
  <c r="N29" i="131"/>
  <c r="N38" i="131"/>
  <c r="N9" i="131"/>
  <c r="M53" i="131"/>
  <c r="M48" i="131"/>
  <c r="O27" i="131"/>
  <c r="O37" i="131"/>
  <c r="O3" i="131"/>
  <c r="O48" i="131"/>
  <c r="O36" i="131"/>
  <c r="N4" i="131"/>
  <c r="N51" i="131"/>
  <c r="N17" i="131"/>
  <c r="M57" i="131"/>
  <c r="M47" i="131"/>
  <c r="M33" i="131"/>
  <c r="M51" i="131"/>
  <c r="M58" i="131"/>
  <c r="M10" i="131"/>
  <c r="O46" i="131"/>
  <c r="O25" i="131"/>
  <c r="O53" i="131"/>
  <c r="O33" i="131"/>
  <c r="O50" i="131"/>
  <c r="O47" i="131"/>
  <c r="N28" i="131"/>
  <c r="N52" i="131"/>
  <c r="N20" i="131"/>
  <c r="N13" i="131"/>
  <c r="N12" i="131"/>
  <c r="N34" i="131"/>
  <c r="T30" i="128"/>
  <c r="J37" i="131"/>
  <c r="L41" i="131"/>
  <c r="J56" i="131"/>
  <c r="BE22" i="128"/>
  <c r="BE29" i="128"/>
  <c r="AV110" i="128"/>
  <c r="AV8" i="128"/>
  <c r="CF127" i="128"/>
  <c r="J32" i="131"/>
  <c r="L50" i="131"/>
  <c r="J11" i="131"/>
  <c r="J9" i="131"/>
  <c r="BB3" i="47"/>
  <c r="J53" i="131"/>
  <c r="J58" i="131"/>
  <c r="L58" i="131"/>
  <c r="L3" i="131"/>
  <c r="J12" i="131"/>
  <c r="L44" i="131"/>
  <c r="L5" i="131"/>
  <c r="BN77" i="128"/>
  <c r="J48" i="131"/>
  <c r="J35" i="131"/>
  <c r="BW72" i="128"/>
  <c r="J34" i="131"/>
  <c r="L32" i="131"/>
  <c r="L40" i="131"/>
  <c r="J8" i="131"/>
  <c r="J46" i="131"/>
  <c r="L53" i="131"/>
  <c r="L42" i="131"/>
  <c r="L9" i="131"/>
  <c r="M23" i="131"/>
  <c r="M16" i="131"/>
  <c r="M7" i="131"/>
  <c r="O58" i="131"/>
  <c r="M14" i="131"/>
  <c r="M9" i="131"/>
  <c r="M40" i="131"/>
  <c r="O5" i="131"/>
  <c r="O19" i="131"/>
  <c r="O21" i="131"/>
  <c r="O29" i="131"/>
  <c r="O30" i="131"/>
  <c r="N46" i="131"/>
  <c r="N42" i="131"/>
  <c r="M17" i="131"/>
  <c r="M39" i="131"/>
  <c r="M49" i="131"/>
  <c r="M44" i="131"/>
  <c r="M21" i="131"/>
  <c r="O26" i="131"/>
  <c r="O41" i="131"/>
  <c r="O24" i="131"/>
  <c r="O10" i="131"/>
  <c r="O22" i="131"/>
  <c r="O34" i="131"/>
  <c r="N48" i="131"/>
  <c r="N15" i="131"/>
  <c r="N32" i="131"/>
  <c r="N35" i="131"/>
  <c r="M36" i="131"/>
  <c r="M42" i="131"/>
  <c r="M6" i="131"/>
  <c r="M24" i="131"/>
  <c r="M5" i="131"/>
  <c r="M28" i="131"/>
  <c r="M43" i="131"/>
  <c r="M8" i="131"/>
  <c r="O16" i="131"/>
  <c r="O39" i="131"/>
  <c r="O13" i="131"/>
  <c r="O7" i="131"/>
  <c r="O57" i="131"/>
  <c r="O54" i="131"/>
  <c r="O55" i="131"/>
  <c r="N59" i="131"/>
  <c r="N27" i="131"/>
  <c r="N25" i="131"/>
  <c r="N7" i="131"/>
  <c r="N31" i="131"/>
  <c r="N23" i="131"/>
  <c r="N5" i="131"/>
  <c r="N41" i="131"/>
  <c r="N11" i="131"/>
  <c r="AV14" i="128"/>
  <c r="L14" i="131"/>
  <c r="CF55" i="128"/>
  <c r="L55" i="131"/>
  <c r="Y31" i="128"/>
  <c r="H31" i="115" s="1"/>
  <c r="C31" i="115" s="1"/>
  <c r="E31" i="131"/>
  <c r="Y13" i="128"/>
  <c r="H13" i="115" s="1"/>
  <c r="C13" i="115" s="1"/>
  <c r="E13" i="131"/>
  <c r="Y5" i="128"/>
  <c r="H5" i="115" s="1"/>
  <c r="C5" i="115" s="1"/>
  <c r="E5" i="131"/>
  <c r="BN68" i="128"/>
  <c r="BE37" i="128"/>
  <c r="BW30" i="128"/>
  <c r="L30" i="131"/>
  <c r="Y8" i="128"/>
  <c r="H8" i="115" s="1"/>
  <c r="C8" i="115" s="1"/>
  <c r="E8" i="131"/>
  <c r="BN31" i="128"/>
  <c r="L31" i="131"/>
  <c r="Y19" i="128"/>
  <c r="H19" i="115" s="1"/>
  <c r="C19" i="115" s="1"/>
  <c r="E19" i="131"/>
  <c r="Y21" i="128"/>
  <c r="H21" i="115" s="1"/>
  <c r="C21" i="115" s="1"/>
  <c r="E21" i="131"/>
  <c r="BW6" i="128"/>
  <c r="L6" i="131"/>
  <c r="BN22" i="128"/>
  <c r="L22" i="131"/>
  <c r="BN26" i="128"/>
  <c r="L26" i="131"/>
  <c r="Y43" i="128"/>
  <c r="H43" i="115" s="1"/>
  <c r="C43" i="115" s="1"/>
  <c r="E43" i="131"/>
  <c r="Y52" i="128"/>
  <c r="H52" i="115" s="1"/>
  <c r="C52" i="115" s="1"/>
  <c r="E52" i="131"/>
  <c r="Y23" i="128"/>
  <c r="H23" i="115" s="1"/>
  <c r="C23" i="115" s="1"/>
  <c r="E23" i="131"/>
  <c r="Y49" i="128"/>
  <c r="H49" i="115" s="1"/>
  <c r="C49" i="115" s="1"/>
  <c r="E49" i="131"/>
  <c r="Y36" i="128"/>
  <c r="H36" i="115" s="1"/>
  <c r="C36" i="115" s="1"/>
  <c r="E36" i="131"/>
  <c r="Y38" i="128"/>
  <c r="H38" i="115" s="1"/>
  <c r="C38" i="115" s="1"/>
  <c r="E38" i="131"/>
  <c r="BN127" i="128"/>
  <c r="Y22" i="128"/>
  <c r="H22" i="115" s="1"/>
  <c r="C22" i="115" s="1"/>
  <c r="E22" i="131"/>
  <c r="Y14" i="128"/>
  <c r="H14" i="115" s="1"/>
  <c r="C14" i="115" s="1"/>
  <c r="E14" i="131"/>
  <c r="Y28" i="128"/>
  <c r="H28" i="115" s="1"/>
  <c r="C28" i="115" s="1"/>
  <c r="E28" i="131"/>
  <c r="BN47" i="128"/>
  <c r="L47" i="131"/>
  <c r="Y41" i="128"/>
  <c r="H41" i="115" s="1"/>
  <c r="C41" i="115" s="1"/>
  <c r="E41" i="131"/>
  <c r="BN25" i="128"/>
  <c r="L25" i="131"/>
  <c r="Y51" i="128"/>
  <c r="H51" i="115" s="1"/>
  <c r="C51" i="115" s="1"/>
  <c r="E51" i="131"/>
  <c r="Y7" i="128"/>
  <c r="H7" i="115" s="1"/>
  <c r="C7" i="115" s="1"/>
  <c r="E7" i="131"/>
  <c r="BW24" i="128"/>
  <c r="L24" i="131"/>
  <c r="BN57" i="128"/>
  <c r="L57" i="131"/>
  <c r="Y20" i="128"/>
  <c r="H20" i="115" s="1"/>
  <c r="C20" i="115" s="1"/>
  <c r="E20" i="131"/>
  <c r="Y25" i="128"/>
  <c r="H25" i="115" s="1"/>
  <c r="C25" i="115" s="1"/>
  <c r="E25" i="131"/>
  <c r="BW12" i="128"/>
  <c r="L12" i="131"/>
  <c r="BW10" i="128"/>
  <c r="L10" i="131"/>
  <c r="Y40" i="128"/>
  <c r="H40" i="115" s="1"/>
  <c r="C40" i="115" s="1"/>
  <c r="E40" i="131"/>
  <c r="BW54" i="128"/>
  <c r="L54" i="131"/>
  <c r="Y47" i="128"/>
  <c r="H47" i="115" s="1"/>
  <c r="C47" i="115" s="1"/>
  <c r="E47" i="131"/>
  <c r="Y45" i="128"/>
  <c r="H45" i="115" s="1"/>
  <c r="C45" i="115" s="1"/>
  <c r="E45" i="131"/>
  <c r="BE17" i="128"/>
  <c r="L17" i="131"/>
  <c r="Y6" i="128"/>
  <c r="H6" i="115" s="1"/>
  <c r="C6" i="115" s="1"/>
  <c r="E6" i="131"/>
  <c r="Y42" i="128"/>
  <c r="H42" i="115" s="1"/>
  <c r="C42" i="115" s="1"/>
  <c r="E42" i="131"/>
  <c r="CF16" i="128"/>
  <c r="L16" i="131"/>
  <c r="R27" i="128"/>
  <c r="Y57" i="128"/>
  <c r="H57" i="115" s="1"/>
  <c r="C57" i="115" s="1"/>
  <c r="E57" i="131"/>
  <c r="Y11" i="128"/>
  <c r="H11" i="115" s="1"/>
  <c r="C11" i="115" s="1"/>
  <c r="E11" i="131"/>
  <c r="Y12" i="128"/>
  <c r="H12" i="115" s="1"/>
  <c r="C12" i="115" s="1"/>
  <c r="E12" i="131"/>
  <c r="R5" i="128"/>
  <c r="Y33" i="128"/>
  <c r="H33" i="115" s="1"/>
  <c r="C33" i="115" s="1"/>
  <c r="E33" i="131"/>
  <c r="AV109" i="128"/>
  <c r="BN21" i="128"/>
  <c r="L21" i="131"/>
  <c r="Y29" i="128"/>
  <c r="H29" i="115" s="1"/>
  <c r="C29" i="115" s="1"/>
  <c r="E29" i="131"/>
  <c r="Y16" i="128"/>
  <c r="H16" i="115" s="1"/>
  <c r="C16" i="115" s="1"/>
  <c r="E16" i="131"/>
  <c r="Y53" i="128"/>
  <c r="H53" i="115" s="1"/>
  <c r="C53" i="115" s="1"/>
  <c r="E53" i="131"/>
  <c r="R43" i="128"/>
  <c r="H56" i="131" s="1"/>
  <c r="Y63" i="128"/>
  <c r="H63" i="115" s="1"/>
  <c r="C63" i="115" s="1"/>
  <c r="Y116" i="128"/>
  <c r="H116" i="115" s="1"/>
  <c r="C116" i="115" s="1"/>
  <c r="D116" i="115" s="1"/>
  <c r="Y79" i="128"/>
  <c r="H79" i="115" s="1"/>
  <c r="C79" i="115" s="1"/>
  <c r="D79" i="115" s="1"/>
  <c r="Y108" i="128"/>
  <c r="H108" i="115" s="1"/>
  <c r="C108" i="115" s="1"/>
  <c r="D108" i="115" s="1"/>
  <c r="Y126" i="128"/>
  <c r="H126" i="115" s="1"/>
  <c r="C126" i="115" s="1"/>
  <c r="D126" i="115" s="1"/>
  <c r="Y129" i="128"/>
  <c r="H129" i="115" s="1"/>
  <c r="C129" i="115" s="1"/>
  <c r="D129" i="115" s="1"/>
  <c r="Y67" i="128"/>
  <c r="H67" i="115" s="1"/>
  <c r="C67" i="115" s="1"/>
  <c r="D67" i="115" s="1"/>
  <c r="Y99" i="128"/>
  <c r="H99" i="115" s="1"/>
  <c r="C99" i="115" s="1"/>
  <c r="D99" i="115" s="1"/>
  <c r="Y65" i="128"/>
  <c r="H65" i="115" s="1"/>
  <c r="C65" i="115" s="1"/>
  <c r="Y112" i="128"/>
  <c r="H112" i="115" s="1"/>
  <c r="C112" i="115" s="1"/>
  <c r="D112" i="115" s="1"/>
  <c r="Y100" i="128"/>
  <c r="H100" i="115" s="1"/>
  <c r="C100" i="115" s="1"/>
  <c r="D100" i="115" s="1"/>
  <c r="Y122" i="128"/>
  <c r="H122" i="115" s="1"/>
  <c r="C122" i="115" s="1"/>
  <c r="D122" i="115" s="1"/>
  <c r="Y114" i="128"/>
  <c r="H114" i="115" s="1"/>
  <c r="C114" i="115" s="1"/>
  <c r="D114" i="115" s="1"/>
  <c r="Y73" i="128"/>
  <c r="H73" i="115" s="1"/>
  <c r="C73" i="115" s="1"/>
  <c r="D73" i="115" s="1"/>
  <c r="Y130" i="128"/>
  <c r="H130" i="115" s="1"/>
  <c r="C130" i="115" s="1"/>
  <c r="D130" i="115" s="1"/>
  <c r="Y72" i="128"/>
  <c r="H72" i="115" s="1"/>
  <c r="C72" i="115" s="1"/>
  <c r="D72" i="115" s="1"/>
  <c r="Y62" i="128"/>
  <c r="H62" i="115" s="1"/>
  <c r="C62" i="115" s="1"/>
  <c r="Y89" i="128"/>
  <c r="H89" i="115" s="1"/>
  <c r="C89" i="115" s="1"/>
  <c r="D89" i="115" s="1"/>
  <c r="Y76" i="128"/>
  <c r="H76" i="115" s="1"/>
  <c r="C76" i="115" s="1"/>
  <c r="D76" i="115" s="1"/>
  <c r="Y83" i="128"/>
  <c r="H83" i="115" s="1"/>
  <c r="C83" i="115" s="1"/>
  <c r="D83" i="115" s="1"/>
  <c r="Y64" i="128"/>
  <c r="H64" i="115" s="1"/>
  <c r="C64" i="115" s="1"/>
  <c r="Y120" i="128"/>
  <c r="H120" i="115" s="1"/>
  <c r="C120" i="115" s="1"/>
  <c r="D120" i="115" s="1"/>
  <c r="Y124" i="128"/>
  <c r="H124" i="115" s="1"/>
  <c r="C124" i="115" s="1"/>
  <c r="D124" i="115" s="1"/>
  <c r="Y70" i="128"/>
  <c r="H70" i="115" s="1"/>
  <c r="C70" i="115" s="1"/>
  <c r="D70" i="115" s="1"/>
  <c r="Y68" i="128"/>
  <c r="H68" i="115" s="1"/>
  <c r="C68" i="115" s="1"/>
  <c r="D68" i="115" s="1"/>
  <c r="Y127" i="128"/>
  <c r="H127" i="115" s="1"/>
  <c r="C127" i="115" s="1"/>
  <c r="D127" i="115" s="1"/>
  <c r="Y113" i="128"/>
  <c r="H113" i="115" s="1"/>
  <c r="C113" i="115" s="1"/>
  <c r="D113" i="115" s="1"/>
  <c r="Y96" i="128"/>
  <c r="H96" i="115" s="1"/>
  <c r="C96" i="115" s="1"/>
  <c r="D96" i="115" s="1"/>
  <c r="Y61" i="128"/>
  <c r="H61" i="115" s="1"/>
  <c r="C61" i="115" s="1"/>
  <c r="Y90" i="128"/>
  <c r="H90" i="115" s="1"/>
  <c r="C90" i="115" s="1"/>
  <c r="D90" i="115" s="1"/>
  <c r="Y81" i="128"/>
  <c r="H81" i="115" s="1"/>
  <c r="C81" i="115" s="1"/>
  <c r="D81" i="115" s="1"/>
  <c r="Y66" i="128"/>
  <c r="H66" i="115" s="1"/>
  <c r="C66" i="115" s="1"/>
  <c r="Y93" i="128"/>
  <c r="H93" i="115" s="1"/>
  <c r="C93" i="115" s="1"/>
  <c r="D93" i="115" s="1"/>
  <c r="Y95" i="128"/>
  <c r="H95" i="115" s="1"/>
  <c r="C95" i="115" s="1"/>
  <c r="D95" i="115" s="1"/>
  <c r="Y103" i="128"/>
  <c r="H103" i="115" s="1"/>
  <c r="C103" i="115" s="1"/>
  <c r="D103" i="115" s="1"/>
  <c r="Y109" i="128"/>
  <c r="H109" i="115" s="1"/>
  <c r="C109" i="115" s="1"/>
  <c r="D109" i="115" s="1"/>
  <c r="Y102" i="128"/>
  <c r="H102" i="115" s="1"/>
  <c r="C102" i="115" s="1"/>
  <c r="D102" i="115" s="1"/>
  <c r="Y60" i="128"/>
  <c r="H60" i="115" s="1"/>
  <c r="C60" i="115" s="1"/>
  <c r="Y71" i="128"/>
  <c r="H71" i="115" s="1"/>
  <c r="C71" i="115" s="1"/>
  <c r="D71" i="115" s="1"/>
  <c r="Y75" i="128"/>
  <c r="H75" i="115" s="1"/>
  <c r="C75" i="115" s="1"/>
  <c r="D75" i="115" s="1"/>
  <c r="Y106" i="128"/>
  <c r="H106" i="115" s="1"/>
  <c r="C106" i="115" s="1"/>
  <c r="D106" i="115" s="1"/>
  <c r="Y98" i="128"/>
  <c r="H98" i="115" s="1"/>
  <c r="C98" i="115" s="1"/>
  <c r="D98" i="115" s="1"/>
  <c r="Y101" i="128"/>
  <c r="H101" i="115" s="1"/>
  <c r="C101" i="115" s="1"/>
  <c r="D101" i="115" s="1"/>
  <c r="Y118" i="128"/>
  <c r="H118" i="115" s="1"/>
  <c r="C118" i="115" s="1"/>
  <c r="D118" i="115" s="1"/>
  <c r="Y97" i="128"/>
  <c r="H97" i="115" s="1"/>
  <c r="C97" i="115" s="1"/>
  <c r="D97" i="115" s="1"/>
  <c r="Y92" i="128"/>
  <c r="H92" i="115" s="1"/>
  <c r="C92" i="115" s="1"/>
  <c r="D92" i="115" s="1"/>
  <c r="Y117" i="128"/>
  <c r="H117" i="115" s="1"/>
  <c r="C117" i="115" s="1"/>
  <c r="D117" i="115" s="1"/>
  <c r="Y88" i="128"/>
  <c r="H88" i="115" s="1"/>
  <c r="C88" i="115" s="1"/>
  <c r="D88" i="115" s="1"/>
  <c r="Y94" i="128"/>
  <c r="H94" i="115" s="1"/>
  <c r="C94" i="115" s="1"/>
  <c r="D94" i="115" s="1"/>
  <c r="Y125" i="128"/>
  <c r="H125" i="115" s="1"/>
  <c r="C125" i="115" s="1"/>
  <c r="D125" i="115" s="1"/>
  <c r="Y86" i="128"/>
  <c r="H86" i="115" s="1"/>
  <c r="C86" i="115" s="1"/>
  <c r="D86" i="115" s="1"/>
  <c r="Y104" i="128"/>
  <c r="H104" i="115" s="1"/>
  <c r="C104" i="115" s="1"/>
  <c r="D104" i="115" s="1"/>
  <c r="Y111" i="128"/>
  <c r="H111" i="115" s="1"/>
  <c r="C111" i="115" s="1"/>
  <c r="D111" i="115" s="1"/>
  <c r="Y91" i="128"/>
  <c r="H91" i="115" s="1"/>
  <c r="C91" i="115" s="1"/>
  <c r="D91" i="115" s="1"/>
  <c r="Y123" i="128"/>
  <c r="H123" i="115" s="1"/>
  <c r="C123" i="115" s="1"/>
  <c r="D123" i="115" s="1"/>
  <c r="Y85" i="128"/>
  <c r="H85" i="115" s="1"/>
  <c r="C85" i="115" s="1"/>
  <c r="D85" i="115" s="1"/>
  <c r="Y78" i="128"/>
  <c r="H78" i="115" s="1"/>
  <c r="C78" i="115" s="1"/>
  <c r="D78" i="115" s="1"/>
  <c r="Y82" i="128"/>
  <c r="H82" i="115" s="1"/>
  <c r="C82" i="115" s="1"/>
  <c r="D82" i="115" s="1"/>
  <c r="Y74" i="128"/>
  <c r="H74" i="115" s="1"/>
  <c r="C74" i="115" s="1"/>
  <c r="D74" i="115" s="1"/>
  <c r="Y115" i="128"/>
  <c r="H115" i="115" s="1"/>
  <c r="C115" i="115" s="1"/>
  <c r="D115" i="115" s="1"/>
  <c r="Y107" i="128"/>
  <c r="H107" i="115" s="1"/>
  <c r="C107" i="115" s="1"/>
  <c r="D107" i="115" s="1"/>
  <c r="Y128" i="128"/>
  <c r="H128" i="115" s="1"/>
  <c r="C128" i="115" s="1"/>
  <c r="D128" i="115" s="1"/>
  <c r="Y110" i="128"/>
  <c r="H110" i="115" s="1"/>
  <c r="C110" i="115" s="1"/>
  <c r="D110" i="115" s="1"/>
  <c r="Y119" i="128"/>
  <c r="H119" i="115" s="1"/>
  <c r="C119" i="115" s="1"/>
  <c r="D119" i="115" s="1"/>
  <c r="Y77" i="128"/>
  <c r="H77" i="115" s="1"/>
  <c r="C77" i="115" s="1"/>
  <c r="D77" i="115" s="1"/>
  <c r="Y121" i="128"/>
  <c r="H121" i="115" s="1"/>
  <c r="C121" i="115" s="1"/>
  <c r="D121" i="115" s="1"/>
  <c r="Y105" i="128"/>
  <c r="H105" i="115" s="1"/>
  <c r="C105" i="115" s="1"/>
  <c r="D105" i="115" s="1"/>
  <c r="Y80" i="128"/>
  <c r="H80" i="115" s="1"/>
  <c r="C80" i="115" s="1"/>
  <c r="D80" i="115" s="1"/>
  <c r="Y84" i="128"/>
  <c r="H84" i="115" s="1"/>
  <c r="C84" i="115" s="1"/>
  <c r="D84" i="115" s="1"/>
  <c r="Y87" i="128"/>
  <c r="H87" i="115" s="1"/>
  <c r="C87" i="115" s="1"/>
  <c r="D87" i="115" s="1"/>
  <c r="Y69" i="128"/>
  <c r="H69" i="115" s="1"/>
  <c r="C69" i="115" s="1"/>
  <c r="D69" i="115" s="1"/>
  <c r="Y9" i="128"/>
  <c r="H9" i="115" s="1"/>
  <c r="C9" i="115" s="1"/>
  <c r="E9" i="131"/>
  <c r="BN49" i="128"/>
  <c r="L49" i="131"/>
  <c r="BE84" i="128"/>
  <c r="CF28" i="128"/>
  <c r="L28" i="131"/>
  <c r="BW82" i="128"/>
  <c r="BW7" i="128"/>
  <c r="L7" i="131"/>
  <c r="BN33" i="128"/>
  <c r="L33" i="131"/>
  <c r="R10" i="128"/>
  <c r="BE35" i="128"/>
  <c r="L35" i="131"/>
  <c r="BE39" i="128"/>
  <c r="BE10" i="128"/>
  <c r="AV26" i="128"/>
  <c r="AV20" i="128"/>
  <c r="L20" i="131"/>
  <c r="BW39" i="128"/>
  <c r="CF27" i="128"/>
  <c r="CF17" i="128"/>
  <c r="BW23" i="128"/>
  <c r="L23" i="131"/>
  <c r="BW15" i="128"/>
  <c r="L15" i="131"/>
  <c r="Y32" i="128"/>
  <c r="H32" i="115" s="1"/>
  <c r="C32" i="115" s="1"/>
  <c r="E32" i="131"/>
  <c r="Y44" i="128"/>
  <c r="H44" i="115" s="1"/>
  <c r="C44" i="115" s="1"/>
  <c r="E44" i="131"/>
  <c r="Y35" i="128"/>
  <c r="H35" i="115" s="1"/>
  <c r="C35" i="115" s="1"/>
  <c r="E35" i="131"/>
  <c r="Y37" i="128"/>
  <c r="H37" i="115" s="1"/>
  <c r="C37" i="115" s="1"/>
  <c r="E37" i="131"/>
  <c r="Y39" i="128"/>
  <c r="H39" i="115" s="1"/>
  <c r="C39" i="115" s="1"/>
  <c r="E39" i="131"/>
  <c r="BN13" i="128"/>
  <c r="L13" i="131"/>
  <c r="AV18" i="128"/>
  <c r="L18" i="131"/>
  <c r="BN46" i="128"/>
  <c r="L46" i="131"/>
  <c r="Y54" i="128"/>
  <c r="H54" i="115" s="1"/>
  <c r="C54" i="115" s="1"/>
  <c r="E54" i="131"/>
  <c r="Y17" i="128"/>
  <c r="H17" i="115" s="1"/>
  <c r="C17" i="115" s="1"/>
  <c r="E17" i="131"/>
  <c r="BE59" i="128"/>
  <c r="L59" i="131"/>
  <c r="Y30" i="128"/>
  <c r="H30" i="115" s="1"/>
  <c r="C30" i="115" s="1"/>
  <c r="E30" i="131"/>
  <c r="Y56" i="128"/>
  <c r="H56" i="115" s="1"/>
  <c r="C56" i="115" s="1"/>
  <c r="E56" i="131"/>
  <c r="Y58" i="128"/>
  <c r="H58" i="115" s="1"/>
  <c r="C58" i="115" s="1"/>
  <c r="E58" i="131"/>
  <c r="R40" i="128"/>
  <c r="Y50" i="128"/>
  <c r="H50" i="115" s="1"/>
  <c r="C50" i="115" s="1"/>
  <c r="E50" i="131"/>
  <c r="Y55" i="128"/>
  <c r="H55" i="115" s="1"/>
  <c r="C55" i="115" s="1"/>
  <c r="E55" i="131"/>
  <c r="Y10" i="128"/>
  <c r="H10" i="115" s="1"/>
  <c r="C10" i="115" s="1"/>
  <c r="E10" i="131"/>
  <c r="Y46" i="128"/>
  <c r="H46" i="115" s="1"/>
  <c r="C46" i="115" s="1"/>
  <c r="E46" i="131"/>
  <c r="Y48" i="128"/>
  <c r="H48" i="115" s="1"/>
  <c r="C48" i="115" s="1"/>
  <c r="E48" i="131"/>
  <c r="Y34" i="128"/>
  <c r="H34" i="115" s="1"/>
  <c r="C34" i="115" s="1"/>
  <c r="E34" i="131"/>
  <c r="BE27" i="128"/>
  <c r="L27" i="131"/>
  <c r="CF52" i="128"/>
  <c r="L52" i="131"/>
  <c r="Y18" i="128"/>
  <c r="H18" i="115" s="1"/>
  <c r="C18" i="115" s="1"/>
  <c r="E18" i="131"/>
  <c r="Y15" i="128"/>
  <c r="H15" i="115" s="1"/>
  <c r="C15" i="115" s="1"/>
  <c r="E15" i="131"/>
  <c r="Y3" i="128"/>
  <c r="H3" i="115" s="1"/>
  <c r="C3" i="115" s="1"/>
  <c r="E3" i="131"/>
  <c r="BE34" i="128"/>
  <c r="L34" i="131"/>
  <c r="Y24" i="128"/>
  <c r="H24" i="115" s="1"/>
  <c r="C24" i="115" s="1"/>
  <c r="E24" i="131"/>
  <c r="Y59" i="128"/>
  <c r="H59" i="115" s="1"/>
  <c r="C59" i="115" s="1"/>
  <c r="E59" i="131"/>
  <c r="Y4" i="128"/>
  <c r="H4" i="115" s="1"/>
  <c r="C4" i="115" s="1"/>
  <c r="E4" i="131"/>
  <c r="Y26" i="128"/>
  <c r="H26" i="115" s="1"/>
  <c r="C26" i="115" s="1"/>
  <c r="E26" i="131"/>
  <c r="Y27" i="128"/>
  <c r="H27" i="115" s="1"/>
  <c r="C27" i="115" s="1"/>
  <c r="E27" i="131"/>
  <c r="BW105" i="128"/>
  <c r="R30" i="128"/>
  <c r="CF7" i="128"/>
  <c r="BW18" i="128"/>
  <c r="CF25" i="128"/>
  <c r="BW123" i="128"/>
  <c r="BE15" i="128"/>
  <c r="AV46" i="128"/>
  <c r="T62" i="128"/>
  <c r="T96" i="128"/>
  <c r="T66" i="128"/>
  <c r="T51" i="128"/>
  <c r="R35" i="128"/>
  <c r="T52" i="128"/>
  <c r="T120" i="128"/>
  <c r="T3" i="128"/>
  <c r="BN6" i="128"/>
  <c r="BW85" i="128"/>
  <c r="T36" i="128"/>
  <c r="T126" i="128"/>
  <c r="T79" i="128"/>
  <c r="T45" i="128"/>
  <c r="AV6" i="128"/>
  <c r="R4" i="128"/>
  <c r="R47" i="128"/>
  <c r="T54" i="128"/>
  <c r="T55" i="128"/>
  <c r="I55" i="131" s="1"/>
  <c r="T118" i="128"/>
  <c r="T83" i="128"/>
  <c r="T61" i="128"/>
  <c r="T117" i="128"/>
  <c r="T73" i="128"/>
  <c r="T56" i="128"/>
  <c r="T75" i="128"/>
  <c r="T63" i="128"/>
  <c r="T104" i="128"/>
  <c r="T48" i="128"/>
  <c r="T59" i="128"/>
  <c r="T100" i="128"/>
  <c r="AV27" i="128"/>
  <c r="T34" i="128"/>
  <c r="T21" i="128"/>
  <c r="Q14" i="128"/>
  <c r="CF113" i="128"/>
  <c r="Q113" i="128"/>
  <c r="BM11" i="128"/>
  <c r="AU11" i="128"/>
  <c r="BD11" i="128"/>
  <c r="BN96" i="128"/>
  <c r="Q96" i="128"/>
  <c r="AU31" i="128"/>
  <c r="BD31" i="128"/>
  <c r="BM31" i="128"/>
  <c r="BD13" i="128"/>
  <c r="AU13" i="128"/>
  <c r="BM13" i="128"/>
  <c r="T76" i="128"/>
  <c r="T69" i="128"/>
  <c r="BM58" i="128"/>
  <c r="AU58" i="128"/>
  <c r="BD58" i="128"/>
  <c r="AU9" i="128"/>
  <c r="BM9" i="128"/>
  <c r="BD9" i="128"/>
  <c r="BE118" i="128"/>
  <c r="Q118" i="128"/>
  <c r="T64" i="128"/>
  <c r="T60" i="128"/>
  <c r="BN116" i="128"/>
  <c r="Q116" i="128"/>
  <c r="BE49" i="128"/>
  <c r="Q49" i="128"/>
  <c r="T109" i="128"/>
  <c r="BE65" i="128"/>
  <c r="Q65" i="128"/>
  <c r="BN85" i="128"/>
  <c r="BE89" i="128"/>
  <c r="AV118" i="128"/>
  <c r="AV55" i="128"/>
  <c r="AV49" i="128"/>
  <c r="AV75" i="128"/>
  <c r="Q11" i="128"/>
  <c r="CF65" i="128"/>
  <c r="CF64" i="128"/>
  <c r="CF75" i="128"/>
  <c r="Q30" i="128"/>
  <c r="Q19" i="128"/>
  <c r="T68" i="128"/>
  <c r="R8" i="128"/>
  <c r="R55" i="128"/>
  <c r="T82" i="128"/>
  <c r="T108" i="128"/>
  <c r="BW119" i="128"/>
  <c r="Q119" i="128"/>
  <c r="BE36" i="128"/>
  <c r="Q36" i="128"/>
  <c r="T121" i="128"/>
  <c r="AV79" i="128"/>
  <c r="Q79" i="128"/>
  <c r="T106" i="128"/>
  <c r="BW45" i="128"/>
  <c r="Q45" i="128"/>
  <c r="BD25" i="128"/>
  <c r="AU25" i="128"/>
  <c r="BM25" i="128"/>
  <c r="T78" i="128"/>
  <c r="CF78" i="128"/>
  <c r="Q78" i="128"/>
  <c r="AU19" i="128"/>
  <c r="BD19" i="128"/>
  <c r="BM19" i="128"/>
  <c r="T35" i="128"/>
  <c r="BM21" i="128"/>
  <c r="AU21" i="128"/>
  <c r="BD21" i="128"/>
  <c r="T90" i="128"/>
  <c r="BN30" i="128"/>
  <c r="Q29" i="128"/>
  <c r="BE86" i="128"/>
  <c r="AV90" i="128"/>
  <c r="AV28" i="128"/>
  <c r="AV95" i="128"/>
  <c r="T10" i="128"/>
  <c r="BW68" i="128"/>
  <c r="BW109" i="128"/>
  <c r="BW128" i="128"/>
  <c r="CF31" i="128"/>
  <c r="CF83" i="128"/>
  <c r="CF128" i="128"/>
  <c r="CF85" i="128"/>
  <c r="CF14" i="128"/>
  <c r="CF96" i="128"/>
  <c r="T26" i="128"/>
  <c r="CF39" i="128"/>
  <c r="Q39" i="128"/>
  <c r="R46" i="128"/>
  <c r="BE94" i="128"/>
  <c r="Q94" i="128"/>
  <c r="BE117" i="128"/>
  <c r="Q117" i="128"/>
  <c r="T107" i="128"/>
  <c r="BE124" i="128"/>
  <c r="Q124" i="128"/>
  <c r="CF54" i="128"/>
  <c r="Q54" i="128"/>
  <c r="T72" i="128"/>
  <c r="BM37" i="128"/>
  <c r="BD37" i="128"/>
  <c r="AU37" i="128"/>
  <c r="BM36" i="128"/>
  <c r="AU36" i="128"/>
  <c r="BD36" i="128"/>
  <c r="R50" i="128"/>
  <c r="H50" i="131" s="1"/>
  <c r="BM34" i="128"/>
  <c r="AU34" i="128"/>
  <c r="BD34" i="128"/>
  <c r="BE56" i="128"/>
  <c r="Q56" i="128"/>
  <c r="AU45" i="128"/>
  <c r="BM45" i="128"/>
  <c r="BD45" i="128"/>
  <c r="BN89" i="128"/>
  <c r="BE54" i="128"/>
  <c r="BE63" i="128"/>
  <c r="BE98" i="128"/>
  <c r="AV23" i="128"/>
  <c r="AV25" i="128"/>
  <c r="AV77" i="128"/>
  <c r="BW36" i="128"/>
  <c r="BW20" i="128"/>
  <c r="BW27" i="128"/>
  <c r="BW101" i="128"/>
  <c r="BW84" i="128"/>
  <c r="T13" i="128"/>
  <c r="CF6" i="128"/>
  <c r="CF57" i="128"/>
  <c r="T17" i="128"/>
  <c r="I19" i="131" s="1"/>
  <c r="T32" i="128"/>
  <c r="BD15" i="128"/>
  <c r="BM15" i="128"/>
  <c r="AU15" i="128"/>
  <c r="BD6" i="128"/>
  <c r="AU6" i="128"/>
  <c r="BM6" i="128"/>
  <c r="R14" i="128"/>
  <c r="T71" i="128"/>
  <c r="BM54" i="128"/>
  <c r="BD54" i="128"/>
  <c r="AU54" i="128"/>
  <c r="BE43" i="128"/>
  <c r="Q43" i="128"/>
  <c r="Q88" i="128"/>
  <c r="BW125" i="128"/>
  <c r="Q125" i="128"/>
  <c r="T127" i="128"/>
  <c r="R28" i="128"/>
  <c r="AU42" i="128"/>
  <c r="BM42" i="128"/>
  <c r="BD42" i="128"/>
  <c r="BW58" i="128"/>
  <c r="Q58" i="128"/>
  <c r="AU59" i="128"/>
  <c r="BD59" i="128"/>
  <c r="BM59" i="128"/>
  <c r="AV53" i="128"/>
  <c r="Q53" i="128"/>
  <c r="T74" i="128"/>
  <c r="BW42" i="128"/>
  <c r="Q42" i="128"/>
  <c r="T92" i="128"/>
  <c r="AV44" i="128"/>
  <c r="Q44" i="128"/>
  <c r="BN114" i="128"/>
  <c r="BN15" i="128"/>
  <c r="BN39" i="128"/>
  <c r="BN53" i="128"/>
  <c r="BN54" i="128"/>
  <c r="BN55" i="128"/>
  <c r="BE28" i="128"/>
  <c r="BE7" i="128"/>
  <c r="BE13" i="128"/>
  <c r="Q9" i="128"/>
  <c r="Q21" i="128"/>
  <c r="BM12" i="128"/>
  <c r="AU12" i="128"/>
  <c r="BD12" i="128"/>
  <c r="AU5" i="128"/>
  <c r="BM5" i="128"/>
  <c r="BD5" i="128"/>
  <c r="AU50" i="128"/>
  <c r="BD50" i="128"/>
  <c r="BM50" i="128"/>
  <c r="BN60" i="128"/>
  <c r="Q60" i="128"/>
  <c r="BN101" i="128"/>
  <c r="BE113" i="128"/>
  <c r="BE14" i="128"/>
  <c r="Q24" i="128"/>
  <c r="AV59" i="128"/>
  <c r="AV21" i="128"/>
  <c r="BW96" i="128"/>
  <c r="CF118" i="128"/>
  <c r="T7" i="128"/>
  <c r="BM8" i="128"/>
  <c r="AU8" i="128"/>
  <c r="BD8" i="128"/>
  <c r="CF93" i="128"/>
  <c r="Q93" i="128"/>
  <c r="BM55" i="128"/>
  <c r="BD55" i="128"/>
  <c r="AU55" i="128"/>
  <c r="Q41" i="128"/>
  <c r="BN14" i="128"/>
  <c r="BN19" i="128"/>
  <c r="BN11" i="128"/>
  <c r="BE19" i="128"/>
  <c r="AV65" i="128"/>
  <c r="AV100" i="128"/>
  <c r="Q10" i="128"/>
  <c r="BW41" i="128"/>
  <c r="BW25" i="128"/>
  <c r="BW16" i="128"/>
  <c r="BW113" i="128"/>
  <c r="CF89" i="128"/>
  <c r="CF29" i="128"/>
  <c r="Q22" i="128"/>
  <c r="Q26" i="128"/>
  <c r="BD46" i="128"/>
  <c r="BM46" i="128"/>
  <c r="AU46" i="128"/>
  <c r="BN61" i="128"/>
  <c r="Q61" i="128"/>
  <c r="BM40" i="128"/>
  <c r="AU40" i="128"/>
  <c r="BD40" i="128"/>
  <c r="BE115" i="128"/>
  <c r="Q115" i="128"/>
  <c r="R52" i="128"/>
  <c r="H52" i="131" s="1"/>
  <c r="BD48" i="128"/>
  <c r="BM48" i="128"/>
  <c r="AU48" i="128"/>
  <c r="BE72" i="128"/>
  <c r="Q72" i="128"/>
  <c r="T50" i="128"/>
  <c r="CF73" i="128"/>
  <c r="Q73" i="128"/>
  <c r="R34" i="128"/>
  <c r="BN129" i="128"/>
  <c r="Q129" i="128"/>
  <c r="BN41" i="128"/>
  <c r="BN24" i="128"/>
  <c r="BN10" i="128"/>
  <c r="BN36" i="128"/>
  <c r="BE68" i="128"/>
  <c r="AV56" i="128"/>
  <c r="AV30" i="128"/>
  <c r="AV61" i="128"/>
  <c r="BW49" i="128"/>
  <c r="BW115" i="128"/>
  <c r="Q17" i="128"/>
  <c r="T18" i="128"/>
  <c r="CF32" i="128"/>
  <c r="Q32" i="128"/>
  <c r="R22" i="128"/>
  <c r="H22" i="131" s="1"/>
  <c r="AU14" i="128"/>
  <c r="BM14" i="128"/>
  <c r="BD14" i="128"/>
  <c r="T102" i="128"/>
  <c r="CF34" i="128"/>
  <c r="Q34" i="128"/>
  <c r="T125" i="128"/>
  <c r="BE127" i="128"/>
  <c r="Q127" i="128"/>
  <c r="R41" i="128"/>
  <c r="T81" i="128"/>
  <c r="CF74" i="128"/>
  <c r="Q74" i="128"/>
  <c r="BE92" i="128"/>
  <c r="Q92" i="128"/>
  <c r="BW103" i="128"/>
  <c r="Q103" i="128"/>
  <c r="AU27" i="128"/>
  <c r="BM27" i="128"/>
  <c r="BD27" i="128"/>
  <c r="BN32" i="128"/>
  <c r="BN65" i="128"/>
  <c r="BN83" i="128"/>
  <c r="BE21" i="128"/>
  <c r="BE96" i="128"/>
  <c r="BE23" i="128"/>
  <c r="BE60" i="128"/>
  <c r="BE119" i="128"/>
  <c r="BD30" i="128"/>
  <c r="AU30" i="128"/>
  <c r="BM30" i="128"/>
  <c r="BW95" i="128"/>
  <c r="Q95" i="128"/>
  <c r="T14" i="128"/>
  <c r="T101" i="128"/>
  <c r="BE101" i="128"/>
  <c r="Q101" i="128"/>
  <c r="AU29" i="128"/>
  <c r="BD29" i="128"/>
  <c r="BM29" i="128"/>
  <c r="T113" i="128"/>
  <c r="R16" i="128"/>
  <c r="BM51" i="128"/>
  <c r="BD51" i="128"/>
  <c r="AU51" i="128"/>
  <c r="AU57" i="128"/>
  <c r="BM57" i="128"/>
  <c r="BD57" i="128"/>
  <c r="BE55" i="128"/>
  <c r="Q55" i="128"/>
  <c r="T89" i="128"/>
  <c r="T86" i="128"/>
  <c r="AU53" i="128"/>
  <c r="BD53" i="128"/>
  <c r="BM53" i="128"/>
  <c r="BE76" i="128"/>
  <c r="Q76" i="128"/>
  <c r="BN69" i="128"/>
  <c r="Q69" i="128"/>
  <c r="T85" i="128"/>
  <c r="R45" i="128"/>
  <c r="BM33" i="128"/>
  <c r="BD33" i="128"/>
  <c r="AU33" i="128"/>
  <c r="BW64" i="128"/>
  <c r="Q64" i="128"/>
  <c r="T98" i="128"/>
  <c r="T116" i="128"/>
  <c r="BE16" i="128"/>
  <c r="T24" i="128"/>
  <c r="Q28" i="128"/>
  <c r="BW69" i="128"/>
  <c r="BW60" i="128"/>
  <c r="T11" i="128"/>
  <c r="CF116" i="128"/>
  <c r="Q105" i="128"/>
  <c r="Q7" i="128"/>
  <c r="T93" i="128"/>
  <c r="BW57" i="128"/>
  <c r="Q57" i="128"/>
  <c r="T33" i="128"/>
  <c r="AV84" i="128"/>
  <c r="Q84" i="128"/>
  <c r="T84" i="128"/>
  <c r="T128" i="128"/>
  <c r="Q128" i="128"/>
  <c r="AV123" i="128"/>
  <c r="Q123" i="128"/>
  <c r="T123" i="128"/>
  <c r="CF108" i="128"/>
  <c r="Q108" i="128"/>
  <c r="BW31" i="128"/>
  <c r="Q31" i="128"/>
  <c r="BN70" i="128"/>
  <c r="Q70" i="128"/>
  <c r="BN67" i="128"/>
  <c r="Q67" i="128"/>
  <c r="AU10" i="128"/>
  <c r="BM10" i="128"/>
  <c r="BD10" i="128"/>
  <c r="CF51" i="128"/>
  <c r="Q51" i="128"/>
  <c r="T77" i="128"/>
  <c r="T112" i="128"/>
  <c r="BN35" i="128"/>
  <c r="Q35" i="128"/>
  <c r="CF104" i="128"/>
  <c r="Q104" i="128"/>
  <c r="BW130" i="128"/>
  <c r="Q130" i="128"/>
  <c r="T130" i="128"/>
  <c r="BW90" i="128"/>
  <c r="Q90" i="128"/>
  <c r="BN123" i="128"/>
  <c r="BN113" i="128"/>
  <c r="BN90" i="128"/>
  <c r="BN45" i="128"/>
  <c r="T6" i="128"/>
  <c r="BE79" i="128"/>
  <c r="BE105" i="128"/>
  <c r="Q12" i="128"/>
  <c r="AV96" i="128"/>
  <c r="AV57" i="128"/>
  <c r="AV119" i="128"/>
  <c r="AV33" i="128"/>
  <c r="AV51" i="128"/>
  <c r="AV104" i="128"/>
  <c r="AV69" i="128"/>
  <c r="Q20" i="128"/>
  <c r="BW51" i="128"/>
  <c r="BW116" i="128"/>
  <c r="BW93" i="128"/>
  <c r="CF84" i="128"/>
  <c r="CF69" i="128"/>
  <c r="CF26" i="128"/>
  <c r="T23" i="128"/>
  <c r="T15" i="128"/>
  <c r="T4" i="128"/>
  <c r="T39" i="128"/>
  <c r="BM43" i="128"/>
  <c r="BD43" i="128"/>
  <c r="AU43" i="128"/>
  <c r="R44" i="128"/>
  <c r="H44" i="131" s="1"/>
  <c r="T115" i="128"/>
  <c r="BM52" i="128"/>
  <c r="BD52" i="128"/>
  <c r="AU52" i="128"/>
  <c r="BW110" i="128"/>
  <c r="Q110" i="128"/>
  <c r="R23" i="128"/>
  <c r="H23" i="131" s="1"/>
  <c r="AU35" i="128"/>
  <c r="BD35" i="128"/>
  <c r="BM35" i="128"/>
  <c r="AU47" i="128"/>
  <c r="BD47" i="128"/>
  <c r="BM47" i="128"/>
  <c r="R49" i="128"/>
  <c r="R39" i="128"/>
  <c r="BE48" i="128"/>
  <c r="Q48" i="128"/>
  <c r="R38" i="128"/>
  <c r="H38" i="131" s="1"/>
  <c r="BN79" i="128"/>
  <c r="BN48" i="128"/>
  <c r="BN64" i="128"/>
  <c r="BE30" i="128"/>
  <c r="BE114" i="128"/>
  <c r="BE24" i="128"/>
  <c r="T27" i="128"/>
  <c r="AV41" i="128"/>
  <c r="AV11" i="128"/>
  <c r="AV29" i="128"/>
  <c r="AV128" i="128"/>
  <c r="AV7" i="128"/>
  <c r="AV130" i="128"/>
  <c r="Q8" i="128"/>
  <c r="BW55" i="128"/>
  <c r="BW79" i="128"/>
  <c r="BW108" i="128"/>
  <c r="CF49" i="128"/>
  <c r="CF21" i="128"/>
  <c r="CF72" i="128"/>
  <c r="Q18" i="128"/>
  <c r="CF46" i="128"/>
  <c r="Q46" i="128"/>
  <c r="T46" i="128"/>
  <c r="AU22" i="128"/>
  <c r="BD22" i="128"/>
  <c r="BM22" i="128"/>
  <c r="T80" i="128"/>
  <c r="R3" i="128"/>
  <c r="BW40" i="128"/>
  <c r="Q40" i="128"/>
  <c r="BN102" i="128"/>
  <c r="Q102" i="128"/>
  <c r="T43" i="128"/>
  <c r="T88" i="128"/>
  <c r="T111" i="128"/>
  <c r="BM28" i="128"/>
  <c r="AU28" i="128"/>
  <c r="BD28" i="128"/>
  <c r="BE120" i="128"/>
  <c r="Q120" i="128"/>
  <c r="R24" i="128"/>
  <c r="T58" i="128"/>
  <c r="BD41" i="128"/>
  <c r="BM41" i="128"/>
  <c r="AU41" i="128"/>
  <c r="T122" i="128"/>
  <c r="AU4" i="128"/>
  <c r="BD4" i="128"/>
  <c r="BM4" i="128"/>
  <c r="T91" i="128"/>
  <c r="BN81" i="128"/>
  <c r="Q81" i="128"/>
  <c r="CF99" i="128"/>
  <c r="Q99" i="128"/>
  <c r="T42" i="128"/>
  <c r="R26" i="128"/>
  <c r="T44" i="128"/>
  <c r="T103" i="128"/>
  <c r="R17" i="128"/>
  <c r="BN125" i="128"/>
  <c r="BE20" i="128"/>
  <c r="BE12" i="128"/>
  <c r="BE90" i="128"/>
  <c r="Q16" i="128"/>
  <c r="Q25" i="128"/>
  <c r="BN59" i="128"/>
  <c r="Q59" i="128"/>
  <c r="BM16" i="128"/>
  <c r="AU16" i="128"/>
  <c r="BD16" i="128"/>
  <c r="BW75" i="128"/>
  <c r="Q75" i="128"/>
  <c r="T95" i="128"/>
  <c r="R11" i="128"/>
  <c r="AV89" i="128"/>
  <c r="Q89" i="128"/>
  <c r="BN86" i="128"/>
  <c r="Q86" i="128"/>
  <c r="R31" i="128"/>
  <c r="BN100" i="128"/>
  <c r="Q100" i="128"/>
  <c r="BM56" i="128"/>
  <c r="BD56" i="128"/>
  <c r="AU56" i="128"/>
  <c r="BE85" i="128"/>
  <c r="Q85" i="128"/>
  <c r="CF63" i="128"/>
  <c r="Q63" i="128"/>
  <c r="R9" i="128"/>
  <c r="Q83" i="128"/>
  <c r="BW98" i="128"/>
  <c r="Q98" i="128"/>
  <c r="T49" i="128"/>
  <c r="CF109" i="128"/>
  <c r="Q109" i="128"/>
  <c r="BD7" i="128"/>
  <c r="AU7" i="128"/>
  <c r="BM7" i="128"/>
  <c r="T65" i="128"/>
  <c r="BN118" i="128"/>
  <c r="BN93" i="128"/>
  <c r="BE69" i="128"/>
  <c r="BE83" i="128"/>
  <c r="BE95" i="128"/>
  <c r="BE109" i="128"/>
  <c r="BE75" i="128"/>
  <c r="AV86" i="128"/>
  <c r="Q5" i="128"/>
  <c r="BW11" i="128"/>
  <c r="BW65" i="128"/>
  <c r="CF59" i="128"/>
  <c r="CF98" i="128"/>
  <c r="T105" i="128"/>
  <c r="AV68" i="128"/>
  <c r="Q68" i="128"/>
  <c r="T57" i="128"/>
  <c r="BE33" i="128"/>
  <c r="Q33" i="128"/>
  <c r="BE82" i="128"/>
  <c r="Q82" i="128"/>
  <c r="T37" i="128"/>
  <c r="AV37" i="128"/>
  <c r="Q37" i="128"/>
  <c r="F37" i="131" s="1"/>
  <c r="T119" i="128"/>
  <c r="AU20" i="128"/>
  <c r="BM20" i="128"/>
  <c r="BD20" i="128"/>
  <c r="BE121" i="128"/>
  <c r="Q121" i="128"/>
  <c r="T31" i="128"/>
  <c r="T70" i="128"/>
  <c r="BE126" i="128"/>
  <c r="Q126" i="128"/>
  <c r="T67" i="128"/>
  <c r="BN106" i="128"/>
  <c r="Q106" i="128"/>
  <c r="R25" i="128"/>
  <c r="BW66" i="128"/>
  <c r="Q66" i="128"/>
  <c r="BE77" i="128"/>
  <c r="Q77" i="128"/>
  <c r="R19" i="128"/>
  <c r="CF112" i="128"/>
  <c r="Q112" i="128"/>
  <c r="T41" i="128"/>
  <c r="BN28" i="128"/>
  <c r="BN98" i="128"/>
  <c r="Q6" i="128"/>
  <c r="BE70" i="128"/>
  <c r="BE128" i="128"/>
  <c r="BE57" i="128"/>
  <c r="T29" i="128"/>
  <c r="AV36" i="128"/>
  <c r="AV105" i="128"/>
  <c r="AV24" i="128"/>
  <c r="AV121" i="128"/>
  <c r="AV10" i="128"/>
  <c r="AV113" i="128"/>
  <c r="T20" i="128"/>
  <c r="BW86" i="128"/>
  <c r="BW19" i="128"/>
  <c r="BW14" i="128"/>
  <c r="BW100" i="128"/>
  <c r="CF121" i="128"/>
  <c r="CF67" i="128"/>
  <c r="CF24" i="128"/>
  <c r="CF126" i="128"/>
  <c r="Q23" i="128"/>
  <c r="T22" i="128"/>
  <c r="Q15" i="128"/>
  <c r="Q4" i="128"/>
  <c r="AU32" i="128"/>
  <c r="BM32" i="128"/>
  <c r="BD32" i="128"/>
  <c r="T94" i="128"/>
  <c r="BD44" i="128"/>
  <c r="BM44" i="128"/>
  <c r="AU44" i="128"/>
  <c r="AV114" i="128"/>
  <c r="Q114" i="128"/>
  <c r="T114" i="128"/>
  <c r="BW107" i="128"/>
  <c r="Q107" i="128"/>
  <c r="T124" i="128"/>
  <c r="T110" i="128"/>
  <c r="BM23" i="128"/>
  <c r="BD23" i="128"/>
  <c r="AU23" i="128"/>
  <c r="R37" i="128"/>
  <c r="BE50" i="128"/>
  <c r="Q50" i="128"/>
  <c r="BM49" i="128"/>
  <c r="BD49" i="128"/>
  <c r="AU49" i="128"/>
  <c r="R36" i="128"/>
  <c r="AU39" i="128"/>
  <c r="BD39" i="128"/>
  <c r="BM39" i="128"/>
  <c r="AU38" i="128"/>
  <c r="BM38" i="128"/>
  <c r="BD38" i="128"/>
  <c r="T129" i="128"/>
  <c r="BN94" i="128"/>
  <c r="BN119" i="128"/>
  <c r="BN37" i="128"/>
  <c r="BN108" i="128"/>
  <c r="BE130" i="128"/>
  <c r="BE8" i="128"/>
  <c r="BB1" i="47"/>
  <c r="BA9" i="47"/>
  <c r="BB2" i="47"/>
  <c r="Q27" i="128"/>
  <c r="AV31" i="128"/>
  <c r="AV116" i="128"/>
  <c r="AV12" i="128"/>
  <c r="AV16" i="128"/>
  <c r="AV45" i="128"/>
  <c r="AV66" i="128"/>
  <c r="T8" i="128"/>
  <c r="BW83" i="128"/>
  <c r="BW63" i="128"/>
  <c r="BW118" i="128"/>
  <c r="BW73" i="128"/>
  <c r="BW37" i="128"/>
  <c r="BW59" i="128"/>
  <c r="Q13" i="128"/>
  <c r="CF8" i="128"/>
  <c r="CF105" i="128"/>
  <c r="CF82" i="128"/>
  <c r="BE52" i="128"/>
  <c r="Q52" i="128"/>
  <c r="AU18" i="128"/>
  <c r="BM18" i="128"/>
  <c r="BD18" i="128"/>
  <c r="R15" i="128"/>
  <c r="R6" i="128"/>
  <c r="BN80" i="128"/>
  <c r="Q80" i="128"/>
  <c r="BD3" i="128"/>
  <c r="BM3" i="128"/>
  <c r="AU3" i="128"/>
  <c r="T40" i="128"/>
  <c r="AV71" i="128"/>
  <c r="Q71" i="128"/>
  <c r="R54" i="128"/>
  <c r="H54" i="131" s="1"/>
  <c r="CF111" i="128"/>
  <c r="Q111" i="128"/>
  <c r="R42" i="128"/>
  <c r="T47" i="128"/>
  <c r="BE47" i="128"/>
  <c r="Q47" i="128"/>
  <c r="BN62" i="128"/>
  <c r="Q62" i="128"/>
  <c r="T97" i="128"/>
  <c r="CF97" i="128"/>
  <c r="Q97" i="128"/>
  <c r="AU24" i="128"/>
  <c r="BM24" i="128"/>
  <c r="BD24" i="128"/>
  <c r="R59" i="128"/>
  <c r="T38" i="128"/>
  <c r="BW38" i="128"/>
  <c r="Q38" i="128"/>
  <c r="BE122" i="128"/>
  <c r="Q122" i="128"/>
  <c r="CF91" i="128"/>
  <c r="Q91" i="128"/>
  <c r="T53" i="128"/>
  <c r="T99" i="128"/>
  <c r="BW3" i="128"/>
  <c r="Q3" i="128"/>
  <c r="BD26" i="128"/>
  <c r="BM26" i="128"/>
  <c r="AU26" i="128"/>
  <c r="AV87" i="128"/>
  <c r="Q87" i="128"/>
  <c r="T87" i="128"/>
  <c r="BD17" i="128"/>
  <c r="AU17" i="128"/>
  <c r="BM17" i="128"/>
  <c r="BN16" i="128"/>
  <c r="BN95" i="128"/>
  <c r="BN78" i="128"/>
  <c r="BN99" i="128"/>
  <c r="BN7" i="128"/>
  <c r="BN121" i="128"/>
  <c r="BN115" i="128"/>
  <c r="BN50" i="128"/>
  <c r="BE93" i="128"/>
  <c r="BE25" i="128"/>
  <c r="BE31" i="128"/>
  <c r="BE116" i="128"/>
  <c r="BE41" i="128"/>
  <c r="BE11" i="128"/>
  <c r="T9" i="128"/>
  <c r="I47" i="131" l="1"/>
  <c r="H41" i="131"/>
  <c r="I44" i="131"/>
  <c r="I21" i="131"/>
  <c r="F15" i="131"/>
  <c r="H59" i="131"/>
  <c r="I50" i="131"/>
  <c r="I10" i="131"/>
  <c r="H39" i="131"/>
  <c r="I18" i="131"/>
  <c r="I26" i="131"/>
  <c r="I7" i="131"/>
  <c r="I22" i="131"/>
  <c r="I53" i="131"/>
  <c r="I4" i="131"/>
  <c r="H36" i="131"/>
  <c r="H17" i="131"/>
  <c r="S47" i="128"/>
  <c r="G38" i="131" s="1"/>
  <c r="H6" i="131"/>
  <c r="H26" i="131"/>
  <c r="F35" i="131"/>
  <c r="S23" i="128"/>
  <c r="I11" i="131"/>
  <c r="I14" i="131"/>
  <c r="I32" i="131"/>
  <c r="I9" i="131"/>
  <c r="H31" i="131"/>
  <c r="F12" i="131"/>
  <c r="H45" i="131"/>
  <c r="I29" i="131"/>
  <c r="S13" i="128"/>
  <c r="H28" i="131"/>
  <c r="H19" i="131"/>
  <c r="S91" i="128"/>
  <c r="H14" i="131"/>
  <c r="H42" i="131"/>
  <c r="I8" i="131"/>
  <c r="F50" i="131"/>
  <c r="I20" i="131"/>
  <c r="F24" i="131"/>
  <c r="S27" i="128"/>
  <c r="W27" i="128" s="1"/>
  <c r="S114" i="128"/>
  <c r="S15" i="128"/>
  <c r="W15" i="128" s="1"/>
  <c r="S3" i="128"/>
  <c r="G4" i="131" s="1"/>
  <c r="S4" i="128"/>
  <c r="W4" i="128" s="1"/>
  <c r="S38" i="128"/>
  <c r="W38" i="128" s="1"/>
  <c r="I38" i="131"/>
  <c r="I31" i="131"/>
  <c r="S85" i="128"/>
  <c r="I15" i="131"/>
  <c r="I33" i="131"/>
  <c r="F58" i="131"/>
  <c r="S87" i="128"/>
  <c r="I40" i="131"/>
  <c r="S80" i="128"/>
  <c r="S98" i="128"/>
  <c r="S97" i="128"/>
  <c r="S62" i="128"/>
  <c r="S111" i="128"/>
  <c r="S71" i="128"/>
  <c r="H9" i="131"/>
  <c r="I58" i="131"/>
  <c r="I27" i="131"/>
  <c r="S122" i="128"/>
  <c r="S107" i="128"/>
  <c r="F23" i="131"/>
  <c r="F6" i="131"/>
  <c r="I57" i="131"/>
  <c r="F25" i="131"/>
  <c r="H24" i="131"/>
  <c r="F28" i="131"/>
  <c r="H34" i="131"/>
  <c r="F10" i="131"/>
  <c r="F55" i="131"/>
  <c r="F11" i="131"/>
  <c r="H25" i="131"/>
  <c r="I37" i="131"/>
  <c r="F56" i="131"/>
  <c r="F4" i="131"/>
  <c r="F38" i="131"/>
  <c r="S82" i="128"/>
  <c r="F57" i="131"/>
  <c r="I49" i="131"/>
  <c r="I42" i="131"/>
  <c r="I46" i="131"/>
  <c r="H49" i="131"/>
  <c r="F31" i="131"/>
  <c r="F22" i="131"/>
  <c r="F9" i="131"/>
  <c r="F53" i="131"/>
  <c r="I13" i="131"/>
  <c r="F29" i="131"/>
  <c r="F45" i="131"/>
  <c r="H55" i="131"/>
  <c r="F30" i="131"/>
  <c r="I59" i="131"/>
  <c r="I54" i="131"/>
  <c r="I45" i="131"/>
  <c r="I52" i="131"/>
  <c r="H30" i="131"/>
  <c r="H40" i="131"/>
  <c r="H7" i="131"/>
  <c r="S66" i="128"/>
  <c r="S106" i="128"/>
  <c r="S126" i="128"/>
  <c r="S109" i="128"/>
  <c r="H11" i="131"/>
  <c r="F48" i="131"/>
  <c r="I23" i="131"/>
  <c r="S17" i="128"/>
  <c r="F42" i="131"/>
  <c r="I17" i="131"/>
  <c r="F54" i="131"/>
  <c r="H8" i="131"/>
  <c r="I34" i="131"/>
  <c r="I48" i="131"/>
  <c r="I56" i="131"/>
  <c r="H47" i="131"/>
  <c r="H35" i="131"/>
  <c r="H29" i="131"/>
  <c r="H32" i="131"/>
  <c r="H33" i="131"/>
  <c r="H15" i="131"/>
  <c r="H37" i="131"/>
  <c r="F33" i="131"/>
  <c r="I43" i="131"/>
  <c r="F8" i="131"/>
  <c r="I39" i="131"/>
  <c r="F32" i="131"/>
  <c r="F17" i="131"/>
  <c r="F41" i="131"/>
  <c r="F44" i="131"/>
  <c r="H46" i="131"/>
  <c r="I35" i="131"/>
  <c r="F36" i="131"/>
  <c r="F49" i="131"/>
  <c r="H4" i="131"/>
  <c r="I3" i="131"/>
  <c r="I51" i="131"/>
  <c r="H27" i="131"/>
  <c r="I30" i="131"/>
  <c r="I5" i="131"/>
  <c r="I12" i="131"/>
  <c r="H12" i="131"/>
  <c r="I41" i="131"/>
  <c r="H3" i="131"/>
  <c r="I6" i="131"/>
  <c r="F51" i="131"/>
  <c r="I24" i="131"/>
  <c r="H16" i="131"/>
  <c r="F34" i="131"/>
  <c r="F26" i="131"/>
  <c r="F21" i="131"/>
  <c r="F43" i="131"/>
  <c r="F39" i="131"/>
  <c r="F19" i="131"/>
  <c r="F14" i="131"/>
  <c r="I36" i="131"/>
  <c r="H10" i="131"/>
  <c r="H43" i="131"/>
  <c r="H5" i="131"/>
  <c r="H58" i="131"/>
  <c r="I16" i="131"/>
  <c r="H53" i="131"/>
  <c r="H18" i="131"/>
  <c r="I28" i="131"/>
  <c r="I25" i="131"/>
  <c r="S16" i="128"/>
  <c r="F3" i="131"/>
  <c r="A17" i="119"/>
  <c r="A9" i="118"/>
  <c r="A65" i="109"/>
  <c r="D4" i="115"/>
  <c r="B4" i="115" s="1"/>
  <c r="D129" i="120" s="1"/>
  <c r="A129" i="120"/>
  <c r="A33" i="110"/>
  <c r="D34" i="115"/>
  <c r="B34" i="115" s="1"/>
  <c r="D9" i="120" s="1"/>
  <c r="A9" i="120"/>
  <c r="A5" i="109"/>
  <c r="D55" i="115"/>
  <c r="B55" i="115" s="1"/>
  <c r="D48" i="120" s="1"/>
  <c r="A48" i="120"/>
  <c r="A8" i="120"/>
  <c r="D35" i="115"/>
  <c r="B35" i="115" s="1"/>
  <c r="D8" i="120" s="1"/>
  <c r="A21" i="110"/>
  <c r="A41" i="109"/>
  <c r="D16" i="115"/>
  <c r="B16" i="115" s="1"/>
  <c r="D81" i="120" s="1"/>
  <c r="A81" i="120"/>
  <c r="A12" i="56"/>
  <c r="A5" i="56"/>
  <c r="A20" i="120"/>
  <c r="A12" i="109"/>
  <c r="A8" i="110"/>
  <c r="D11" i="115"/>
  <c r="B11" i="115" s="1"/>
  <c r="D20" i="120" s="1"/>
  <c r="A17" i="110"/>
  <c r="A65" i="120"/>
  <c r="A9" i="119"/>
  <c r="A33" i="109"/>
  <c r="D6" i="115"/>
  <c r="B6" i="115" s="1"/>
  <c r="D65" i="120" s="1"/>
  <c r="A5" i="118"/>
  <c r="D47" i="115"/>
  <c r="B47" i="115" s="1"/>
  <c r="D56" i="120" s="1"/>
  <c r="A56" i="120"/>
  <c r="A108" i="120"/>
  <c r="D25" i="115"/>
  <c r="B25" i="115" s="1"/>
  <c r="D108" i="120" s="1"/>
  <c r="A56" i="109"/>
  <c r="A125" i="120"/>
  <c r="D36" i="115"/>
  <c r="B36" i="115" s="1"/>
  <c r="D125" i="120" s="1"/>
  <c r="A24" i="120"/>
  <c r="D43" i="115"/>
  <c r="B43" i="115" s="1"/>
  <c r="D24" i="120" s="1"/>
  <c r="D19" i="115"/>
  <c r="B19" i="115" s="1"/>
  <c r="D12" i="120" s="1"/>
  <c r="A12" i="120"/>
  <c r="A8" i="109"/>
  <c r="A68" i="120"/>
  <c r="A8" i="118"/>
  <c r="D5" i="115"/>
  <c r="B5" i="115" s="1"/>
  <c r="D68" i="120" s="1"/>
  <c r="A20" i="110"/>
  <c r="A12" i="119"/>
  <c r="A36" i="109"/>
  <c r="S24" i="128"/>
  <c r="F52" i="131"/>
  <c r="S57" i="128"/>
  <c r="F27" i="131"/>
  <c r="S59" i="128"/>
  <c r="F16" i="131"/>
  <c r="S28" i="128"/>
  <c r="W28" i="128" s="1"/>
  <c r="F18" i="131"/>
  <c r="A13" i="109"/>
  <c r="A25" i="120"/>
  <c r="D26" i="115"/>
  <c r="B26" i="115" s="1"/>
  <c r="D25" i="120" s="1"/>
  <c r="A4" i="56"/>
  <c r="A5" i="110"/>
  <c r="A17" i="120"/>
  <c r="A9" i="109"/>
  <c r="D18" i="115"/>
  <c r="B18" i="115" s="1"/>
  <c r="D17" i="120" s="1"/>
  <c r="A5" i="119"/>
  <c r="D10" i="115"/>
  <c r="B10" i="115" s="1"/>
  <c r="D33" i="120" s="1"/>
  <c r="A4" i="55"/>
  <c r="A17" i="109"/>
  <c r="A33" i="120"/>
  <c r="A9" i="110"/>
  <c r="A41" i="120"/>
  <c r="D30" i="115"/>
  <c r="B30" i="115" s="1"/>
  <c r="D41" i="120" s="1"/>
  <c r="A21" i="109"/>
  <c r="A53" i="120"/>
  <c r="D54" i="115"/>
  <c r="B54" i="115" s="1"/>
  <c r="D53" i="120" s="1"/>
  <c r="D37" i="115"/>
  <c r="B37" i="115" s="1"/>
  <c r="D72" i="120" s="1"/>
  <c r="A72" i="120"/>
  <c r="A101" i="120"/>
  <c r="D60" i="115"/>
  <c r="B60" i="115" s="1"/>
  <c r="D101" i="120" s="1"/>
  <c r="D53" i="115"/>
  <c r="B53" i="115" s="1"/>
  <c r="D80" i="120" s="1"/>
  <c r="A80" i="120"/>
  <c r="A64" i="109"/>
  <c r="A124" i="120"/>
  <c r="D33" i="115"/>
  <c r="B33" i="115" s="1"/>
  <c r="D124" i="120" s="1"/>
  <c r="D12" i="115"/>
  <c r="B12" i="115" s="1"/>
  <c r="D113" i="120" s="1"/>
  <c r="A16" i="56"/>
  <c r="A29" i="110"/>
  <c r="A113" i="120"/>
  <c r="A57" i="109"/>
  <c r="D42" i="115"/>
  <c r="B42" i="115" s="1"/>
  <c r="D29" i="120" s="1"/>
  <c r="A29" i="120"/>
  <c r="A88" i="120"/>
  <c r="D45" i="115"/>
  <c r="B45" i="115" s="1"/>
  <c r="D88" i="120" s="1"/>
  <c r="D40" i="115"/>
  <c r="B40" i="115" s="1"/>
  <c r="D93" i="120" s="1"/>
  <c r="A93" i="120"/>
  <c r="A16" i="120"/>
  <c r="D51" i="115"/>
  <c r="B51" i="115" s="1"/>
  <c r="D16" i="120" s="1"/>
  <c r="A57" i="120"/>
  <c r="A29" i="109"/>
  <c r="D22" i="115"/>
  <c r="B22" i="115" s="1"/>
  <c r="D57" i="120" s="1"/>
  <c r="A61" i="120"/>
  <c r="D38" i="115"/>
  <c r="B38" i="115" s="1"/>
  <c r="D61" i="120" s="1"/>
  <c r="D52" i="115"/>
  <c r="B52" i="115" s="1"/>
  <c r="D117" i="120" s="1"/>
  <c r="A117" i="120"/>
  <c r="A77" i="120"/>
  <c r="A40" i="109"/>
  <c r="D21" i="115"/>
  <c r="B21" i="115" s="1"/>
  <c r="D77" i="120" s="1"/>
  <c r="A25" i="110"/>
  <c r="A97" i="120"/>
  <c r="A13" i="119"/>
  <c r="D8" i="115"/>
  <c r="B8" i="115" s="1"/>
  <c r="D97" i="120" s="1"/>
  <c r="A49" i="109"/>
  <c r="S19" i="128"/>
  <c r="W19" i="128" s="1"/>
  <c r="F47" i="131"/>
  <c r="S41" i="128"/>
  <c r="W41" i="128" s="1"/>
  <c r="F13" i="131"/>
  <c r="S33" i="128"/>
  <c r="F5" i="131"/>
  <c r="S113" i="128"/>
  <c r="F59" i="131"/>
  <c r="S35" i="128"/>
  <c r="W35" i="128" s="1"/>
  <c r="F7" i="131"/>
  <c r="D27" i="115"/>
  <c r="B27" i="115" s="1"/>
  <c r="D28" i="120" s="1"/>
  <c r="A28" i="120"/>
  <c r="A16" i="109"/>
  <c r="D24" i="115"/>
  <c r="B24" i="115" s="1"/>
  <c r="D89" i="120" s="1"/>
  <c r="A89" i="120"/>
  <c r="A45" i="109"/>
  <c r="A16" i="110"/>
  <c r="A52" i="120"/>
  <c r="A9" i="56"/>
  <c r="D15" i="115"/>
  <c r="B15" i="115" s="1"/>
  <c r="D52" i="120" s="1"/>
  <c r="A28" i="109"/>
  <c r="D46" i="115"/>
  <c r="B46" i="115" s="1"/>
  <c r="D45" i="120" s="1"/>
  <c r="A45" i="120"/>
  <c r="A85" i="120"/>
  <c r="D56" i="115"/>
  <c r="B56" i="115" s="1"/>
  <c r="D85" i="120" s="1"/>
  <c r="A32" i="110"/>
  <c r="A17" i="56"/>
  <c r="A60" i="109"/>
  <c r="D17" i="115"/>
  <c r="B17" i="115" s="1"/>
  <c r="D116" i="120" s="1"/>
  <c r="A116" i="120"/>
  <c r="A40" i="120"/>
  <c r="D39" i="115"/>
  <c r="B39" i="115" s="1"/>
  <c r="D40" i="120" s="1"/>
  <c r="D32" i="115"/>
  <c r="B32" i="115" s="1"/>
  <c r="D73" i="120" s="1"/>
  <c r="A73" i="120"/>
  <c r="A37" i="109"/>
  <c r="A52" i="109"/>
  <c r="A16" i="119"/>
  <c r="A100" i="120"/>
  <c r="D9" i="115"/>
  <c r="B9" i="115" s="1"/>
  <c r="D100" i="120" s="1"/>
  <c r="A28" i="110"/>
  <c r="A96" i="120"/>
  <c r="D61" i="115"/>
  <c r="A69" i="120"/>
  <c r="D64" i="115"/>
  <c r="D62" i="115"/>
  <c r="A37" i="120"/>
  <c r="D65" i="115"/>
  <c r="A128" i="120"/>
  <c r="A64" i="120"/>
  <c r="D63" i="115"/>
  <c r="A5" i="55"/>
  <c r="A20" i="109"/>
  <c r="A8" i="119"/>
  <c r="D7" i="115"/>
  <c r="B7" i="115" s="1"/>
  <c r="D36" i="120" s="1"/>
  <c r="A36" i="120"/>
  <c r="A12" i="110"/>
  <c r="D41" i="115"/>
  <c r="B41" i="115" s="1"/>
  <c r="D104" i="120" s="1"/>
  <c r="A104" i="120"/>
  <c r="A8" i="56"/>
  <c r="D14" i="115"/>
  <c r="B14" i="115" s="1"/>
  <c r="D49" i="120" s="1"/>
  <c r="A25" i="109"/>
  <c r="A13" i="110"/>
  <c r="A49" i="120"/>
  <c r="A24" i="109"/>
  <c r="D23" i="115"/>
  <c r="B23" i="115" s="1"/>
  <c r="D44" i="120" s="1"/>
  <c r="A44" i="120"/>
  <c r="D31" i="115"/>
  <c r="B31" i="115" s="1"/>
  <c r="D60" i="120" s="1"/>
  <c r="A32" i="109"/>
  <c r="A60" i="120"/>
  <c r="S12" i="128"/>
  <c r="F40" i="131"/>
  <c r="S18" i="128"/>
  <c r="F46" i="131"/>
  <c r="S48" i="128"/>
  <c r="F20" i="131"/>
  <c r="A32" i="120"/>
  <c r="D59" i="115"/>
  <c r="B59" i="115" s="1"/>
  <c r="D32" i="120" s="1"/>
  <c r="A4" i="110"/>
  <c r="A4" i="118"/>
  <c r="D3" i="115"/>
  <c r="B3" i="115" s="1"/>
  <c r="D4" i="120" s="1"/>
  <c r="A4" i="109"/>
  <c r="A4" i="119"/>
  <c r="A4" i="120"/>
  <c r="A76" i="120"/>
  <c r="D48" i="115"/>
  <c r="B48" i="115" s="1"/>
  <c r="D76" i="120" s="1"/>
  <c r="A13" i="120"/>
  <c r="D50" i="115"/>
  <c r="B50" i="115" s="1"/>
  <c r="D13" i="120" s="1"/>
  <c r="D58" i="115"/>
  <c r="B58" i="115" s="1"/>
  <c r="D21" i="120" s="1"/>
  <c r="A21" i="120"/>
  <c r="D44" i="115"/>
  <c r="B44" i="115" s="1"/>
  <c r="D109" i="120" s="1"/>
  <c r="A109" i="120"/>
  <c r="A5" i="120"/>
  <c r="D66" i="115"/>
  <c r="A48" i="109"/>
  <c r="D29" i="115"/>
  <c r="B29" i="115" s="1"/>
  <c r="D92" i="120" s="1"/>
  <c r="A92" i="120"/>
  <c r="A112" i="120"/>
  <c r="D57" i="115"/>
  <c r="B57" i="115" s="1"/>
  <c r="D112" i="120" s="1"/>
  <c r="A61" i="109"/>
  <c r="A121" i="120"/>
  <c r="D20" i="115"/>
  <c r="B20" i="115" s="1"/>
  <c r="D121" i="120" s="1"/>
  <c r="A53" i="109"/>
  <c r="D28" i="115"/>
  <c r="B28" i="115" s="1"/>
  <c r="D105" i="120" s="1"/>
  <c r="A105" i="120"/>
  <c r="A120" i="120"/>
  <c r="D49" i="115"/>
  <c r="B49" i="115" s="1"/>
  <c r="D120" i="120" s="1"/>
  <c r="A44" i="109"/>
  <c r="A24" i="110"/>
  <c r="D13" i="115"/>
  <c r="B13" i="115" s="1"/>
  <c r="D84" i="120" s="1"/>
  <c r="A84" i="120"/>
  <c r="A13" i="56"/>
  <c r="S6" i="128"/>
  <c r="S39" i="128"/>
  <c r="S22" i="128"/>
  <c r="S51" i="128"/>
  <c r="S9" i="128"/>
  <c r="S102" i="128"/>
  <c r="S36" i="128"/>
  <c r="G36" i="131" s="1"/>
  <c r="S40" i="128"/>
  <c r="S43" i="128"/>
  <c r="S34" i="128"/>
  <c r="S112" i="128"/>
  <c r="S77" i="128"/>
  <c r="S121" i="128"/>
  <c r="S63" i="128"/>
  <c r="S89" i="128"/>
  <c r="S104" i="128"/>
  <c r="S7" i="128"/>
  <c r="S56" i="128"/>
  <c r="S49" i="128"/>
  <c r="S10" i="128"/>
  <c r="BN1" i="128"/>
  <c r="BW1" i="128"/>
  <c r="S52" i="128"/>
  <c r="BB9" i="47"/>
  <c r="S68" i="128"/>
  <c r="S83" i="128"/>
  <c r="S100" i="128"/>
  <c r="S86" i="128"/>
  <c r="S75" i="128"/>
  <c r="S46" i="128"/>
  <c r="AV1" i="128"/>
  <c r="S45" i="128"/>
  <c r="S14" i="128"/>
  <c r="S30" i="128"/>
  <c r="CF1" i="128"/>
  <c r="S11" i="128"/>
  <c r="S32" i="128"/>
  <c r="S81" i="128"/>
  <c r="S20" i="128"/>
  <c r="S29" i="128"/>
  <c r="G23" i="131" s="1"/>
  <c r="S26" i="128"/>
  <c r="S54" i="128"/>
  <c r="BE1" i="128"/>
  <c r="S37" i="128"/>
  <c r="S5" i="128"/>
  <c r="S25" i="128"/>
  <c r="S31" i="128"/>
  <c r="G31" i="131" s="1"/>
  <c r="S76" i="128"/>
  <c r="S55" i="128"/>
  <c r="S92" i="128"/>
  <c r="S127" i="128"/>
  <c r="S129" i="128"/>
  <c r="S73" i="128"/>
  <c r="S72" i="128"/>
  <c r="S93" i="128"/>
  <c r="S60" i="128"/>
  <c r="S21" i="128"/>
  <c r="S44" i="128"/>
  <c r="S42" i="128"/>
  <c r="G42" i="131" s="1"/>
  <c r="S53" i="128"/>
  <c r="S124" i="128"/>
  <c r="S117" i="128"/>
  <c r="S119" i="128"/>
  <c r="S65" i="128"/>
  <c r="S118" i="128"/>
  <c r="S90" i="128"/>
  <c r="S130" i="128"/>
  <c r="S70" i="128"/>
  <c r="S64" i="128"/>
  <c r="S69" i="128"/>
  <c r="S95" i="128"/>
  <c r="S103" i="128"/>
  <c r="S61" i="128"/>
  <c r="S88" i="128"/>
  <c r="S79" i="128"/>
  <c r="S96" i="128"/>
  <c r="S99" i="128"/>
  <c r="S120" i="128"/>
  <c r="S8" i="128"/>
  <c r="S110" i="128"/>
  <c r="S67" i="128"/>
  <c r="S128" i="128"/>
  <c r="S84" i="128"/>
  <c r="S105" i="128"/>
  <c r="S101" i="128"/>
  <c r="S58" i="128"/>
  <c r="S125" i="128"/>
  <c r="S78" i="128"/>
  <c r="S50" i="128"/>
  <c r="S108" i="128"/>
  <c r="S123" i="128"/>
  <c r="S74" i="128"/>
  <c r="S115" i="128"/>
  <c r="S94" i="128"/>
  <c r="S116" i="128"/>
  <c r="J1" i="125"/>
  <c r="J1" i="123"/>
  <c r="J2" i="123"/>
  <c r="J2" i="127"/>
  <c r="J1" i="127"/>
  <c r="J1" i="124"/>
  <c r="J2" i="124"/>
  <c r="J2" i="126"/>
  <c r="J2" i="125"/>
  <c r="J1" i="126"/>
  <c r="G45" i="131" l="1"/>
  <c r="G5" i="131"/>
  <c r="G44" i="131"/>
  <c r="G14" i="131"/>
  <c r="G49" i="131"/>
  <c r="G8" i="131"/>
  <c r="G52" i="131"/>
  <c r="G46" i="131"/>
  <c r="G19" i="131"/>
  <c r="G55" i="131"/>
  <c r="G43" i="131"/>
  <c r="G9" i="131"/>
  <c r="G11" i="131"/>
  <c r="G53" i="131"/>
  <c r="G51" i="131"/>
  <c r="G56" i="131"/>
  <c r="G37" i="131"/>
  <c r="G40" i="131"/>
  <c r="G48" i="131"/>
  <c r="G58" i="131"/>
  <c r="G25" i="131"/>
  <c r="G30" i="131"/>
  <c r="G50" i="131"/>
  <c r="G21" i="131"/>
  <c r="G33" i="131"/>
  <c r="G54" i="131"/>
  <c r="G34" i="131"/>
  <c r="G39" i="131"/>
  <c r="W36" i="128"/>
  <c r="G18" i="131"/>
  <c r="W51" i="128"/>
  <c r="G35" i="131"/>
  <c r="G59" i="131"/>
  <c r="G24" i="131"/>
  <c r="G16" i="131"/>
  <c r="G47" i="131"/>
  <c r="G26" i="131"/>
  <c r="G32" i="131"/>
  <c r="G7" i="131"/>
  <c r="G6" i="131"/>
  <c r="W25" i="128"/>
  <c r="W9" i="128"/>
  <c r="W5" i="128"/>
  <c r="W34" i="128"/>
  <c r="G17" i="131"/>
  <c r="G15" i="131"/>
  <c r="G29" i="131"/>
  <c r="G10" i="131"/>
  <c r="W43" i="128"/>
  <c r="G12" i="131"/>
  <c r="W49" i="128"/>
  <c r="G41" i="131"/>
  <c r="G28" i="131"/>
  <c r="G57" i="131"/>
  <c r="W55" i="128"/>
  <c r="W52" i="128"/>
  <c r="G13" i="131"/>
  <c r="G27" i="131"/>
  <c r="W31" i="128"/>
  <c r="G20" i="131"/>
  <c r="G22" i="131"/>
  <c r="W8" i="128"/>
  <c r="W48" i="128"/>
  <c r="W44" i="128"/>
  <c r="G3" i="131"/>
  <c r="E27" i="120"/>
  <c r="H30" i="120"/>
  <c r="W56" i="128"/>
  <c r="W3" i="128"/>
  <c r="W29" i="128"/>
  <c r="W59" i="128"/>
  <c r="H119" i="120"/>
  <c r="BG20" i="115" s="1"/>
  <c r="D61" i="109" s="1"/>
  <c r="E119" i="120"/>
  <c r="H31" i="120"/>
  <c r="BG10" i="115" s="1"/>
  <c r="D17" i="109" s="1"/>
  <c r="E31" i="120"/>
  <c r="H46" i="120"/>
  <c r="E43" i="120"/>
  <c r="W21" i="128"/>
  <c r="E95" i="120"/>
  <c r="H95" i="120"/>
  <c r="BG8" i="115" s="1"/>
  <c r="D49" i="109" s="1"/>
  <c r="W30" i="128"/>
  <c r="W17" i="128"/>
  <c r="W54" i="128"/>
  <c r="W47" i="128"/>
  <c r="W45" i="128"/>
  <c r="W18" i="128"/>
  <c r="H15" i="120"/>
  <c r="BG18" i="115" s="1"/>
  <c r="D9" i="109" s="1"/>
  <c r="E15" i="120"/>
  <c r="E123" i="120"/>
  <c r="H126" i="120"/>
  <c r="W53" i="128"/>
  <c r="W32" i="128"/>
  <c r="H70" i="120"/>
  <c r="E67" i="120"/>
  <c r="W46" i="128"/>
  <c r="E55" i="120"/>
  <c r="H55" i="120"/>
  <c r="BG22" i="115" s="1"/>
  <c r="D29" i="109" s="1"/>
  <c r="H22" i="120"/>
  <c r="E19" i="120"/>
  <c r="H7" i="120"/>
  <c r="BG34" i="115" s="1"/>
  <c r="D5" i="109" s="1"/>
  <c r="E7" i="120"/>
  <c r="W33" i="128"/>
  <c r="E3" i="120"/>
  <c r="G54" i="128"/>
  <c r="G102" i="128"/>
  <c r="G37" i="128"/>
  <c r="G46" i="128"/>
  <c r="G56" i="128"/>
  <c r="G104" i="128"/>
  <c r="G13" i="128"/>
  <c r="G120" i="128"/>
  <c r="G90" i="128"/>
  <c r="G61" i="128"/>
  <c r="G115" i="128"/>
  <c r="G72" i="128"/>
  <c r="G60" i="128"/>
  <c r="G94" i="128"/>
  <c r="G83" i="128"/>
  <c r="G125" i="128"/>
  <c r="G28" i="128"/>
  <c r="G109" i="128"/>
  <c r="G85" i="128"/>
  <c r="G63" i="128"/>
  <c r="G52" i="128"/>
  <c r="G65" i="128"/>
  <c r="G87" i="128"/>
  <c r="G38" i="128"/>
  <c r="G22" i="128"/>
  <c r="G18" i="128"/>
  <c r="G35" i="128"/>
  <c r="G119" i="128"/>
  <c r="G59" i="128"/>
  <c r="G23" i="128"/>
  <c r="G128" i="128"/>
  <c r="G92" i="128"/>
  <c r="G69" i="128"/>
  <c r="G116" i="128"/>
  <c r="G32" i="128"/>
  <c r="G95" i="128"/>
  <c r="G70" i="128"/>
  <c r="G101" i="128"/>
  <c r="G97" i="128"/>
  <c r="G4" i="128"/>
  <c r="G66" i="128"/>
  <c r="G123" i="128"/>
  <c r="G129" i="128"/>
  <c r="G62" i="128"/>
  <c r="G26" i="128"/>
  <c r="G40" i="128"/>
  <c r="G33" i="128"/>
  <c r="G103" i="128"/>
  <c r="G98" i="128"/>
  <c r="G31" i="128"/>
  <c r="G81" i="128"/>
  <c r="H6" i="120"/>
  <c r="G113" i="128"/>
  <c r="G47" i="128"/>
  <c r="G55" i="128"/>
  <c r="G8" i="128"/>
  <c r="G53" i="128"/>
  <c r="G96" i="128"/>
  <c r="G41" i="128"/>
  <c r="G106" i="128"/>
  <c r="G127" i="128"/>
  <c r="G50" i="128"/>
  <c r="G91" i="128"/>
  <c r="G79" i="128"/>
  <c r="G105" i="128"/>
  <c r="G51" i="128"/>
  <c r="G20" i="128"/>
  <c r="G114" i="128"/>
  <c r="G77" i="128"/>
  <c r="G58" i="128"/>
  <c r="G89" i="128"/>
  <c r="G110" i="128"/>
  <c r="G6" i="128"/>
  <c r="G24" i="128"/>
  <c r="G111" i="128"/>
  <c r="G9" i="128"/>
  <c r="G121" i="128"/>
  <c r="G74" i="128"/>
  <c r="G99" i="128"/>
  <c r="G71" i="128"/>
  <c r="G73" i="128"/>
  <c r="G84" i="128"/>
  <c r="G5" i="128"/>
  <c r="G3" i="128"/>
  <c r="G12" i="128"/>
  <c r="G45" i="128"/>
  <c r="G122" i="128"/>
  <c r="G57" i="128"/>
  <c r="G36" i="128"/>
  <c r="G49" i="128"/>
  <c r="G108" i="128"/>
  <c r="G34" i="128"/>
  <c r="G14" i="128"/>
  <c r="G124" i="128"/>
  <c r="G118" i="128"/>
  <c r="G29" i="128"/>
  <c r="G68" i="128"/>
  <c r="G67" i="128"/>
  <c r="G39" i="128"/>
  <c r="G11" i="128"/>
  <c r="G43" i="128"/>
  <c r="G93" i="128"/>
  <c r="G17" i="128"/>
  <c r="G126" i="128"/>
  <c r="G130" i="128"/>
  <c r="G15" i="128"/>
  <c r="G19" i="128"/>
  <c r="G75" i="128"/>
  <c r="G80" i="128"/>
  <c r="G42" i="128"/>
  <c r="G64" i="128"/>
  <c r="G76" i="128"/>
  <c r="G88" i="128"/>
  <c r="G78" i="128"/>
  <c r="G10" i="128"/>
  <c r="G27" i="128"/>
  <c r="G112" i="128"/>
  <c r="G86" i="128"/>
  <c r="G117" i="128"/>
  <c r="G107" i="128"/>
  <c r="G30" i="128"/>
  <c r="G21" i="128"/>
  <c r="G44" i="128"/>
  <c r="G82" i="128"/>
  <c r="G25" i="128"/>
  <c r="G16" i="128"/>
  <c r="G48" i="128"/>
  <c r="G7" i="128"/>
  <c r="G100" i="128"/>
  <c r="W12" i="128"/>
  <c r="W24" i="128"/>
  <c r="H94" i="120"/>
  <c r="E91" i="120"/>
  <c r="W6" i="128"/>
  <c r="E75" i="120"/>
  <c r="H78" i="120"/>
  <c r="W40" i="128"/>
  <c r="H103" i="120"/>
  <c r="BG28" i="115" s="1"/>
  <c r="D53" i="109" s="1"/>
  <c r="E103" i="120"/>
  <c r="E35" i="120"/>
  <c r="H38" i="120"/>
  <c r="W58" i="128"/>
  <c r="W13" i="128"/>
  <c r="E99" i="120"/>
  <c r="H102" i="120"/>
  <c r="E39" i="120"/>
  <c r="H39" i="120"/>
  <c r="BG30" i="115" s="1"/>
  <c r="D21" i="109" s="1"/>
  <c r="E115" i="120"/>
  <c r="H118" i="120"/>
  <c r="W10" i="128"/>
  <c r="H54" i="120"/>
  <c r="E51" i="120"/>
  <c r="E87" i="120"/>
  <c r="H87" i="120"/>
  <c r="BG24" i="115" s="1"/>
  <c r="D45" i="109" s="1"/>
  <c r="H79" i="120"/>
  <c r="BG16" i="115" s="1"/>
  <c r="D41" i="109" s="1"/>
  <c r="E79" i="120"/>
  <c r="E11" i="120"/>
  <c r="H14" i="120"/>
  <c r="E107" i="120"/>
  <c r="H110" i="120"/>
  <c r="W23" i="128"/>
  <c r="H47" i="120"/>
  <c r="BG14" i="115" s="1"/>
  <c r="D25" i="109" s="1"/>
  <c r="E47" i="120"/>
  <c r="E127" i="120"/>
  <c r="H127" i="120"/>
  <c r="BG4" i="115" s="1"/>
  <c r="D65" i="109" s="1"/>
  <c r="W26" i="128"/>
  <c r="E83" i="120"/>
  <c r="H86" i="120"/>
  <c r="W14" i="128"/>
  <c r="E111" i="120"/>
  <c r="H111" i="120"/>
  <c r="BG12" i="115" s="1"/>
  <c r="D57" i="109" s="1"/>
  <c r="W57" i="128"/>
  <c r="E59" i="120"/>
  <c r="H62" i="120"/>
  <c r="W42" i="128"/>
  <c r="W22" i="128"/>
  <c r="W37" i="128"/>
  <c r="W11" i="128"/>
  <c r="W7" i="128"/>
  <c r="W16" i="128"/>
  <c r="E71" i="120"/>
  <c r="H71" i="120"/>
  <c r="BG32" i="115" s="1"/>
  <c r="D37" i="109" s="1"/>
  <c r="H23" i="120"/>
  <c r="BG26" i="115" s="1"/>
  <c r="D13" i="109" s="1"/>
  <c r="E23" i="120"/>
  <c r="H63" i="120"/>
  <c r="BG6" i="115" s="1"/>
  <c r="D33" i="109" s="1"/>
  <c r="E63" i="120"/>
  <c r="W20" i="128"/>
  <c r="W50" i="128"/>
  <c r="W39" i="128"/>
  <c r="AE1" i="128"/>
  <c r="G9" i="47" s="1"/>
  <c r="L59" i="120" l="1"/>
  <c r="BI6" i="115" s="1"/>
  <c r="BG31" i="115"/>
  <c r="D32" i="109" s="1"/>
  <c r="I61" i="120"/>
  <c r="BG19" i="115"/>
  <c r="D8" i="109" s="1"/>
  <c r="L11" i="120"/>
  <c r="BI18" i="115" s="1"/>
  <c r="I13" i="120"/>
  <c r="BG5" i="115"/>
  <c r="D36" i="109" s="1"/>
  <c r="I69" i="120"/>
  <c r="L74" i="120"/>
  <c r="L122" i="120"/>
  <c r="BG17" i="115"/>
  <c r="D60" i="109" s="1"/>
  <c r="I117" i="120"/>
  <c r="I101" i="120"/>
  <c r="L106" i="120"/>
  <c r="BG9" i="115"/>
  <c r="D52" i="109" s="1"/>
  <c r="I37" i="120"/>
  <c r="BG7" i="115"/>
  <c r="D20" i="109" s="1"/>
  <c r="L42" i="120"/>
  <c r="BG23" i="115"/>
  <c r="D24" i="109" s="1"/>
  <c r="I45" i="120"/>
  <c r="L43" i="120"/>
  <c r="BI14" i="115" s="1"/>
  <c r="BG13" i="115"/>
  <c r="D44" i="109" s="1"/>
  <c r="L90" i="120"/>
  <c r="I85" i="120"/>
  <c r="L107" i="120"/>
  <c r="BI12" i="115" s="1"/>
  <c r="I109" i="120"/>
  <c r="BG25" i="115"/>
  <c r="D56" i="109" s="1"/>
  <c r="BG21" i="115"/>
  <c r="D40" i="109" s="1"/>
  <c r="L75" i="120"/>
  <c r="BI16" i="115" s="1"/>
  <c r="I77" i="120"/>
  <c r="I93" i="120"/>
  <c r="L91" i="120"/>
  <c r="BI8" i="115" s="1"/>
  <c r="BG29" i="115"/>
  <c r="D48" i="109" s="1"/>
  <c r="BG3" i="115"/>
  <c r="D4" i="109" s="1"/>
  <c r="I5" i="120"/>
  <c r="L10" i="120"/>
  <c r="I29" i="120"/>
  <c r="L27" i="120"/>
  <c r="BI10" i="115" s="1"/>
  <c r="BG27" i="115"/>
  <c r="D16" i="109" s="1"/>
  <c r="BG15" i="115"/>
  <c r="D28" i="109" s="1"/>
  <c r="I53" i="120"/>
  <c r="L58" i="120"/>
  <c r="BG11" i="115"/>
  <c r="D12" i="109" s="1"/>
  <c r="L26" i="120"/>
  <c r="I21" i="120"/>
  <c r="L123" i="120"/>
  <c r="BI4" i="115" s="1"/>
  <c r="BG33" i="115"/>
  <c r="D64" i="109" s="1"/>
  <c r="I125" i="120"/>
  <c r="M25" i="120" l="1"/>
  <c r="BI11" i="115"/>
  <c r="P19" i="120"/>
  <c r="BK10" i="115" s="1"/>
  <c r="H30" i="109"/>
  <c r="E27" i="109"/>
  <c r="P18" i="120"/>
  <c r="BI3" i="115"/>
  <c r="M9" i="120"/>
  <c r="H39" i="109"/>
  <c r="AT16" i="115" s="1"/>
  <c r="D21" i="110" s="1"/>
  <c r="E39" i="109"/>
  <c r="H7" i="109"/>
  <c r="AT18" i="115" s="1"/>
  <c r="D5" i="110" s="1"/>
  <c r="E7" i="109"/>
  <c r="E63" i="109"/>
  <c r="H63" i="109"/>
  <c r="AT4" i="115" s="1"/>
  <c r="D33" i="110" s="1"/>
  <c r="H14" i="109"/>
  <c r="E11" i="109"/>
  <c r="E15" i="109"/>
  <c r="H15" i="109"/>
  <c r="AT10" i="115" s="1"/>
  <c r="D9" i="110" s="1"/>
  <c r="H55" i="109"/>
  <c r="AT12" i="115" s="1"/>
  <c r="D29" i="110" s="1"/>
  <c r="E55" i="109"/>
  <c r="BI13" i="115"/>
  <c r="M89" i="120"/>
  <c r="P83" i="120"/>
  <c r="BK8" i="115" s="1"/>
  <c r="E23" i="109"/>
  <c r="H23" i="109"/>
  <c r="AT14" i="115" s="1"/>
  <c r="D13" i="110" s="1"/>
  <c r="H54" i="109"/>
  <c r="E51" i="109"/>
  <c r="H62" i="109"/>
  <c r="E59" i="109"/>
  <c r="E35" i="109"/>
  <c r="H38" i="109"/>
  <c r="BI15" i="115"/>
  <c r="P51" i="120"/>
  <c r="BK6" i="115" s="1"/>
  <c r="M57" i="120"/>
  <c r="H6" i="109"/>
  <c r="H128" i="128"/>
  <c r="H129" i="128"/>
  <c r="H5" i="128"/>
  <c r="H11" i="128"/>
  <c r="H76" i="128"/>
  <c r="H62" i="128"/>
  <c r="H29" i="128"/>
  <c r="H22" i="128"/>
  <c r="H58" i="128"/>
  <c r="H119" i="128"/>
  <c r="H63" i="128"/>
  <c r="H54" i="128"/>
  <c r="H102" i="128"/>
  <c r="H37" i="128"/>
  <c r="H46" i="128"/>
  <c r="H56" i="128"/>
  <c r="H104" i="128"/>
  <c r="H13" i="128"/>
  <c r="H89" i="128"/>
  <c r="H35" i="128"/>
  <c r="H78" i="128"/>
  <c r="H75" i="128"/>
  <c r="H101" i="128"/>
  <c r="H97" i="128"/>
  <c r="H80" i="128"/>
  <c r="H45" i="128"/>
  <c r="H4" i="128"/>
  <c r="H42" i="128"/>
  <c r="H66" i="128"/>
  <c r="H43" i="128"/>
  <c r="H40" i="128"/>
  <c r="H64" i="128"/>
  <c r="E3" i="109"/>
  <c r="H12" i="128"/>
  <c r="H112" i="128"/>
  <c r="H65" i="128"/>
  <c r="H87" i="128"/>
  <c r="H21" i="128"/>
  <c r="H31" i="128"/>
  <c r="H17" i="128"/>
  <c r="H121" i="128"/>
  <c r="H122" i="128"/>
  <c r="H93" i="128"/>
  <c r="H110" i="128"/>
  <c r="H113" i="128"/>
  <c r="H47" i="128"/>
  <c r="H55" i="128"/>
  <c r="H8" i="128"/>
  <c r="H53" i="128"/>
  <c r="H96" i="128"/>
  <c r="H41" i="128"/>
  <c r="H123" i="128"/>
  <c r="H26" i="128"/>
  <c r="H118" i="128"/>
  <c r="H25" i="128"/>
  <c r="H86" i="128"/>
  <c r="H68" i="128"/>
  <c r="H103" i="128"/>
  <c r="H117" i="128"/>
  <c r="H67" i="128"/>
  <c r="H16" i="128"/>
  <c r="H107" i="128"/>
  <c r="H18" i="128"/>
  <c r="H30" i="128"/>
  <c r="H3" i="128"/>
  <c r="H98" i="128"/>
  <c r="H52" i="128"/>
  <c r="H48" i="128"/>
  <c r="H24" i="128"/>
  <c r="H111" i="128"/>
  <c r="H38" i="128"/>
  <c r="H127" i="128"/>
  <c r="H61" i="128"/>
  <c r="H92" i="128"/>
  <c r="H99" i="128"/>
  <c r="H73" i="128"/>
  <c r="H126" i="128"/>
  <c r="H69" i="128"/>
  <c r="H130" i="128"/>
  <c r="H116" i="128"/>
  <c r="H15" i="128"/>
  <c r="H32" i="128"/>
  <c r="H19" i="128"/>
  <c r="H95" i="128"/>
  <c r="H74" i="128"/>
  <c r="H59" i="128"/>
  <c r="H100" i="128"/>
  <c r="H115" i="128"/>
  <c r="H72" i="128"/>
  <c r="H60" i="128"/>
  <c r="H94" i="128"/>
  <c r="H83" i="128"/>
  <c r="H125" i="128"/>
  <c r="H28" i="128"/>
  <c r="H109" i="128"/>
  <c r="H7" i="128"/>
  <c r="H23" i="128"/>
  <c r="H106" i="128"/>
  <c r="H6" i="128"/>
  <c r="H90" i="128"/>
  <c r="H57" i="128"/>
  <c r="H33" i="128"/>
  <c r="H9" i="128"/>
  <c r="H70" i="128"/>
  <c r="H50" i="128"/>
  <c r="H36" i="128"/>
  <c r="H44" i="128"/>
  <c r="H81" i="128"/>
  <c r="H108" i="128"/>
  <c r="H34" i="128"/>
  <c r="H10" i="128"/>
  <c r="H14" i="128"/>
  <c r="H82" i="128"/>
  <c r="H124" i="128"/>
  <c r="H27" i="128"/>
  <c r="H85" i="128"/>
  <c r="H88" i="128"/>
  <c r="H49" i="128"/>
  <c r="H120" i="128"/>
  <c r="H91" i="128"/>
  <c r="H79" i="128"/>
  <c r="H105" i="128"/>
  <c r="H51" i="128"/>
  <c r="H20" i="128"/>
  <c r="H114" i="128"/>
  <c r="H77" i="128"/>
  <c r="H39" i="128"/>
  <c r="H71" i="128"/>
  <c r="H84" i="128"/>
  <c r="H46" i="109"/>
  <c r="E43" i="109"/>
  <c r="M41" i="120"/>
  <c r="BI7" i="115"/>
  <c r="P50" i="120"/>
  <c r="M105" i="120"/>
  <c r="BI9" i="115"/>
  <c r="P114" i="120"/>
  <c r="P115" i="120"/>
  <c r="BK4" i="115" s="1"/>
  <c r="BI17" i="115"/>
  <c r="M121" i="120"/>
  <c r="E31" i="109"/>
  <c r="H31" i="109"/>
  <c r="AT6" i="115" s="1"/>
  <c r="D17" i="110" s="1"/>
  <c r="E47" i="109"/>
  <c r="H47" i="109"/>
  <c r="AT8" i="115" s="1"/>
  <c r="D25" i="110" s="1"/>
  <c r="H22" i="109"/>
  <c r="E19" i="109"/>
  <c r="M73" i="120"/>
  <c r="P82" i="120"/>
  <c r="BI5" i="115"/>
  <c r="L26" i="109" l="1"/>
  <c r="I21" i="109"/>
  <c r="AT7" i="115"/>
  <c r="D12" i="110" s="1"/>
  <c r="T99" i="120"/>
  <c r="BM4" i="115" s="1"/>
  <c r="Q113" i="120"/>
  <c r="BK9" i="115"/>
  <c r="I61" i="109"/>
  <c r="L59" i="109"/>
  <c r="AV4" i="115" s="1"/>
  <c r="AT17" i="115"/>
  <c r="D32" i="110" s="1"/>
  <c r="L27" i="109"/>
  <c r="AV6" i="115" s="1"/>
  <c r="AT15" i="115"/>
  <c r="D16" i="110" s="1"/>
  <c r="I29" i="109"/>
  <c r="Q81" i="120"/>
  <c r="BK5" i="115"/>
  <c r="T98" i="120"/>
  <c r="L10" i="109"/>
  <c r="I5" i="109"/>
  <c r="AT3" i="115"/>
  <c r="D4" i="110" s="1"/>
  <c r="AT5" i="115"/>
  <c r="D20" i="110" s="1"/>
  <c r="L42" i="109"/>
  <c r="I37" i="109"/>
  <c r="I13" i="109"/>
  <c r="AT11" i="115"/>
  <c r="D8" i="110" s="1"/>
  <c r="L11" i="109"/>
  <c r="AV10" i="115" s="1"/>
  <c r="L58" i="109"/>
  <c r="I53" i="109"/>
  <c r="AT9" i="115"/>
  <c r="D28" i="110" s="1"/>
  <c r="T34" i="120"/>
  <c r="Q17" i="120"/>
  <c r="BK3" i="115"/>
  <c r="BK7" i="115"/>
  <c r="Q49" i="120"/>
  <c r="T35" i="120"/>
  <c r="BM6" i="115" s="1"/>
  <c r="I45" i="109"/>
  <c r="AT13" i="115"/>
  <c r="D24" i="110" s="1"/>
  <c r="L43" i="109"/>
  <c r="AV8" i="115" s="1"/>
  <c r="X106" i="120" l="1"/>
  <c r="U33" i="120"/>
  <c r="X66" i="120"/>
  <c r="BM3" i="115"/>
  <c r="AV5" i="115"/>
  <c r="M41" i="109"/>
  <c r="P50" i="109"/>
  <c r="M9" i="109"/>
  <c r="AV3" i="115"/>
  <c r="P18" i="109"/>
  <c r="D13" i="56"/>
  <c r="H23" i="110"/>
  <c r="AI8" i="115" s="1"/>
  <c r="D13" i="119" s="1"/>
  <c r="D16" i="56"/>
  <c r="H30" i="110"/>
  <c r="H7" i="110"/>
  <c r="AI10" i="115" s="1"/>
  <c r="D5" i="119" s="1"/>
  <c r="D5" i="56"/>
  <c r="H22" i="110"/>
  <c r="D12" i="56"/>
  <c r="U97" i="120"/>
  <c r="X67" i="120"/>
  <c r="BO4" i="115" s="1"/>
  <c r="X107" i="120"/>
  <c r="BO5" i="115" s="1"/>
  <c r="BM5" i="115"/>
  <c r="H15" i="110"/>
  <c r="AI6" i="115" s="1"/>
  <c r="D9" i="119" s="1"/>
  <c r="D9" i="56"/>
  <c r="D8" i="56"/>
  <c r="H14" i="110"/>
  <c r="I18" i="128"/>
  <c r="I42" i="128"/>
  <c r="I62" i="128"/>
  <c r="I39" i="128"/>
  <c r="I115" i="128"/>
  <c r="H6" i="110"/>
  <c r="I74" i="128"/>
  <c r="I99" i="128"/>
  <c r="I71" i="128"/>
  <c r="I73" i="128"/>
  <c r="I23" i="128"/>
  <c r="I63" i="128"/>
  <c r="I120" i="128"/>
  <c r="I86" i="128"/>
  <c r="I51" i="128"/>
  <c r="I77" i="128"/>
  <c r="I123" i="128"/>
  <c r="I12" i="128"/>
  <c r="I112" i="128"/>
  <c r="I65" i="128"/>
  <c r="I87" i="128"/>
  <c r="I21" i="128"/>
  <c r="I31" i="128"/>
  <c r="I17" i="128"/>
  <c r="I121" i="128"/>
  <c r="I104" i="128"/>
  <c r="I97" i="128"/>
  <c r="I94" i="128"/>
  <c r="I125" i="128"/>
  <c r="I126" i="128"/>
  <c r="I69" i="128"/>
  <c r="I130" i="128"/>
  <c r="I116" i="128"/>
  <c r="I15" i="128"/>
  <c r="I27" i="128"/>
  <c r="I91" i="128"/>
  <c r="I67" i="128"/>
  <c r="I85" i="128"/>
  <c r="D4" i="56"/>
  <c r="I88" i="128"/>
  <c r="I40" i="128"/>
  <c r="I49" i="128"/>
  <c r="I110" i="128"/>
  <c r="I32" i="128"/>
  <c r="I45" i="128"/>
  <c r="I98" i="128"/>
  <c r="I52" i="128"/>
  <c r="I24" i="128"/>
  <c r="I38" i="128"/>
  <c r="I61" i="128"/>
  <c r="I92" i="128"/>
  <c r="I60" i="128"/>
  <c r="I16" i="128"/>
  <c r="I34" i="128"/>
  <c r="I14" i="128"/>
  <c r="I82" i="128"/>
  <c r="I101" i="128"/>
  <c r="I28" i="128"/>
  <c r="I44" i="128"/>
  <c r="I68" i="128"/>
  <c r="I106" i="128"/>
  <c r="I57" i="128"/>
  <c r="I70" i="128"/>
  <c r="I41" i="128"/>
  <c r="I83" i="128"/>
  <c r="I102" i="128"/>
  <c r="I46" i="128"/>
  <c r="I72" i="128"/>
  <c r="I59" i="128"/>
  <c r="I118" i="128"/>
  <c r="I19" i="128"/>
  <c r="I128" i="128"/>
  <c r="I5" i="128"/>
  <c r="I29" i="128"/>
  <c r="I75" i="128"/>
  <c r="I47" i="128"/>
  <c r="I53" i="128"/>
  <c r="I26" i="128"/>
  <c r="I84" i="128"/>
  <c r="I79" i="128"/>
  <c r="I58" i="128"/>
  <c r="I48" i="128"/>
  <c r="I111" i="128"/>
  <c r="I127" i="128"/>
  <c r="I13" i="128"/>
  <c r="I117" i="128"/>
  <c r="I108" i="128"/>
  <c r="I10" i="128"/>
  <c r="I95" i="128"/>
  <c r="I3" i="128"/>
  <c r="I43" i="128"/>
  <c r="I93" i="128"/>
  <c r="I81" i="128"/>
  <c r="I78" i="128"/>
  <c r="I64" i="128"/>
  <c r="I114" i="128"/>
  <c r="I122" i="128"/>
  <c r="I90" i="128"/>
  <c r="I33" i="128"/>
  <c r="I50" i="128"/>
  <c r="I80" i="128"/>
  <c r="I54" i="128"/>
  <c r="I37" i="128"/>
  <c r="I25" i="128"/>
  <c r="I66" i="128"/>
  <c r="I119" i="128"/>
  <c r="I30" i="128"/>
  <c r="I105" i="128"/>
  <c r="I129" i="128"/>
  <c r="I76" i="128"/>
  <c r="I22" i="128"/>
  <c r="I20" i="128"/>
  <c r="I55" i="128"/>
  <c r="I4" i="128"/>
  <c r="I7" i="128"/>
  <c r="I96" i="128"/>
  <c r="I6" i="128"/>
  <c r="I9" i="128"/>
  <c r="I36" i="128"/>
  <c r="I109" i="128"/>
  <c r="I56" i="128"/>
  <c r="I35" i="128"/>
  <c r="I100" i="128"/>
  <c r="I89" i="128"/>
  <c r="I11" i="128"/>
  <c r="I124" i="128"/>
  <c r="I103" i="128"/>
  <c r="I113" i="128"/>
  <c r="I8" i="128"/>
  <c r="I107" i="128"/>
  <c r="P51" i="109"/>
  <c r="AX4" i="115" s="1"/>
  <c r="M57" i="109"/>
  <c r="AV9" i="115"/>
  <c r="D17" i="56"/>
  <c r="H31" i="110"/>
  <c r="AI4" i="115" s="1"/>
  <c r="D17" i="119" s="1"/>
  <c r="M25" i="109"/>
  <c r="P19" i="109"/>
  <c r="AX6" i="115" s="1"/>
  <c r="AV7" i="115"/>
  <c r="L26" i="110" l="1"/>
  <c r="AI5" i="115"/>
  <c r="D12" i="119" s="1"/>
  <c r="L27" i="110"/>
  <c r="AK4" i="115" s="1"/>
  <c r="AI9" i="115"/>
  <c r="D16" i="119" s="1"/>
  <c r="E3" i="56"/>
  <c r="H22" i="56"/>
  <c r="H6" i="56"/>
  <c r="L11" i="110"/>
  <c r="AK6" i="115" s="1"/>
  <c r="AI7" i="115"/>
  <c r="D8" i="119" s="1"/>
  <c r="H15" i="56"/>
  <c r="E15" i="56"/>
  <c r="H31" i="56"/>
  <c r="T35" i="109"/>
  <c r="AZ4" i="115" s="1"/>
  <c r="Q49" i="109"/>
  <c r="T57" i="109"/>
  <c r="AZ5" i="115" s="1"/>
  <c r="AX5" i="115"/>
  <c r="BO3" i="115"/>
  <c r="Y65" i="120"/>
  <c r="L10" i="110"/>
  <c r="AI3" i="115"/>
  <c r="D4" i="119" s="1"/>
  <c r="E7" i="56"/>
  <c r="H23" i="56"/>
  <c r="H7" i="56"/>
  <c r="Q17" i="109"/>
  <c r="T56" i="109"/>
  <c r="AX3" i="115"/>
  <c r="T34" i="109"/>
  <c r="E11" i="56"/>
  <c r="H30" i="56"/>
  <c r="H14" i="56"/>
  <c r="Y105" i="120"/>
  <c r="BO6" i="115"/>
  <c r="D4" i="55" l="1"/>
  <c r="J91" i="128"/>
  <c r="J79" i="128"/>
  <c r="J105" i="128"/>
  <c r="J51" i="128"/>
  <c r="J20" i="128"/>
  <c r="J114" i="128"/>
  <c r="J77" i="128"/>
  <c r="J58" i="128"/>
  <c r="J89" i="128"/>
  <c r="J50" i="128"/>
  <c r="J102" i="128"/>
  <c r="J32" i="128"/>
  <c r="J43" i="128"/>
  <c r="J7" i="128"/>
  <c r="J44" i="128"/>
  <c r="J93" i="128"/>
  <c r="J81" i="128"/>
  <c r="J64" i="128"/>
  <c r="J10" i="128"/>
  <c r="J8" i="128"/>
  <c r="J129" i="128"/>
  <c r="J11" i="128"/>
  <c r="J62" i="128"/>
  <c r="J54" i="128"/>
  <c r="J104" i="128"/>
  <c r="J121" i="128"/>
  <c r="J75" i="128"/>
  <c r="J101" i="128"/>
  <c r="J97" i="128"/>
  <c r="J80" i="128"/>
  <c r="J45" i="128"/>
  <c r="J4" i="128"/>
  <c r="J42" i="128"/>
  <c r="J66" i="128"/>
  <c r="J122" i="128"/>
  <c r="J123" i="128"/>
  <c r="J22" i="128"/>
  <c r="J82" i="128"/>
  <c r="J124" i="128"/>
  <c r="J18" i="128"/>
  <c r="J35" i="128"/>
  <c r="J119" i="128"/>
  <c r="J59" i="128"/>
  <c r="J30" i="128"/>
  <c r="J118" i="128"/>
  <c r="J100" i="128"/>
  <c r="J55" i="128"/>
  <c r="J96" i="128"/>
  <c r="J12" i="128"/>
  <c r="J112" i="128"/>
  <c r="J65" i="128"/>
  <c r="J87" i="128"/>
  <c r="J31" i="128"/>
  <c r="J37" i="128"/>
  <c r="J19" i="128"/>
  <c r="H6" i="119"/>
  <c r="J25" i="128"/>
  <c r="J86" i="128"/>
  <c r="J68" i="128"/>
  <c r="J103" i="128"/>
  <c r="J117" i="128"/>
  <c r="J67" i="128"/>
  <c r="J16" i="128"/>
  <c r="J107" i="128"/>
  <c r="J39" i="128"/>
  <c r="J17" i="128"/>
  <c r="J126" i="128"/>
  <c r="J56" i="128"/>
  <c r="J13" i="128"/>
  <c r="J74" i="128"/>
  <c r="J99" i="128"/>
  <c r="J71" i="128"/>
  <c r="J73" i="128"/>
  <c r="J23" i="128"/>
  <c r="J63" i="128"/>
  <c r="J120" i="128"/>
  <c r="J14" i="128"/>
  <c r="J98" i="128"/>
  <c r="J52" i="128"/>
  <c r="J48" i="128"/>
  <c r="J24" i="128"/>
  <c r="J111" i="128"/>
  <c r="J38" i="128"/>
  <c r="J127" i="128"/>
  <c r="J92" i="128"/>
  <c r="J69" i="128"/>
  <c r="J116" i="128"/>
  <c r="J27" i="128"/>
  <c r="J21" i="128"/>
  <c r="E3" i="119"/>
  <c r="J115" i="128"/>
  <c r="J72" i="128"/>
  <c r="J60" i="128"/>
  <c r="J94" i="128"/>
  <c r="J83" i="128"/>
  <c r="J125" i="128"/>
  <c r="J28" i="128"/>
  <c r="J109" i="128"/>
  <c r="J85" i="128"/>
  <c r="J61" i="128"/>
  <c r="J34" i="128"/>
  <c r="J53" i="128"/>
  <c r="J95" i="128"/>
  <c r="J88" i="128"/>
  <c r="J26" i="128"/>
  <c r="J40" i="128"/>
  <c r="J49" i="128"/>
  <c r="J84" i="128"/>
  <c r="J110" i="128"/>
  <c r="J108" i="128"/>
  <c r="J46" i="128"/>
  <c r="J106" i="128"/>
  <c r="J6" i="128"/>
  <c r="J90" i="128"/>
  <c r="J57" i="128"/>
  <c r="J33" i="128"/>
  <c r="J9" i="128"/>
  <c r="J70" i="128"/>
  <c r="J36" i="128"/>
  <c r="J47" i="128"/>
  <c r="J15" i="128"/>
  <c r="J41" i="128"/>
  <c r="J78" i="128"/>
  <c r="J128" i="128"/>
  <c r="J5" i="128"/>
  <c r="J76" i="128"/>
  <c r="J29" i="128"/>
  <c r="J130" i="128"/>
  <c r="J3" i="128"/>
  <c r="J113" i="128"/>
  <c r="I21" i="56"/>
  <c r="L34" i="56"/>
  <c r="L26" i="56"/>
  <c r="U33" i="109"/>
  <c r="AZ3" i="115"/>
  <c r="AK3" i="115"/>
  <c r="P32" i="110"/>
  <c r="P18" i="110"/>
  <c r="T18" i="110" s="1"/>
  <c r="AO3" i="115" s="1"/>
  <c r="E7" i="119"/>
  <c r="H7" i="119"/>
  <c r="W6" i="115" s="1"/>
  <c r="D5" i="118" s="1"/>
  <c r="D5" i="55"/>
  <c r="L11" i="56"/>
  <c r="L19" i="56"/>
  <c r="I13" i="56"/>
  <c r="E15" i="119"/>
  <c r="H15" i="119"/>
  <c r="W4" i="115" s="1"/>
  <c r="D9" i="118" s="1"/>
  <c r="D9" i="55"/>
  <c r="D8" i="55"/>
  <c r="H14" i="119"/>
  <c r="E11" i="119"/>
  <c r="I29" i="56"/>
  <c r="L27" i="56"/>
  <c r="L35" i="56"/>
  <c r="AZ6" i="115"/>
  <c r="U55" i="109"/>
  <c r="I5" i="56"/>
  <c r="L10" i="56"/>
  <c r="L18" i="56"/>
  <c r="P19" i="110"/>
  <c r="P33" i="110"/>
  <c r="AM5" i="115" s="1"/>
  <c r="AK5" i="115"/>
  <c r="AM4" i="115" l="1"/>
  <c r="T19" i="110"/>
  <c r="AO4" i="115" s="1"/>
  <c r="M17" i="56"/>
  <c r="AM3" i="115"/>
  <c r="M9" i="56"/>
  <c r="L21" i="119"/>
  <c r="Y5" i="115" s="1"/>
  <c r="I13" i="119"/>
  <c r="L11" i="119"/>
  <c r="W5" i="115"/>
  <c r="D8" i="118" s="1"/>
  <c r="Q31" i="110"/>
  <c r="AM6" i="115"/>
  <c r="H7" i="55"/>
  <c r="E7" i="55"/>
  <c r="H13" i="55"/>
  <c r="M25" i="56"/>
  <c r="M33" i="56"/>
  <c r="W3" i="115"/>
  <c r="D4" i="118" s="1"/>
  <c r="L10" i="119"/>
  <c r="P10" i="119" s="1"/>
  <c r="AA3" i="115" s="1"/>
  <c r="L20" i="119"/>
  <c r="I5" i="119"/>
  <c r="E3" i="55"/>
  <c r="H6" i="55"/>
  <c r="H12" i="55"/>
  <c r="Y4" i="115" l="1"/>
  <c r="P11" i="119"/>
  <c r="AA4" i="115" s="1"/>
  <c r="I11" i="55"/>
  <c r="I5" i="55"/>
  <c r="Y3" i="115"/>
  <c r="M9" i="119"/>
  <c r="H16" i="118"/>
  <c r="K54" i="128"/>
  <c r="K102" i="128"/>
  <c r="K37" i="128"/>
  <c r="K46" i="128"/>
  <c r="K56" i="128"/>
  <c r="K104" i="128"/>
  <c r="K13" i="128"/>
  <c r="K23" i="128"/>
  <c r="K98" i="128"/>
  <c r="K76" i="128"/>
  <c r="K75" i="128"/>
  <c r="K101" i="128"/>
  <c r="K97" i="128"/>
  <c r="K80" i="128"/>
  <c r="K45" i="128"/>
  <c r="K4" i="128"/>
  <c r="K42" i="128"/>
  <c r="K66" i="128"/>
  <c r="K122" i="128"/>
  <c r="K123" i="128"/>
  <c r="K127" i="128"/>
  <c r="K18" i="128"/>
  <c r="K35" i="128"/>
  <c r="K119" i="128"/>
  <c r="K59" i="128"/>
  <c r="K118" i="128"/>
  <c r="K106" i="128"/>
  <c r="K48" i="128"/>
  <c r="K57" i="128"/>
  <c r="K38" i="128"/>
  <c r="K61" i="128"/>
  <c r="K36" i="128"/>
  <c r="K30" i="128"/>
  <c r="K89" i="128"/>
  <c r="K44" i="128"/>
  <c r="K24" i="128"/>
  <c r="E3" i="118"/>
  <c r="K113" i="128"/>
  <c r="K47" i="128"/>
  <c r="K55" i="128"/>
  <c r="K8" i="128"/>
  <c r="K53" i="128"/>
  <c r="K96" i="128"/>
  <c r="K41" i="128"/>
  <c r="K78" i="128"/>
  <c r="K6" i="128"/>
  <c r="K21" i="128"/>
  <c r="K25" i="128"/>
  <c r="K86" i="128"/>
  <c r="K68" i="128"/>
  <c r="K103" i="128"/>
  <c r="K117" i="128"/>
  <c r="K67" i="128"/>
  <c r="K16" i="128"/>
  <c r="K107" i="128"/>
  <c r="K39" i="128"/>
  <c r="K84" i="128"/>
  <c r="K70" i="128"/>
  <c r="K74" i="128"/>
  <c r="K99" i="128"/>
  <c r="K71" i="128"/>
  <c r="K73" i="128"/>
  <c r="K63" i="128"/>
  <c r="K128" i="128"/>
  <c r="K90" i="128"/>
  <c r="K11" i="128"/>
  <c r="K9" i="128"/>
  <c r="K50" i="128"/>
  <c r="K3" i="128"/>
  <c r="K33" i="128"/>
  <c r="K51" i="128"/>
  <c r="K77" i="128"/>
  <c r="K43" i="128"/>
  <c r="K93" i="128"/>
  <c r="K112" i="128"/>
  <c r="K121" i="128"/>
  <c r="K126" i="128"/>
  <c r="K69" i="128"/>
  <c r="K130" i="128"/>
  <c r="K116" i="128"/>
  <c r="K15" i="128"/>
  <c r="K32" i="128"/>
  <c r="K19" i="128"/>
  <c r="K95" i="128"/>
  <c r="K64" i="128"/>
  <c r="K129" i="128"/>
  <c r="K62" i="128"/>
  <c r="K115" i="128"/>
  <c r="K72" i="128"/>
  <c r="K60" i="128"/>
  <c r="K94" i="128"/>
  <c r="K83" i="128"/>
  <c r="K125" i="128"/>
  <c r="K28" i="128"/>
  <c r="K109" i="128"/>
  <c r="K85" i="128"/>
  <c r="K12" i="128"/>
  <c r="K92" i="128"/>
  <c r="K88" i="128"/>
  <c r="K26" i="128"/>
  <c r="K40" i="128"/>
  <c r="K49" i="128"/>
  <c r="K110" i="128"/>
  <c r="K52" i="128"/>
  <c r="K65" i="128"/>
  <c r="K87" i="128"/>
  <c r="K29" i="128"/>
  <c r="K22" i="128"/>
  <c r="K14" i="128"/>
  <c r="K100" i="128"/>
  <c r="K91" i="128"/>
  <c r="K105" i="128"/>
  <c r="K114" i="128"/>
  <c r="K58" i="128"/>
  <c r="K7" i="128"/>
  <c r="K120" i="128"/>
  <c r="K17" i="128"/>
  <c r="H6" i="118"/>
  <c r="L6" i="118" s="1"/>
  <c r="N3" i="115" s="1"/>
  <c r="I3" i="115" s="1"/>
  <c r="B2" i="116" s="1"/>
  <c r="K108" i="128"/>
  <c r="K34" i="128"/>
  <c r="K10" i="128"/>
  <c r="K82" i="128"/>
  <c r="K124" i="128"/>
  <c r="K27" i="128"/>
  <c r="K31" i="128"/>
  <c r="K79" i="128"/>
  <c r="K20" i="128"/>
  <c r="K5" i="128"/>
  <c r="K81" i="128"/>
  <c r="K111" i="128"/>
  <c r="H17" i="118"/>
  <c r="E7" i="118"/>
  <c r="H7" i="118"/>
  <c r="Y6" i="115"/>
  <c r="M19" i="119"/>
  <c r="L4" i="115" l="1"/>
  <c r="L7" i="118"/>
  <c r="N4" i="115" s="1"/>
  <c r="I4" i="115" s="1"/>
  <c r="B3" i="116" s="1"/>
  <c r="F3" i="116" s="1"/>
  <c r="C3" i="116" s="1"/>
  <c r="F6" i="128"/>
  <c r="E6" i="128" s="1"/>
  <c r="AH14" i="47" s="1"/>
  <c r="F2" i="116"/>
  <c r="C2" i="116" s="1"/>
  <c r="I15" i="118"/>
  <c r="L3" i="115"/>
  <c r="I5" i="118"/>
  <c r="F97" i="128" l="1"/>
  <c r="F102" i="128"/>
  <c r="F33" i="128"/>
  <c r="E33" i="128" s="1"/>
  <c r="AH41" i="47" s="1"/>
  <c r="A125" i="61" s="1"/>
  <c r="H125" i="61" s="1"/>
  <c r="F43" i="128"/>
  <c r="E43" i="128" s="1"/>
  <c r="AH51" i="47" s="1"/>
  <c r="AK51" i="47" s="1"/>
  <c r="F39" i="128"/>
  <c r="E39" i="128" s="1"/>
  <c r="AH47" i="47" s="1"/>
  <c r="AJ47" i="47" s="1"/>
  <c r="F96" i="128"/>
  <c r="F110" i="128"/>
  <c r="F79" i="128"/>
  <c r="F68" i="128"/>
  <c r="F129" i="128"/>
  <c r="F109" i="128"/>
  <c r="F75" i="128"/>
  <c r="F22" i="128"/>
  <c r="E22" i="128" s="1"/>
  <c r="AH30" i="47" s="1"/>
  <c r="F95" i="128"/>
  <c r="F61" i="128"/>
  <c r="F84" i="128"/>
  <c r="F32" i="128"/>
  <c r="E32" i="128" s="1"/>
  <c r="AH40" i="47" s="1"/>
  <c r="F58" i="128"/>
  <c r="E58" i="128" s="1"/>
  <c r="AH66" i="47" s="1"/>
  <c r="AJ66" i="47" s="1"/>
  <c r="F10" i="128"/>
  <c r="E10" i="128" s="1"/>
  <c r="AH18" i="47" s="1"/>
  <c r="AI18" i="47" s="1"/>
  <c r="F53" i="128"/>
  <c r="E53" i="128" s="1"/>
  <c r="AH61" i="47" s="1"/>
  <c r="AK61" i="47" s="1"/>
  <c r="F56" i="128"/>
  <c r="E56" i="128" s="1"/>
  <c r="AH64" i="47" s="1"/>
  <c r="AK64" i="47" s="1"/>
  <c r="F71" i="128"/>
  <c r="F41" i="128"/>
  <c r="E41" i="128" s="1"/>
  <c r="AH49" i="47" s="1"/>
  <c r="AI49" i="47" s="1"/>
  <c r="F23" i="128"/>
  <c r="E23" i="128" s="1"/>
  <c r="AH31" i="47" s="1"/>
  <c r="AJ31" i="47" s="1"/>
  <c r="F107" i="128"/>
  <c r="F47" i="128"/>
  <c r="E47" i="128" s="1"/>
  <c r="AH55" i="47" s="1"/>
  <c r="AK55" i="47" s="1"/>
  <c r="F80" i="128"/>
  <c r="F112" i="128"/>
  <c r="F86" i="128"/>
  <c r="F63" i="128"/>
  <c r="F78" i="128"/>
  <c r="F7" i="128"/>
  <c r="E7" i="128" s="1"/>
  <c r="AH15" i="47" s="1"/>
  <c r="F69" i="128"/>
  <c r="F77" i="128"/>
  <c r="F127" i="128"/>
  <c r="F45" i="128"/>
  <c r="E45" i="128" s="1"/>
  <c r="AH53" i="47" s="1"/>
  <c r="AK53" i="47" s="1"/>
  <c r="F60" i="128"/>
  <c r="F118" i="128"/>
  <c r="F17" i="128"/>
  <c r="E17" i="128" s="1"/>
  <c r="AH25" i="47" s="1"/>
  <c r="F29" i="128"/>
  <c r="E29" i="128" s="1"/>
  <c r="AH37" i="47" s="1"/>
  <c r="AK37" i="47" s="1"/>
  <c r="F128" i="128"/>
  <c r="F101" i="128"/>
  <c r="F49" i="128"/>
  <c r="E49" i="128" s="1"/>
  <c r="AH57" i="47" s="1"/>
  <c r="AI57" i="47" s="1"/>
  <c r="F89" i="128"/>
  <c r="F120" i="128"/>
  <c r="F113" i="128"/>
  <c r="F26" i="128"/>
  <c r="E26" i="128" s="1"/>
  <c r="AH34" i="47" s="1"/>
  <c r="A97" i="61" s="1"/>
  <c r="I97" i="61" s="1"/>
  <c r="F48" i="128"/>
  <c r="E48" i="128" s="1"/>
  <c r="AH56" i="47" s="1"/>
  <c r="AJ56" i="47" s="1"/>
  <c r="F72" i="128"/>
  <c r="F91" i="128"/>
  <c r="F25" i="128"/>
  <c r="E25" i="128" s="1"/>
  <c r="AH33" i="47" s="1"/>
  <c r="AI33" i="47" s="1"/>
  <c r="F106" i="128"/>
  <c r="F115" i="128"/>
  <c r="F93" i="128"/>
  <c r="F66" i="128"/>
  <c r="F38" i="128"/>
  <c r="E38" i="128" s="1"/>
  <c r="AH46" i="47" s="1"/>
  <c r="AI46" i="47" s="1"/>
  <c r="F46" i="128"/>
  <c r="E46" i="128" s="1"/>
  <c r="AH54" i="47" s="1"/>
  <c r="A177" i="61" s="1"/>
  <c r="I177" i="61" s="1"/>
  <c r="F82" i="128"/>
  <c r="F57" i="128"/>
  <c r="E57" i="128" s="1"/>
  <c r="AH65" i="47" s="1"/>
  <c r="AK65" i="47" s="1"/>
  <c r="F14" i="128"/>
  <c r="E14" i="128" s="1"/>
  <c r="AH22" i="47" s="1"/>
  <c r="AK22" i="47" s="1"/>
  <c r="F9" i="128"/>
  <c r="E9" i="128" s="1"/>
  <c r="AH17" i="47" s="1"/>
  <c r="AJ17" i="47" s="1"/>
  <c r="F24" i="128"/>
  <c r="E24" i="128" s="1"/>
  <c r="AH32" i="47" s="1"/>
  <c r="AK32" i="47" s="1"/>
  <c r="F99" i="128"/>
  <c r="F31" i="128"/>
  <c r="E31" i="128" s="1"/>
  <c r="AH39" i="47" s="1"/>
  <c r="AJ39" i="47" s="1"/>
  <c r="F15" i="128"/>
  <c r="E15" i="128" s="1"/>
  <c r="AH23" i="47" s="1"/>
  <c r="AI23" i="47" s="1"/>
  <c r="F76" i="128"/>
  <c r="F108" i="128"/>
  <c r="F73" i="128"/>
  <c r="F85" i="128"/>
  <c r="F64" i="128"/>
  <c r="F50" i="128"/>
  <c r="E50" i="128" s="1"/>
  <c r="AH58" i="47" s="1"/>
  <c r="AI58" i="47" s="1"/>
  <c r="F55" i="128"/>
  <c r="E55" i="128" s="1"/>
  <c r="AH63" i="47" s="1"/>
  <c r="AJ63" i="47" s="1"/>
  <c r="F4" i="128"/>
  <c r="E4" i="128" s="1"/>
  <c r="AH12" i="47" s="1"/>
  <c r="F114" i="128"/>
  <c r="F28" i="128"/>
  <c r="E28" i="128" s="1"/>
  <c r="AH36" i="47" s="1"/>
  <c r="AI36" i="47" s="1"/>
  <c r="F94" i="128"/>
  <c r="F65" i="128"/>
  <c r="F119" i="128"/>
  <c r="F116" i="128"/>
  <c r="F100" i="128"/>
  <c r="F54" i="128"/>
  <c r="E54" i="128" s="1"/>
  <c r="AH62" i="47" s="1"/>
  <c r="AI62" i="47" s="1"/>
  <c r="F130" i="128"/>
  <c r="F37" i="128"/>
  <c r="E37" i="128" s="1"/>
  <c r="AH45" i="47" s="1"/>
  <c r="AJ45" i="47" s="1"/>
  <c r="F90" i="128"/>
  <c r="AK40" i="47"/>
  <c r="AJ40" i="47"/>
  <c r="AI40" i="47"/>
  <c r="A121" i="61"/>
  <c r="G121" i="61" s="1"/>
  <c r="F3" i="128"/>
  <c r="E3" i="128" s="1"/>
  <c r="AH11" i="47" s="1"/>
  <c r="AI11" i="47" s="1"/>
  <c r="F74" i="128"/>
  <c r="F13" i="128"/>
  <c r="E13" i="128" s="1"/>
  <c r="AH21" i="47" s="1"/>
  <c r="AJ21" i="47" s="1"/>
  <c r="F87" i="128"/>
  <c r="F16" i="128"/>
  <c r="E16" i="128" s="1"/>
  <c r="AH24" i="47" s="1"/>
  <c r="A57" i="61" s="1"/>
  <c r="F70" i="128"/>
  <c r="F123" i="128"/>
  <c r="F67" i="128"/>
  <c r="F19" i="128"/>
  <c r="E19" i="128" s="1"/>
  <c r="AH27" i="47" s="1"/>
  <c r="F51" i="128"/>
  <c r="E51" i="128" s="1"/>
  <c r="AH59" i="47" s="1"/>
  <c r="AI59" i="47" s="1"/>
  <c r="F125" i="128"/>
  <c r="F59" i="128"/>
  <c r="E59" i="128" s="1"/>
  <c r="AH67" i="47" s="1"/>
  <c r="AK67" i="47" s="1"/>
  <c r="F121" i="128"/>
  <c r="F18" i="128"/>
  <c r="E18" i="128" s="1"/>
  <c r="AH26" i="47" s="1"/>
  <c r="AJ26" i="47" s="1"/>
  <c r="F104" i="128"/>
  <c r="F105" i="128"/>
  <c r="F8" i="128"/>
  <c r="E8" i="128" s="1"/>
  <c r="AH16" i="47" s="1"/>
  <c r="AK16" i="47" s="1"/>
  <c r="F62" i="128"/>
  <c r="F12" i="128"/>
  <c r="E12" i="128" s="1"/>
  <c r="AH20" i="47" s="1"/>
  <c r="AI20" i="47" s="1"/>
  <c r="F35" i="128"/>
  <c r="E35" i="128" s="1"/>
  <c r="AH43" i="47" s="1"/>
  <c r="AI43" i="47" s="1"/>
  <c r="F34" i="128"/>
  <c r="E34" i="128" s="1"/>
  <c r="AH42" i="47" s="1"/>
  <c r="A129" i="61" s="1"/>
  <c r="F124" i="128"/>
  <c r="F20" i="128"/>
  <c r="E20" i="128" s="1"/>
  <c r="AH28" i="47" s="1"/>
  <c r="AK28" i="47" s="1"/>
  <c r="F30" i="128"/>
  <c r="E30" i="128" s="1"/>
  <c r="AH38" i="47" s="1"/>
  <c r="F98" i="128"/>
  <c r="F11" i="128"/>
  <c r="E11" i="128" s="1"/>
  <c r="AH19" i="47" s="1"/>
  <c r="F21" i="128"/>
  <c r="E21" i="128" s="1"/>
  <c r="AH29" i="47" s="1"/>
  <c r="AI29" i="47" s="1"/>
  <c r="F122" i="128"/>
  <c r="F111" i="128"/>
  <c r="F81" i="128"/>
  <c r="F36" i="128"/>
  <c r="E36" i="128" s="1"/>
  <c r="AH44" i="47" s="1"/>
  <c r="AK44" i="47" s="1"/>
  <c r="F126" i="128"/>
  <c r="F117" i="128"/>
  <c r="AK26" i="47"/>
  <c r="AI26" i="47"/>
  <c r="A17" i="61"/>
  <c r="H17" i="61" s="1"/>
  <c r="AK14" i="47"/>
  <c r="AI14" i="47"/>
  <c r="AJ14" i="47"/>
  <c r="A141" i="61"/>
  <c r="G141" i="61" s="1"/>
  <c r="AK45" i="47"/>
  <c r="AI24" i="47"/>
  <c r="AJ61" i="47"/>
  <c r="F5" i="128"/>
  <c r="E5" i="128" s="1"/>
  <c r="AH13" i="47" s="1"/>
  <c r="AK13" i="47" s="1"/>
  <c r="F88" i="128"/>
  <c r="F42" i="128"/>
  <c r="E42" i="128" s="1"/>
  <c r="AH50" i="47" s="1"/>
  <c r="A161" i="61" s="1"/>
  <c r="AJ41" i="47"/>
  <c r="F92" i="128"/>
  <c r="F83" i="128"/>
  <c r="F40" i="128"/>
  <c r="E40" i="128" s="1"/>
  <c r="AH48" i="47" s="1"/>
  <c r="AI48" i="47" s="1"/>
  <c r="F27" i="128"/>
  <c r="E27" i="128" s="1"/>
  <c r="AH35" i="47" s="1"/>
  <c r="AJ35" i="47" s="1"/>
  <c r="F103" i="128"/>
  <c r="F44" i="128"/>
  <c r="E44" i="128" s="1"/>
  <c r="AH52" i="47" s="1"/>
  <c r="AJ52" i="47" s="1"/>
  <c r="AJ15" i="47"/>
  <c r="AI15" i="47"/>
  <c r="AK15" i="47"/>
  <c r="A21" i="61"/>
  <c r="G21" i="61" s="1"/>
  <c r="AI25" i="47"/>
  <c r="AJ25" i="47"/>
  <c r="A61" i="61"/>
  <c r="H61" i="61" s="1"/>
  <c r="AK25" i="47"/>
  <c r="A217" i="61"/>
  <c r="H217" i="61" s="1"/>
  <c r="AJ64" i="47"/>
  <c r="A157" i="61"/>
  <c r="H157" i="61" s="1"/>
  <c r="AK49" i="47"/>
  <c r="AI53" i="47"/>
  <c r="AJ53" i="47"/>
  <c r="A173" i="61"/>
  <c r="I173" i="61" s="1"/>
  <c r="AK57" i="47"/>
  <c r="AI12" i="47"/>
  <c r="AK12" i="47"/>
  <c r="A9" i="61"/>
  <c r="H9" i="61" s="1"/>
  <c r="AJ12" i="47"/>
  <c r="AI27" i="47"/>
  <c r="AK27" i="47"/>
  <c r="A69" i="61"/>
  <c r="G69" i="61" s="1"/>
  <c r="AJ27" i="47"/>
  <c r="AI22" i="47"/>
  <c r="AK59" i="47"/>
  <c r="AJ59" i="47"/>
  <c r="A197" i="61"/>
  <c r="G197" i="61" s="1"/>
  <c r="AI17" i="47"/>
  <c r="AK17" i="47"/>
  <c r="A29" i="61"/>
  <c r="G29" i="61" s="1"/>
  <c r="AI54" i="47"/>
  <c r="A209" i="61"/>
  <c r="G209" i="61" s="1"/>
  <c r="AK62" i="47"/>
  <c r="AJ62" i="47"/>
  <c r="A113" i="61"/>
  <c r="I113" i="61" s="1"/>
  <c r="AJ38" i="47"/>
  <c r="AK38" i="47"/>
  <c r="AI38" i="47"/>
  <c r="A149" i="61"/>
  <c r="H149" i="61" s="1"/>
  <c r="AK47" i="47"/>
  <c r="A137" i="61"/>
  <c r="G137" i="61" s="1"/>
  <c r="AI44" i="47"/>
  <c r="AI30" i="47"/>
  <c r="AJ30" i="47"/>
  <c r="A81" i="61"/>
  <c r="G81" i="61" s="1"/>
  <c r="AK30" i="47"/>
  <c r="F52" i="128"/>
  <c r="E52" i="128" s="1"/>
  <c r="AH60" i="47" s="1"/>
  <c r="AK36" i="47"/>
  <c r="A105" i="61"/>
  <c r="H105" i="61" s="1"/>
  <c r="I125" i="61"/>
  <c r="H69" i="61"/>
  <c r="I157" i="61"/>
  <c r="A25" i="61" l="1"/>
  <c r="H25" i="61" s="1"/>
  <c r="AJ34" i="47"/>
  <c r="AK23" i="47"/>
  <c r="AK54" i="47"/>
  <c r="AI63" i="47"/>
  <c r="AK34" i="47"/>
  <c r="I69" i="61"/>
  <c r="I121" i="61"/>
  <c r="AJ23" i="47"/>
  <c r="AJ54" i="47"/>
  <c r="AK56" i="47"/>
  <c r="AK41" i="47"/>
  <c r="G157" i="61"/>
  <c r="A185" i="61"/>
  <c r="G185" i="61" s="1"/>
  <c r="H121" i="61"/>
  <c r="A165" i="61"/>
  <c r="G165" i="61" s="1"/>
  <c r="AI56" i="47"/>
  <c r="AI41" i="47"/>
  <c r="A53" i="61"/>
  <c r="G53" i="61" s="1"/>
  <c r="AK63" i="47"/>
  <c r="G125" i="61"/>
  <c r="AJ29" i="47"/>
  <c r="AJ51" i="47"/>
  <c r="A189" i="61"/>
  <c r="H189" i="61" s="1"/>
  <c r="AI65" i="47"/>
  <c r="AI51" i="47"/>
  <c r="I197" i="61"/>
  <c r="AK46" i="47"/>
  <c r="A77" i="61"/>
  <c r="AJ57" i="47"/>
  <c r="A221" i="61"/>
  <c r="I221" i="61" s="1"/>
  <c r="A169" i="61"/>
  <c r="G169" i="61" s="1"/>
  <c r="AI47" i="47"/>
  <c r="AJ36" i="47"/>
  <c r="AK52" i="47"/>
  <c r="AJ43" i="47"/>
  <c r="A109" i="61"/>
  <c r="I109" i="61" s="1"/>
  <c r="A213" i="61"/>
  <c r="H213" i="61" s="1"/>
  <c r="AI34" i="47"/>
  <c r="H141" i="61"/>
  <c r="AK58" i="47"/>
  <c r="A65" i="61"/>
  <c r="G65" i="61" s="1"/>
  <c r="AI31" i="47"/>
  <c r="AK31" i="47"/>
  <c r="A193" i="61"/>
  <c r="AI39" i="47"/>
  <c r="I141" i="61"/>
  <c r="AJ44" i="47"/>
  <c r="A73" i="61"/>
  <c r="G73" i="61" s="1"/>
  <c r="A85" i="61"/>
  <c r="I85" i="61" s="1"/>
  <c r="AJ22" i="47"/>
  <c r="AI55" i="47"/>
  <c r="AJ58" i="47"/>
  <c r="AK39" i="47"/>
  <c r="A205" i="61"/>
  <c r="A45" i="61"/>
  <c r="H45" i="61" s="1"/>
  <c r="A49" i="61"/>
  <c r="H49" i="61" s="1"/>
  <c r="I165" i="61"/>
  <c r="AI28" i="47"/>
  <c r="AJ55" i="47"/>
  <c r="G25" i="61"/>
  <c r="G149" i="61"/>
  <c r="A89" i="61"/>
  <c r="G89" i="61" s="1"/>
  <c r="A145" i="61"/>
  <c r="G145" i="61" s="1"/>
  <c r="A33" i="61"/>
  <c r="G33" i="61" s="1"/>
  <c r="A181" i="61"/>
  <c r="H181" i="61" s="1"/>
  <c r="AI21" i="47"/>
  <c r="A225" i="61"/>
  <c r="G225" i="61" s="1"/>
  <c r="A117" i="61"/>
  <c r="AI61" i="47"/>
  <c r="AJ28" i="47"/>
  <c r="I149" i="61"/>
  <c r="AJ46" i="47"/>
  <c r="AK18" i="47"/>
  <c r="AK21" i="47"/>
  <c r="AK66" i="47"/>
  <c r="AI32" i="47"/>
  <c r="AJ18" i="47"/>
  <c r="AK48" i="47"/>
  <c r="AJ49" i="47"/>
  <c r="AI66" i="47"/>
  <c r="AJ32" i="47"/>
  <c r="A153" i="61"/>
  <c r="AJ48" i="47"/>
  <c r="A93" i="61"/>
  <c r="I185" i="61"/>
  <c r="AJ37" i="47"/>
  <c r="AK33" i="47"/>
  <c r="H185" i="61"/>
  <c r="AI37" i="47"/>
  <c r="AJ33" i="47"/>
  <c r="AI45" i="47"/>
  <c r="G105" i="61"/>
  <c r="H197" i="61"/>
  <c r="AI64" i="47"/>
  <c r="AJ65" i="47"/>
  <c r="H113" i="61"/>
  <c r="I57" i="61"/>
  <c r="H57" i="61"/>
  <c r="I129" i="61"/>
  <c r="G129" i="61"/>
  <c r="H129" i="61"/>
  <c r="AK42" i="47"/>
  <c r="I153" i="61"/>
  <c r="AJ20" i="47"/>
  <c r="AJ42" i="47"/>
  <c r="I29" i="61"/>
  <c r="I77" i="61"/>
  <c r="H29" i="61"/>
  <c r="AK20" i="47"/>
  <c r="AI42" i="47"/>
  <c r="H173" i="61"/>
  <c r="G173" i="61"/>
  <c r="AI52" i="47"/>
  <c r="AK29" i="47"/>
  <c r="A41" i="61"/>
  <c r="AJ24" i="47"/>
  <c r="A5" i="61"/>
  <c r="AI67" i="47"/>
  <c r="AJ11" i="47"/>
  <c r="A229" i="61"/>
  <c r="I105" i="61"/>
  <c r="I137" i="61"/>
  <c r="AK43" i="47"/>
  <c r="A13" i="61"/>
  <c r="G13" i="61" s="1"/>
  <c r="AK11" i="47"/>
  <c r="AI16" i="47"/>
  <c r="H137" i="61"/>
  <c r="A133" i="61"/>
  <c r="AJ67" i="47"/>
  <c r="AK35" i="47"/>
  <c r="AJ16" i="47"/>
  <c r="H165" i="61"/>
  <c r="AK24" i="47"/>
  <c r="AI35" i="47"/>
  <c r="AK19" i="47"/>
  <c r="A37" i="61"/>
  <c r="AJ19" i="47"/>
  <c r="AI19" i="47"/>
  <c r="H177" i="61"/>
  <c r="A101" i="61"/>
  <c r="G113" i="61"/>
  <c r="I25" i="61"/>
  <c r="I61" i="61"/>
  <c r="I161" i="61"/>
  <c r="H161" i="61"/>
  <c r="G161" i="61"/>
  <c r="I9" i="61"/>
  <c r="I217" i="61"/>
  <c r="G61" i="61"/>
  <c r="G217" i="61"/>
  <c r="G9" i="61"/>
  <c r="I53" i="61"/>
  <c r="I21" i="61"/>
  <c r="H209" i="61"/>
  <c r="I209" i="61"/>
  <c r="H53" i="61"/>
  <c r="G177" i="61"/>
  <c r="H21" i="61"/>
  <c r="H81" i="61"/>
  <c r="I169" i="61"/>
  <c r="H97" i="61"/>
  <c r="G97" i="61"/>
  <c r="I81" i="61"/>
  <c r="I17" i="61"/>
  <c r="H109" i="61"/>
  <c r="G17" i="61"/>
  <c r="AI50" i="47"/>
  <c r="AI13" i="47"/>
  <c r="AJ50" i="47"/>
  <c r="G109" i="61"/>
  <c r="G57" i="61"/>
  <c r="AJ13" i="47"/>
  <c r="AK50" i="47"/>
  <c r="AK60" i="47"/>
  <c r="AI60" i="47"/>
  <c r="A201" i="61"/>
  <c r="AJ60" i="47"/>
  <c r="H73" i="61" l="1"/>
  <c r="I181" i="61"/>
  <c r="H145" i="61"/>
  <c r="H169" i="61"/>
  <c r="G221" i="61"/>
  <c r="G189" i="61"/>
  <c r="I189" i="61"/>
  <c r="H89" i="61"/>
  <c r="G213" i="61"/>
  <c r="H221" i="61"/>
  <c r="G77" i="61"/>
  <c r="H77" i="61"/>
  <c r="H225" i="61"/>
  <c r="I213" i="61"/>
  <c r="I117" i="61"/>
  <c r="H117" i="61"/>
  <c r="G117" i="61"/>
  <c r="G93" i="61"/>
  <c r="I93" i="61"/>
  <c r="H93" i="61"/>
  <c r="H85" i="61"/>
  <c r="G85" i="61"/>
  <c r="I225" i="61"/>
  <c r="I45" i="61"/>
  <c r="G49" i="61"/>
  <c r="I49" i="61"/>
  <c r="I65" i="61"/>
  <c r="H33" i="61"/>
  <c r="I33" i="61"/>
  <c r="G205" i="61"/>
  <c r="H205" i="61"/>
  <c r="I205" i="61"/>
  <c r="H193" i="61"/>
  <c r="G193" i="61"/>
  <c r="I193" i="61"/>
  <c r="I145" i="61"/>
  <c r="G45" i="61"/>
  <c r="G181" i="61"/>
  <c r="I89" i="61"/>
  <c r="G153" i="61"/>
  <c r="H153" i="61"/>
  <c r="I73" i="61"/>
  <c r="H65" i="61"/>
  <c r="I229" i="61"/>
  <c r="H229" i="61"/>
  <c r="G229" i="61"/>
  <c r="H37" i="61"/>
  <c r="G37" i="61"/>
  <c r="I37" i="61"/>
  <c r="I41" i="61"/>
  <c r="G41" i="61"/>
  <c r="H41" i="61"/>
  <c r="I101" i="61"/>
  <c r="H101" i="61"/>
  <c r="H13" i="61"/>
  <c r="G101" i="61"/>
  <c r="I5" i="61"/>
  <c r="G5" i="61"/>
  <c r="H5" i="61"/>
  <c r="H133" i="61"/>
  <c r="I133" i="61"/>
  <c r="G133" i="61"/>
  <c r="I13" i="61"/>
  <c r="H201" i="61"/>
  <c r="I201" i="61"/>
  <c r="G201" i="6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Ing. Pavel Vlk</author>
  </authors>
  <commentList>
    <comment ref="J142" authorId="0" shapeId="0" xr:uid="{00000000-0006-0000-0000-000001000000}">
      <text>
        <r>
          <rPr>
            <b/>
            <sz val="8"/>
            <color indexed="81"/>
            <rFont val="Tahoma"/>
            <family val="2"/>
            <charset val="238"/>
          </rPr>
          <t xml:space="preserve">Příklad komentáře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Ing. Pavel Vlk</author>
  </authors>
  <commentList>
    <comment ref="C4" authorId="0" shapeId="0" xr:uid="{00000000-0006-0000-0200-000001000000}">
      <text>
        <r>
          <rPr>
            <b/>
            <u/>
            <sz val="10"/>
            <color indexed="81"/>
            <rFont val="Tahoma"/>
            <family val="2"/>
          </rPr>
          <t>Regiony:</t>
        </r>
        <r>
          <rPr>
            <b/>
            <sz val="10"/>
            <color indexed="81"/>
            <rFont val="Tahoma"/>
            <family val="2"/>
          </rPr>
          <t xml:space="preserve">
S - střed
Z - západ
V - východ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Ing. Pavel Vlk</author>
    <author>Ing. Pavel vlk</author>
  </authors>
  <commentList>
    <comment ref="R1" authorId="0" shapeId="0" xr:uid="{00000000-0006-0000-0500-000001000000}">
      <text>
        <r>
          <rPr>
            <b/>
            <sz val="8"/>
            <color indexed="81"/>
            <rFont val="Tahoma"/>
            <family val="2"/>
            <charset val="238"/>
          </rPr>
          <t>Je potřeba spočítat spuštěním makra na listu Kvalita turnaje</t>
        </r>
      </text>
    </comment>
    <comment ref="S1" authorId="0" shapeId="0" xr:uid="{00000000-0006-0000-0500-000002000000}">
      <text>
        <r>
          <rPr>
            <b/>
            <sz val="8"/>
            <color indexed="81"/>
            <rFont val="Tahoma"/>
            <family val="2"/>
            <charset val="238"/>
          </rPr>
          <t>Je potřeba spočítat spuštěním makra na listu Kvalita turnaje</t>
        </r>
      </text>
    </comment>
    <comment ref="X1" authorId="0" shapeId="0" xr:uid="{00000000-0006-0000-0500-000003000000}">
      <text>
        <r>
          <rPr>
            <b/>
            <u/>
            <sz val="8"/>
            <color indexed="81"/>
            <rFont val="Tahoma"/>
            <family val="2"/>
            <charset val="238"/>
          </rPr>
          <t>Nastavování kritérií:</t>
        </r>
        <r>
          <rPr>
            <b/>
            <sz val="8"/>
            <color indexed="81"/>
            <rFont val="Tahoma"/>
            <family val="2"/>
            <charset val="238"/>
          </rPr>
          <t xml:space="preserve">
Zde lze ovlivnit chování programu při </t>
        </r>
        <r>
          <rPr>
            <b/>
            <u/>
            <sz val="8"/>
            <color indexed="10"/>
            <rFont val="Tahoma"/>
            <family val="2"/>
            <charset val="238"/>
          </rPr>
          <t>řazení</t>
        </r>
        <r>
          <rPr>
            <b/>
            <sz val="8"/>
            <color indexed="81"/>
            <rFont val="Tahoma"/>
            <family val="2"/>
            <charset val="238"/>
          </rPr>
          <t xml:space="preserve"> týmů do </t>
        </r>
        <r>
          <rPr>
            <b/>
            <sz val="8"/>
            <color indexed="81"/>
            <rFont val="Tahoma"/>
            <family val="2"/>
            <charset val="238"/>
          </rPr>
          <t>pořadí za sebou</t>
        </r>
        <r>
          <rPr>
            <b/>
            <u/>
            <sz val="8"/>
            <color indexed="10"/>
            <rFont val="Tahoma"/>
            <family val="2"/>
            <charset val="238"/>
          </rPr>
          <t xml:space="preserve"> při výběru do pavouka KO</t>
        </r>
        <r>
          <rPr>
            <b/>
            <sz val="8"/>
            <color indexed="81"/>
            <rFont val="Tahoma"/>
            <family val="2"/>
            <charset val="238"/>
          </rPr>
          <t xml:space="preserve">.
Nejdříve se vždy řadí podle počtu výher.
Potom  se lze rozhodnout, jestli bude použit Bucholz a skóre nebo jen skóre (bez vyplnění=skóre).
Po kritériu skóre lze ještě zohledňovat výhry proti nasazeným týmům z 1.koše.
Klasický "švýcar" nasazuje do </t>
        </r>
        <r>
          <rPr>
            <b/>
            <u/>
            <sz val="8"/>
            <color indexed="10"/>
            <rFont val="Tahoma"/>
            <family val="2"/>
            <charset val="238"/>
          </rPr>
          <t>dalšího kola</t>
        </r>
        <r>
          <rPr>
            <b/>
            <sz val="8"/>
            <color indexed="81"/>
            <rFont val="Tahoma"/>
            <family val="2"/>
            <charset val="238"/>
          </rPr>
          <t xml:space="preserve"> podle:
1) počtu výher
2) rozdílu skóre
(dává stejně silné proti sobě, aby co nejrychleji zjistil nejlepšího).</t>
        </r>
      </text>
    </comment>
    <comment ref="M2" authorId="0" shapeId="0" xr:uid="{00000000-0006-0000-0500-000004000000}">
      <text>
        <r>
          <rPr>
            <b/>
            <sz val="8"/>
            <color indexed="81"/>
            <rFont val="Tahoma"/>
            <family val="2"/>
            <charset val="238"/>
          </rPr>
          <t>0 - Regional
P - Prestige
S - SuperPrestige
M - MČR
F - finále MČR</t>
        </r>
      </text>
    </comment>
    <comment ref="X2" authorId="0" shapeId="0" xr:uid="{00000000-0006-0000-0500-000005000000}">
      <text>
        <r>
          <rPr>
            <b/>
            <sz val="8"/>
            <color indexed="81"/>
            <rFont val="Tahoma"/>
            <family val="2"/>
            <charset val="238"/>
          </rPr>
          <t>Na kolik kol "švýcara" je turnaj vyhlášen.
Není povinné vyplňovat.
Pouze pro innformaci.</t>
        </r>
      </text>
    </comment>
    <comment ref="X3" authorId="0" shapeId="0" xr:uid="{00000000-0006-0000-0500-000006000000}">
      <text>
        <r>
          <rPr>
            <b/>
            <sz val="8"/>
            <color indexed="81"/>
            <rFont val="Tahoma"/>
            <family val="2"/>
            <charset val="238"/>
          </rPr>
          <t xml:space="preserve">Kritériem pro postup do pavouka je stanovený počet výher v základní části (seřazení týmů podle dalších uvedených kritérií).
Vede to obvykle na děravého pavouka.
Není povinné vyplňovat.
</t>
        </r>
      </text>
    </comment>
    <comment ref="R4" authorId="0" shapeId="0" xr:uid="{00000000-0006-0000-0500-000007000000}">
      <text>
        <r>
          <rPr>
            <b/>
            <sz val="8"/>
            <color indexed="81"/>
            <rFont val="Tahoma"/>
            <family val="2"/>
            <charset val="238"/>
          </rPr>
          <t>Počet kol turnaje pro výpočet POSTUPOVÝCH BODŮ</t>
        </r>
        <r>
          <rPr>
            <sz val="8"/>
            <color indexed="81"/>
            <rFont val="Tahoma"/>
            <family val="2"/>
            <charset val="238"/>
          </rPr>
          <t xml:space="preserve">
</t>
        </r>
      </text>
    </comment>
    <comment ref="X4" authorId="0" shapeId="0" xr:uid="{00000000-0006-0000-0500-000008000000}">
      <text>
        <r>
          <rPr>
            <b/>
            <sz val="8"/>
            <color indexed="81"/>
            <rFont val="Tahoma"/>
            <family val="2"/>
            <charset val="238"/>
          </rPr>
          <t>Kritériem pro postup do pavouka je stanovený počet týmů (v seřazení podle dalších uvedených kritérií).
Vede to obvykle (pokud je číslo 4,8,16,32,64) na kompletního (plného) pavouka.
Není povinné vyplňovat.</t>
        </r>
      </text>
    </comment>
    <comment ref="R5" authorId="0" shapeId="0" xr:uid="{00000000-0006-0000-0500-000009000000}">
      <text>
        <r>
          <rPr>
            <b/>
            <sz val="8"/>
            <color indexed="81"/>
            <rFont val="Tahoma"/>
            <family val="2"/>
            <charset val="238"/>
          </rPr>
          <t>Odhadovanou dobu na jeden zápas lze parametrizovat vpravo.</t>
        </r>
      </text>
    </comment>
    <comment ref="X5" authorId="0" shapeId="0" xr:uid="{00000000-0006-0000-0500-00000A000000}">
      <text>
        <r>
          <rPr>
            <b/>
            <sz val="8"/>
            <color indexed="81"/>
            <rFont val="Tahoma"/>
            <family val="2"/>
            <charset val="238"/>
          </rPr>
          <t>Parametr ovlivní kdo s kým bude hrát. Pokud tato volba není vybrána, losuje se mezi týmy se stejným počtem výher.
Klasický "švýcar" ale nasazuje do dalšího kola podle:
1) počtu výher
2) rozdílu skóre
(dává stejně silné proti sobě, aby co nejrychleji zjistil nejlepšího).
Uvádí se X nebo nic.</t>
        </r>
      </text>
    </comment>
    <comment ref="N6" authorId="0" shapeId="0" xr:uid="{00000000-0006-0000-0500-00000B000000}">
      <text>
        <r>
          <rPr>
            <b/>
            <sz val="8"/>
            <color indexed="81"/>
            <rFont val="Tahoma"/>
            <family val="2"/>
            <charset val="238"/>
          </rPr>
          <t>Počet skupin se dopočte na základě hodnoty (viz buňka pod)</t>
        </r>
      </text>
    </comment>
    <comment ref="X6" authorId="0" shapeId="0" xr:uid="{00000000-0006-0000-0500-00000C000000}">
      <text>
        <r>
          <rPr>
            <b/>
            <sz val="8"/>
            <color indexed="81"/>
            <rFont val="Tahoma"/>
            <family val="2"/>
            <charset val="238"/>
          </rPr>
          <t>Bucholzův koeficient zohledňuje počty výher soupeřů.
Uvádí se X nebo nic.
Není povinné vyplňovat.</t>
        </r>
      </text>
    </comment>
    <comment ref="N7" authorId="0" shapeId="0" xr:uid="{00000000-0006-0000-0500-00000D000000}">
      <text>
        <r>
          <rPr>
            <b/>
            <sz val="8"/>
            <color indexed="81"/>
            <rFont val="Tahoma"/>
            <family val="2"/>
            <charset val="238"/>
          </rPr>
          <t xml:space="preserve">Počet skupin lze nastavit ručně 
</t>
        </r>
        <r>
          <rPr>
            <b/>
            <i/>
            <sz val="8"/>
            <color indexed="10"/>
            <rFont val="Tahoma"/>
            <family val="2"/>
            <charset val="238"/>
          </rPr>
          <t>(pokud nevyhovuje přednastavené)</t>
        </r>
        <r>
          <rPr>
            <b/>
            <i/>
            <sz val="8"/>
            <color indexed="81"/>
            <rFont val="Tahoma"/>
            <family val="2"/>
            <charset val="238"/>
          </rPr>
          <t xml:space="preserve">
</t>
        </r>
        <r>
          <rPr>
            <b/>
            <sz val="8"/>
            <color indexed="81"/>
            <rFont val="Tahoma"/>
            <family val="2"/>
            <charset val="238"/>
          </rPr>
          <t xml:space="preserve">(počet skupin v buňce nad se dopočte)
</t>
        </r>
      </text>
    </comment>
    <comment ref="X7" authorId="0" shapeId="0" xr:uid="{00000000-0006-0000-0500-00000E000000}">
      <text>
        <r>
          <rPr>
            <b/>
            <u/>
            <sz val="8"/>
            <color indexed="81"/>
            <rFont val="Tahoma"/>
            <family val="2"/>
            <charset val="238"/>
          </rPr>
          <t xml:space="preserve">Typy:
</t>
        </r>
        <r>
          <rPr>
            <b/>
            <sz val="8"/>
            <color indexed="81"/>
            <rFont val="Tahoma"/>
            <family val="2"/>
            <charset val="238"/>
          </rPr>
          <t xml:space="preserve">1 - všechny výhry soupeřů
2 - výhry soupeřů soupeřů
3 - výhry poražených soupeřů
Uvádí se 1, 2 nebo 3.
Přednastaveno je 2.
Vyplňuje se jen když se hraje Bucholz.
Ad  3 - výhry poražených soupeřů - sloupce jsou momentálně skryté, tento typ Bucholze se u nás nepoužívá
</t>
        </r>
      </text>
    </comment>
    <comment ref="X8" authorId="0" shapeId="0" xr:uid="{00000000-0006-0000-0500-00000F000000}">
      <text>
        <r>
          <rPr>
            <b/>
            <sz val="8"/>
            <color indexed="81"/>
            <rFont val="Tahoma"/>
            <family val="2"/>
            <charset val="238"/>
          </rPr>
          <t>Po skóre se navíc počítá s výhrami nad soupeřem z koše nasazených pro 1. kolo.
Uvádí se X nebo nic.</t>
        </r>
      </text>
    </comment>
    <comment ref="AI8" authorId="0" shapeId="0" xr:uid="{00000000-0006-0000-0500-000010000000}">
      <text>
        <r>
          <rPr>
            <b/>
            <sz val="8"/>
            <color indexed="81"/>
            <rFont val="Tahoma"/>
            <family val="2"/>
            <charset val="238"/>
          </rPr>
          <t>Cizinec se pozná, že má licenci, která ale není v matrice</t>
        </r>
      </text>
    </comment>
    <comment ref="A9" authorId="0" shapeId="0" xr:uid="{00000000-0006-0000-0500-000011000000}">
      <text>
        <r>
          <rPr>
            <b/>
            <sz val="8"/>
            <color indexed="81"/>
            <rFont val="Tahoma"/>
            <family val="2"/>
            <charset val="238"/>
          </rPr>
          <t>Počet řádek v listu Internet kde nejsou týmy hráčů/ včetně záhlaví  (=hlavička turnaje)</t>
        </r>
        <r>
          <rPr>
            <sz val="8"/>
            <color indexed="81"/>
            <rFont val="Tahoma"/>
            <family val="2"/>
            <charset val="238"/>
          </rPr>
          <t xml:space="preserve">
</t>
        </r>
      </text>
    </comment>
    <comment ref="Y9" authorId="0" shapeId="0" xr:uid="{00000000-0006-0000-0500-000012000000}">
      <text>
        <r>
          <rPr>
            <b/>
            <sz val="8"/>
            <color indexed="81"/>
            <rFont val="Tahoma"/>
            <family val="2"/>
            <charset val="238"/>
          </rPr>
          <t>Když zde nic není, tak se v názvu týmu neobjeví číslo nasazení.</t>
        </r>
      </text>
    </comment>
    <comment ref="AI9" authorId="0" shapeId="0" xr:uid="{00000000-0006-0000-0500-000013000000}">
      <text>
        <r>
          <rPr>
            <b/>
            <sz val="8"/>
            <color indexed="81"/>
            <rFont val="Tahoma"/>
            <family val="2"/>
            <charset val="238"/>
          </rPr>
          <t xml:space="preserve">Tým cizinců musí být jen z cizinců </t>
        </r>
      </text>
    </comment>
    <comment ref="G10" authorId="0" shapeId="0" xr:uid="{00000000-0006-0000-0500-000014000000}">
      <text>
        <r>
          <rPr>
            <b/>
            <u/>
            <sz val="10"/>
            <color indexed="81"/>
            <rFont val="Tahoma"/>
            <family val="2"/>
          </rPr>
          <t>Kontrola správnosti.</t>
        </r>
        <r>
          <rPr>
            <sz val="10"/>
            <color indexed="81"/>
            <rFont val="Tahoma"/>
            <family val="2"/>
          </rPr>
          <t xml:space="preserve">
Provádí se kontrola, že v týmu je správný počet hráčů - tak, jak je uvedeno v Termínové listině (viz buňka K6). 
Kontrolují se duplicity čísel licencí, příjmení neskí zařínat mezerou.
Pokud tým z tohoto hledika není OK, pole je červené. 
Červené jsou i řádky prázdné.
</t>
        </r>
        <r>
          <rPr>
            <b/>
            <u/>
            <sz val="10"/>
            <color indexed="81"/>
            <rFont val="Tahoma"/>
            <family val="2"/>
          </rPr>
          <t>POZOR:</t>
        </r>
        <r>
          <rPr>
            <sz val="10"/>
            <color indexed="81"/>
            <rFont val="Tahoma"/>
            <family val="2"/>
          </rPr>
          <t xml:space="preserve"> k týmům, které nejsou OK se chováme jako by nebyly!!!</t>
        </r>
      </text>
    </comment>
    <comment ref="H10" authorId="0" shapeId="0" xr:uid="{00000000-0006-0000-0500-000015000000}">
      <text>
        <r>
          <rPr>
            <b/>
            <sz val="8"/>
            <color indexed="81"/>
            <rFont val="Tahoma"/>
            <family val="2"/>
            <charset val="238"/>
          </rPr>
          <t>Pořadí nasazení týmu do turnaje (povinně se nasazují dva týmy do skupiny)</t>
        </r>
      </text>
    </comment>
    <comment ref="I10" authorId="0" shapeId="0" xr:uid="{00000000-0006-0000-0500-00001600000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J10" authorId="0" shapeId="0" xr:uid="{00000000-0006-0000-0500-00001700000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K10" authorId="0" shapeId="0" xr:uid="{00000000-0006-0000-0500-00001800000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L10" authorId="0" shapeId="0" xr:uid="{00000000-0006-0000-0500-000019000000}">
      <text>
        <r>
          <rPr>
            <sz val="10"/>
            <color indexed="81"/>
            <rFont val="Tahoma"/>
            <family val="2"/>
          </rPr>
          <t xml:space="preserve">Název mateřského klubu hráče - viz Seznam klubů ČAPEK (doplní se automaticky, pokud má hráč licenci) </t>
        </r>
      </text>
    </comment>
    <comment ref="M10" authorId="0" shapeId="0" xr:uid="{00000000-0006-0000-0500-00001A000000}">
      <text>
        <r>
          <rPr>
            <sz val="10"/>
            <color indexed="81"/>
            <rFont val="Tahoma"/>
            <family val="2"/>
          </rPr>
          <t>Pořadí hráče na aktuálním žebříčku ČAPEK (doplní se automaticky)</t>
        </r>
      </text>
    </comment>
    <comment ref="N10" authorId="0" shapeId="0" xr:uid="{00000000-0006-0000-0500-00001B000000}">
      <text>
        <r>
          <rPr>
            <sz val="10"/>
            <color indexed="81"/>
            <rFont val="Tahoma"/>
            <family val="2"/>
          </rPr>
          <t>BH hráče z  aktuálního žebříčku ČAPEK (doplní se automaticky)</t>
        </r>
      </text>
    </comment>
    <comment ref="O10" authorId="0" shapeId="0" xr:uid="{00000000-0006-0000-0500-00001C00000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P10" authorId="0" shapeId="0" xr:uid="{00000000-0006-0000-0500-00001D00000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Q10" authorId="0" shapeId="0" xr:uid="{00000000-0006-0000-0500-00001E00000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R10" authorId="0" shapeId="0" xr:uid="{00000000-0006-0000-0500-00001F000000}">
      <text>
        <r>
          <rPr>
            <sz val="10"/>
            <color indexed="81"/>
            <rFont val="Tahoma"/>
            <family val="2"/>
          </rPr>
          <t xml:space="preserve">Název mateřského klubu hráče - viz Seznam klubů ČAPEK (doplní se automaticky, pokud má hráč licenci) </t>
        </r>
      </text>
    </comment>
    <comment ref="S10" authorId="0" shapeId="0" xr:uid="{00000000-0006-0000-0500-000020000000}">
      <text>
        <r>
          <rPr>
            <sz val="10"/>
            <color indexed="81"/>
            <rFont val="Tahoma"/>
            <family val="2"/>
          </rPr>
          <t>Pořadí hráče na aktuálním žebříčku ČAPEK (doplní se automaticky)</t>
        </r>
      </text>
    </comment>
    <comment ref="T10" authorId="0" shapeId="0" xr:uid="{00000000-0006-0000-0500-000021000000}">
      <text>
        <r>
          <rPr>
            <sz val="10"/>
            <color indexed="81"/>
            <rFont val="Tahoma"/>
            <family val="2"/>
          </rPr>
          <t>BH hráče z  aktuálního žebříčku ČAPEK (doplní se automaticky)</t>
        </r>
      </text>
    </comment>
    <comment ref="U10" authorId="0" shapeId="0" xr:uid="{00000000-0006-0000-0500-00002200000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V10" authorId="0" shapeId="0" xr:uid="{00000000-0006-0000-0500-00002300000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W10" authorId="0" shapeId="0" xr:uid="{00000000-0006-0000-0500-00002400000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X10" authorId="0" shapeId="0" xr:uid="{00000000-0006-0000-0500-000025000000}">
      <text>
        <r>
          <rPr>
            <sz val="10"/>
            <color indexed="81"/>
            <rFont val="Tahoma"/>
            <family val="2"/>
          </rPr>
          <t xml:space="preserve">Název mateřského klubu hráče - viz Seznam klubů ČAPEK (doplní se automaticky, pokud má hráč licenci) </t>
        </r>
      </text>
    </comment>
    <comment ref="Y10" authorId="0" shapeId="0" xr:uid="{00000000-0006-0000-0500-000026000000}">
      <text>
        <r>
          <rPr>
            <sz val="10"/>
            <color indexed="81"/>
            <rFont val="Tahoma"/>
            <family val="2"/>
          </rPr>
          <t>Pořadí hráče na aktuálním žebříčku ČAPEK (doplní se automaticky)</t>
        </r>
      </text>
    </comment>
    <comment ref="Z10" authorId="0" shapeId="0" xr:uid="{00000000-0006-0000-0500-000027000000}">
      <text>
        <r>
          <rPr>
            <sz val="10"/>
            <color indexed="81"/>
            <rFont val="Tahoma"/>
            <family val="2"/>
          </rPr>
          <t>BH hráče z  aktuálního žebříčku ČAPEK (doplní se automaticky)</t>
        </r>
      </text>
    </comment>
    <comment ref="AA10" authorId="0" shapeId="0" xr:uid="{00000000-0006-0000-0500-00002800000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AB10" authorId="0" shapeId="0" xr:uid="{00000000-0006-0000-0500-00002900000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AC10" authorId="0" shapeId="0" xr:uid="{00000000-0006-0000-0500-00002A00000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AD10" authorId="0" shapeId="0" xr:uid="{00000000-0006-0000-0500-00002B000000}">
      <text>
        <r>
          <rPr>
            <sz val="10"/>
            <color indexed="81"/>
            <rFont val="Tahoma"/>
            <family val="2"/>
          </rPr>
          <t xml:space="preserve">Název mateřského klubu hráče - viz Seznam klubů ČAPEK (doplní se automaticky, pokud má hráč licenci) </t>
        </r>
      </text>
    </comment>
    <comment ref="AE10" authorId="0" shapeId="0" xr:uid="{00000000-0006-0000-0500-00002C000000}">
      <text>
        <r>
          <rPr>
            <sz val="10"/>
            <color indexed="81"/>
            <rFont val="Tahoma"/>
            <family val="2"/>
          </rPr>
          <t>Pořadí hráče na aktuálním žebříčku ČAPEK (doplní se automaticky)</t>
        </r>
      </text>
    </comment>
    <comment ref="AF10" authorId="0" shapeId="0" xr:uid="{00000000-0006-0000-0500-00002D000000}">
      <text>
        <r>
          <rPr>
            <sz val="10"/>
            <color indexed="81"/>
            <rFont val="Tahoma"/>
            <family val="2"/>
          </rPr>
          <t>BH hráče z  aktuálního žebříčku ČAPEK (doplní se automaticky)</t>
        </r>
      </text>
    </comment>
    <comment ref="AI10" authorId="0" shapeId="0" xr:uid="{00000000-0006-0000-0500-00002E000000}">
      <text>
        <r>
          <rPr>
            <b/>
            <sz val="8"/>
            <color indexed="81"/>
            <rFont val="Tahoma"/>
            <family val="2"/>
            <charset val="238"/>
          </rPr>
          <t>Body za turnaj:
=postupové body * kvalita turnaje +bonus</t>
        </r>
      </text>
    </comment>
    <comment ref="AJ10" authorId="0" shapeId="0" xr:uid="{00000000-0006-0000-0500-00002F000000}">
      <text>
        <r>
          <rPr>
            <b/>
            <sz val="8"/>
            <color indexed="81"/>
            <rFont val="Tahoma"/>
            <family val="2"/>
            <charset val="238"/>
          </rPr>
          <t xml:space="preserve">Bonus body za turnaj </t>
        </r>
        <r>
          <rPr>
            <sz val="8"/>
            <color indexed="81"/>
            <rFont val="Tahoma"/>
            <family val="2"/>
            <charset val="238"/>
          </rPr>
          <t xml:space="preserve">
</t>
        </r>
        <r>
          <rPr>
            <b/>
            <sz val="8"/>
            <color indexed="81"/>
            <rFont val="Tahoma"/>
            <family val="2"/>
            <charset val="238"/>
          </rPr>
          <t>(viz třída turnaje)</t>
        </r>
      </text>
    </comment>
    <comment ref="AK10" authorId="0" shapeId="0" xr:uid="{00000000-0006-0000-0500-000030000000}">
      <text>
        <r>
          <rPr>
            <b/>
            <sz val="8"/>
            <color indexed="81"/>
            <rFont val="Tahoma"/>
            <family val="2"/>
            <charset val="238"/>
          </rPr>
          <t>Postupové body v turnaji</t>
        </r>
      </text>
    </comment>
    <comment ref="AL10" authorId="1" shapeId="0" xr:uid="{00000000-0006-0000-0500-000031000000}">
      <text>
        <r>
          <rPr>
            <b/>
            <sz val="8"/>
            <color indexed="81"/>
            <rFont val="Tahoma"/>
            <family val="2"/>
            <charset val="238"/>
          </rPr>
          <t>Název týmu (nepovinný)</t>
        </r>
      </text>
    </comment>
    <comment ref="AT10" authorId="0" shapeId="0" xr:uid="{00000000-0006-0000-0500-000032000000}">
      <text>
        <r>
          <rPr>
            <b/>
            <sz val="8"/>
            <color indexed="81"/>
            <rFont val="Tahoma"/>
            <family val="2"/>
            <charset val="238"/>
          </rPr>
          <t xml:space="preserve">Tým cizinců musí být jen z cizinců </t>
        </r>
      </text>
    </comment>
    <comment ref="AU10" authorId="0" shapeId="0" xr:uid="{00000000-0006-0000-0500-000033000000}">
      <text>
        <r>
          <rPr>
            <b/>
            <sz val="8"/>
            <color indexed="81"/>
            <rFont val="Tahoma"/>
            <family val="2"/>
            <charset val="238"/>
          </rPr>
          <t>Cizinec se pozná, že má licenci, která ale není v matrice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Ing. Pavel Vlk</author>
  </authors>
  <commentList>
    <comment ref="AE1" authorId="0" shapeId="0" xr:uid="{00000000-0006-0000-0800-000001000000}">
      <text>
        <r>
          <rPr>
            <b/>
            <sz val="8"/>
            <color indexed="81"/>
            <rFont val="Tahoma"/>
            <family val="2"/>
            <charset val="238"/>
          </rPr>
          <t>Jestli je vše OK (neduplicitní zápasy) ve všech kolech</t>
        </r>
        <r>
          <rPr>
            <sz val="8"/>
            <color indexed="81"/>
            <rFont val="Tahoma"/>
            <family val="2"/>
            <charset val="238"/>
          </rPr>
          <t xml:space="preserve">
</t>
        </r>
      </text>
    </comment>
    <comment ref="Y2" authorId="0" shapeId="0" xr:uid="{00000000-0006-0000-0800-000002000000}">
      <text>
        <r>
          <rPr>
            <b/>
            <sz val="8"/>
            <color indexed="81"/>
            <rFont val="Tahoma"/>
            <family val="2"/>
            <charset val="238"/>
          </rPr>
          <t>Počet výher k týmu ze sloupce V</t>
        </r>
      </text>
    </comment>
    <comment ref="AV2" authorId="0" shapeId="0" xr:uid="{00000000-0006-0000-0800-000003000000}">
      <text>
        <r>
          <rPr>
            <b/>
            <sz val="8"/>
            <color indexed="81"/>
            <rFont val="Tahoma"/>
            <family val="2"/>
            <charset val="238"/>
          </rPr>
          <t>Příznak zda je losování úspěšné (neopakují se soupeři)</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Ing. Pavel Vlk</author>
  </authors>
  <commentList>
    <comment ref="F1" authorId="0" shapeId="0" xr:uid="{00000000-0006-0000-0900-000001000000}">
      <text>
        <r>
          <rPr>
            <b/>
            <sz val="8"/>
            <color indexed="81"/>
            <rFont val="Tahoma"/>
            <family val="2"/>
            <charset val="238"/>
          </rPr>
          <t xml:space="preserve">Kvalita turnaje =
průměr síly 16-ti nejlepších hráčů
</t>
        </r>
      </text>
    </comment>
    <comment ref="F3" authorId="0" shapeId="0" xr:uid="{00000000-0006-0000-0900-000002000000}">
      <text>
        <r>
          <rPr>
            <b/>
            <sz val="8"/>
            <color indexed="81"/>
            <rFont val="Tahoma"/>
            <family val="2"/>
            <charset val="238"/>
          </rPr>
          <t>Součet síly 16-ti nejlepších hráčů na turnaji (po stisku tlačítka Vypočti KVALITU turnaje)</t>
        </r>
      </text>
    </comment>
    <comment ref="A4" authorId="0" shapeId="0" xr:uid="{00000000-0006-0000-0900-000003000000}">
      <text>
        <r>
          <rPr>
            <sz val="8"/>
            <color indexed="81"/>
            <rFont val="Tahoma"/>
            <family val="2"/>
            <charset val="238"/>
          </rPr>
          <t>Číslo hráčské licence / prázdné</t>
        </r>
      </text>
    </comment>
    <comment ref="B4" authorId="0" shapeId="0" xr:uid="{00000000-0006-0000-0900-000004000000}">
      <text>
        <r>
          <rPr>
            <sz val="8"/>
            <color indexed="81"/>
            <rFont val="Tahoma"/>
            <family val="2"/>
            <charset val="238"/>
          </rPr>
          <t>Příjmení hráče</t>
        </r>
      </text>
    </comment>
    <comment ref="C4" authorId="0" shapeId="0" xr:uid="{00000000-0006-0000-0900-000005000000}">
      <text>
        <r>
          <rPr>
            <sz val="8"/>
            <color indexed="81"/>
            <rFont val="Tahoma"/>
            <family val="2"/>
            <charset val="238"/>
          </rPr>
          <t>Jméno hráče (s případným rozlišením ml., st.)</t>
        </r>
      </text>
    </comment>
    <comment ref="D4" authorId="0" shapeId="0" xr:uid="{00000000-0006-0000-0900-000006000000}">
      <text>
        <r>
          <rPr>
            <sz val="8"/>
            <color indexed="81"/>
            <rFont val="Tahoma"/>
            <family val="2"/>
            <charset val="238"/>
          </rPr>
          <t>Název klubu (viz Seznam klubů)</t>
        </r>
      </text>
    </comment>
    <comment ref="E4" authorId="0" shapeId="0" xr:uid="{00000000-0006-0000-0900-000007000000}">
      <text>
        <r>
          <rPr>
            <sz val="8"/>
            <color indexed="81"/>
            <rFont val="Tahoma"/>
            <family val="2"/>
            <charset val="238"/>
          </rPr>
          <t>Pořadí na žebříčku</t>
        </r>
      </text>
    </comment>
    <comment ref="F4" authorId="0" shapeId="0" xr:uid="{00000000-0006-0000-0900-000008000000}">
      <text>
        <r>
          <rPr>
            <sz val="8"/>
            <color indexed="81"/>
            <rFont val="Tahoma"/>
            <family val="2"/>
            <charset val="238"/>
          </rPr>
          <t>Síla hráče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Ing. Pavel Vlk</author>
  </authors>
  <commentList>
    <comment ref="C1" authorId="0" shapeId="0" xr:uid="{00000000-0006-0000-0A00-000001000000}">
      <text>
        <r>
          <rPr>
            <b/>
            <sz val="10"/>
            <color indexed="81"/>
            <rFont val="Tahoma"/>
            <family val="2"/>
          </rPr>
          <t>Pro sudý počet skupin se ve druhé polovině postupujících obrací sudý s lichým. 
Důvodem je, aby se nepotkaly týmy ze stejné skupiny ve stejné větvi pavouka.</t>
        </r>
      </text>
    </comment>
    <comment ref="F1" authorId="0" shapeId="0" xr:uid="{00000000-0006-0000-0A00-000002000000}">
      <text>
        <r>
          <rPr>
            <b/>
            <sz val="10"/>
            <color indexed="81"/>
            <rFont val="Tahoma"/>
            <family val="2"/>
          </rPr>
          <t>Příznak, že se má obrátit sudý s lichým ve druhé polovině postupujících (z důvodu, aby se nepotkaly stejné týmy ze skupin ve stejné větvi pavouka)</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Ing. Pavel Vlk</author>
  </authors>
  <commentList>
    <comment ref="K1" authorId="0" shapeId="0" xr:uid="{00000000-0006-0000-1A00-000001000000}">
      <text>
        <r>
          <rPr>
            <b/>
            <sz val="8"/>
            <color indexed="81"/>
            <rFont val="Tahoma"/>
            <family val="2"/>
            <charset val="238"/>
          </rPr>
          <t>Je potřeba spočítat spuštěním makra na listu Kvalita turnaje</t>
        </r>
      </text>
    </comment>
    <comment ref="L1" authorId="0" shapeId="0" xr:uid="{00000000-0006-0000-1A00-000002000000}">
      <text>
        <r>
          <rPr>
            <b/>
            <sz val="8"/>
            <color indexed="81"/>
            <rFont val="Tahoma"/>
            <family val="2"/>
            <charset val="238"/>
          </rPr>
          <t>Je potřeba spočítat spuštěním makra na listu Kvalita turnaje</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Ing. Pavel Vlk</author>
  </authors>
  <commentList>
    <comment ref="A4" authorId="0" shapeId="0" xr:uid="{00000000-0006-0000-1E00-000001000000}">
      <text>
        <r>
          <rPr>
            <b/>
            <sz val="8"/>
            <color indexed="81"/>
            <rFont val="Tahoma"/>
            <family val="2"/>
            <charset val="238"/>
          </rPr>
          <t>tento údaj určuje pořadí týmu v turnaji - pozor na přesné vyplnění, aby nedošlo k omylům!!!</t>
        </r>
      </text>
    </comment>
    <comment ref="B4" authorId="0" shapeId="0" xr:uid="{00000000-0006-0000-1E00-000002000000}">
      <text>
        <r>
          <rPr>
            <sz val="8"/>
            <color indexed="81"/>
            <rFont val="Tahoma"/>
            <family val="2"/>
            <charset val="238"/>
          </rPr>
          <t>Číslo hráčské licence / prázdné</t>
        </r>
      </text>
    </comment>
    <comment ref="C4" authorId="0" shapeId="0" xr:uid="{00000000-0006-0000-1E00-000003000000}">
      <text>
        <r>
          <rPr>
            <sz val="8"/>
            <color indexed="81"/>
            <rFont val="Tahoma"/>
            <family val="2"/>
            <charset val="238"/>
          </rPr>
          <t>Příjmení hráče</t>
        </r>
      </text>
    </comment>
    <comment ref="D4" authorId="0" shapeId="0" xr:uid="{00000000-0006-0000-1E00-000004000000}">
      <text>
        <r>
          <rPr>
            <sz val="8"/>
            <color indexed="81"/>
            <rFont val="Tahoma"/>
            <family val="2"/>
            <charset val="238"/>
          </rPr>
          <t>Jméno hráče (s případným rozlišením ml., st.)</t>
        </r>
      </text>
    </comment>
    <comment ref="E4" authorId="0" shapeId="0" xr:uid="{00000000-0006-0000-1E00-000005000000}">
      <text>
        <r>
          <rPr>
            <sz val="8"/>
            <color indexed="81"/>
            <rFont val="Tahoma"/>
            <family val="2"/>
            <charset val="238"/>
          </rPr>
          <t>Název klubu (viz Seznam klubů)</t>
        </r>
      </text>
    </comment>
    <comment ref="F4" authorId="0" shapeId="0" xr:uid="{00000000-0006-0000-1E00-000006000000}">
      <text>
        <r>
          <rPr>
            <b/>
            <sz val="10"/>
            <color indexed="81"/>
            <rFont val="Tahoma"/>
            <family val="2"/>
          </rPr>
          <t>Cizinci se již nesledují</t>
        </r>
      </text>
    </comment>
    <comment ref="G4" authorId="0" shapeId="0" xr:uid="{00000000-0006-0000-1E00-000007000000}">
      <text>
        <r>
          <rPr>
            <sz val="10"/>
            <color indexed="81"/>
            <rFont val="Tahoma"/>
            <family val="2"/>
          </rPr>
          <t xml:space="preserve">Bonus za třídu turnaje </t>
        </r>
      </text>
    </comment>
    <comment ref="H4" authorId="0" shapeId="0" xr:uid="{00000000-0006-0000-1E00-000008000000}">
      <text>
        <r>
          <rPr>
            <sz val="10"/>
            <color indexed="81"/>
            <rFont val="Tahoma"/>
            <family val="2"/>
          </rPr>
          <t>Body za umístění</t>
        </r>
      </text>
    </comment>
    <comment ref="I4" authorId="0" shapeId="0" xr:uid="{00000000-0006-0000-1E00-000009000000}">
      <text>
        <r>
          <rPr>
            <sz val="10"/>
            <color indexed="81"/>
            <rFont val="Tahoma"/>
            <family val="2"/>
          </rPr>
          <t>Postupové body za umístění</t>
        </r>
      </text>
    </comment>
  </commentList>
</comments>
</file>

<file path=xl/sharedStrings.xml><?xml version="1.0" encoding="utf-8"?>
<sst xmlns="http://schemas.openxmlformats.org/spreadsheetml/2006/main" count="5503" uniqueCount="1870">
  <si>
    <t>INSTRUKCE</t>
  </si>
  <si>
    <t>"hra Švýcarským způsobem"</t>
  </si>
  <si>
    <t xml:space="preserve">Tento program je vytvořen pro </t>
  </si>
  <si>
    <r>
      <t>vedení celého turnaje (až do konce), kterého se zúčastní až</t>
    </r>
    <r>
      <rPr>
        <b/>
        <sz val="8"/>
        <color indexed="56"/>
        <rFont val="Comic Sans MS"/>
        <family val="4"/>
        <charset val="238"/>
      </rPr>
      <t xml:space="preserve"> </t>
    </r>
    <r>
      <rPr>
        <b/>
        <sz val="12"/>
        <color indexed="56"/>
        <rFont val="Comic Sans MS"/>
        <family val="4"/>
        <charset val="238"/>
      </rPr>
      <t>128 týmů</t>
    </r>
    <r>
      <rPr>
        <b/>
        <sz val="8"/>
        <color indexed="10"/>
        <rFont val="Comic Sans MS"/>
        <family val="4"/>
        <charset val="238"/>
      </rPr>
      <t xml:space="preserve"> </t>
    </r>
  </si>
  <si>
    <t>hrou "švýcarským způsobem" a dále pak KO</t>
  </si>
  <si>
    <t>a předání výsledků turnaje v předepsané elektronické podobě</t>
  </si>
  <si>
    <t>Program automaticky vytváří záložní kopie (ve chvíli, kdy se stiskne tlačítko Nasadit nebo Nalosovat KOLO)</t>
  </si>
  <si>
    <t>Nebo lze zálohovat stiskem tlačítka Zálohování souboru na listu Start.listina.</t>
  </si>
  <si>
    <t>Program pro vedení turnaje je možné parametrizovat, pokud přednastavené hodnoty nevyhovují.</t>
  </si>
  <si>
    <t>V kombinaci s přihláškami na internetu máte v ruce nástroj, který významně pomáhá pořadatelům.</t>
  </si>
  <si>
    <t xml:space="preserve">Program přináší možnost </t>
  </si>
  <si>
    <t xml:space="preserve"> - připravit si snadno předem prezenci do turnaje na základě přihlášek na internetu</t>
  </si>
  <si>
    <t xml:space="preserve"> - rychle a přesně zjistit okamžité nasazení do turnaje</t>
  </si>
  <si>
    <t xml:space="preserve"> - správně přejít do pavouka KO</t>
  </si>
  <si>
    <t xml:space="preserve"> - při přechodu ze švýcara do pavouka dává k dipsozici přehledné mezivýsledky</t>
  </si>
  <si>
    <t xml:space="preserve"> - mít okamžitě hotové výsledky turnaje v předepsané podobě</t>
  </si>
  <si>
    <t>*</t>
  </si>
  <si>
    <t>Je připravena varianta programu pro hru na "Dvě prohry" ve 3-4 členných skupinách (Turnaj2P.xls)</t>
  </si>
  <si>
    <t>Je připravena varianta programu pro hru na "Každý s každým" ve 3-6 členných skupinách (TurnajKK.xls)</t>
  </si>
  <si>
    <t>Údaje se vyplňují do listů: Start.listina, 1.kolo …6.kolo, KO.., Dohrávka_5-8 a Dohrávka_9-16</t>
  </si>
  <si>
    <t>Vyplňují se</t>
  </si>
  <si>
    <t>Žlutá pole</t>
  </si>
  <si>
    <t>(lze vyplnit i čísla hřišť v 1.kolo…6.kolo)</t>
  </si>
  <si>
    <t xml:space="preserve">Obsah ostatních polí a listů (včetně skrytých) je automaticky aktualizován programem a pro uživatele je uzamčen !  </t>
  </si>
  <si>
    <t>Využití programu, pokud chcete pouze předat výsledky (turnaj je veden ručně):</t>
  </si>
  <si>
    <t>1)</t>
  </si>
  <si>
    <r>
      <t xml:space="preserve">pracuje se jen s listem </t>
    </r>
    <r>
      <rPr>
        <b/>
        <sz val="8"/>
        <rFont val="Comic Sans MS"/>
        <family val="4"/>
        <charset val="238"/>
      </rPr>
      <t>Start.listina</t>
    </r>
    <r>
      <rPr>
        <sz val="8"/>
        <rFont val="Comic Sans MS"/>
        <family val="4"/>
      </rPr>
      <t>. Startovní listina je zároveň Výsledkovou listinou</t>
    </r>
  </si>
  <si>
    <t>2)</t>
  </si>
  <si>
    <t>musí se vyplnit Start.listina - pokyny jsou uvedeny níže (musí zde být uvedeny všechny týmy, přihlášené do turnaje)</t>
  </si>
  <si>
    <t xml:space="preserve">3) </t>
  </si>
  <si>
    <t xml:space="preserve">výsledné pořadí jednotlivých týmů se zapíše do listu Start.listina do kolonky Konečné pořadí (je vpravo na konci) </t>
  </si>
  <si>
    <t>(přepíše se vzoreček číslem, vyjadřujícím výsledné pořadí, neuvádí se tečky za číslicí !!!)</t>
  </si>
  <si>
    <t>i) předání výsledků turnaje se provádí nahráním tohoto vyplněného souboru na internet na www stránkách ČAPEK</t>
  </si>
  <si>
    <t>(viz tlačítko Žebříčky hráčů a volba Předávání výsledků turnaje)</t>
  </si>
  <si>
    <t>soubor s výsledky je třeba pojmenovat vysledkyxxxxx.XLS (xxx je číslo turnaje), jinak nelze výsledky automaticky zpracovat (nerozpozná se)</t>
  </si>
  <si>
    <t>Prosíme zasílejte soubor pokud možno v komprimované podobě (z důvodu velikosti)!</t>
  </si>
  <si>
    <t xml:space="preserve">Chronologický postup práce při vedení celého turnaje je následující: </t>
  </si>
  <si>
    <r>
      <t xml:space="preserve">a) vyplnění </t>
    </r>
    <r>
      <rPr>
        <b/>
        <sz val="8"/>
        <rFont val="Comic Sans MS"/>
        <family val="4"/>
        <charset val="238"/>
      </rPr>
      <t>Start.listiny přímo</t>
    </r>
    <r>
      <rPr>
        <sz val="8"/>
        <rFont val="Comic Sans MS"/>
        <family val="4"/>
      </rPr>
      <t xml:space="preserve"> z přihlášek na </t>
    </r>
    <r>
      <rPr>
        <b/>
        <sz val="8"/>
        <rFont val="Comic Sans MS"/>
        <family val="4"/>
        <charset val="238"/>
      </rPr>
      <t>internetu</t>
    </r>
  </si>
  <si>
    <t xml:space="preserve"> - </t>
  </si>
  <si>
    <t>Týmy přihlášené přes internet lze do tohoto souboru před turnajem přenést.   Stačí provést následující:</t>
  </si>
  <si>
    <r>
      <t xml:space="preserve">1) v seznamu nahlášených družstev </t>
    </r>
    <r>
      <rPr>
        <b/>
        <sz val="8"/>
        <rFont val="Comic Sans MS"/>
        <family val="4"/>
        <charset val="238"/>
      </rPr>
      <t>na internetu</t>
    </r>
    <r>
      <rPr>
        <sz val="8"/>
        <rFont val="Comic Sans MS"/>
        <family val="4"/>
      </rPr>
      <t xml:space="preserve"> zvolit </t>
    </r>
    <r>
      <rPr>
        <b/>
        <sz val="8"/>
        <rFont val="Comic Sans MS"/>
        <family val="4"/>
        <charset val="238"/>
      </rPr>
      <t>Úpravy: - Vybrat vše</t>
    </r>
    <r>
      <rPr>
        <sz val="8"/>
        <rFont val="Comic Sans MS"/>
        <family val="4"/>
      </rPr>
      <t xml:space="preserve"> (klávesová zkratka Ctrl-A)</t>
    </r>
  </si>
  <si>
    <r>
      <t xml:space="preserve">2) v seznamu nahlášených družstev </t>
    </r>
    <r>
      <rPr>
        <b/>
        <sz val="8"/>
        <rFont val="Comic Sans MS"/>
        <family val="4"/>
        <charset val="238"/>
      </rPr>
      <t>na internetu</t>
    </r>
    <r>
      <rPr>
        <sz val="8"/>
        <rFont val="Comic Sans MS"/>
        <family val="4"/>
      </rPr>
      <t xml:space="preserve"> zvolit </t>
    </r>
    <r>
      <rPr>
        <b/>
        <sz val="8"/>
        <rFont val="Comic Sans MS"/>
        <family val="4"/>
        <charset val="238"/>
      </rPr>
      <t>Úpravy: - Kopírovat</t>
    </r>
    <r>
      <rPr>
        <sz val="8"/>
        <rFont val="Comic Sans MS"/>
        <family val="4"/>
      </rPr>
      <t xml:space="preserve"> (klávesová zkratka Ctrl-C)</t>
    </r>
  </si>
  <si>
    <r>
      <t xml:space="preserve">3) v tomto programu myší kliknout na list Internet a zde kliknout na první buňku vlevo nahoře (označená </t>
    </r>
    <r>
      <rPr>
        <b/>
        <sz val="8"/>
        <rFont val="Comic Sans MS"/>
        <family val="4"/>
        <charset val="238"/>
      </rPr>
      <t>A1</t>
    </r>
    <r>
      <rPr>
        <sz val="8"/>
        <rFont val="Comic Sans MS"/>
        <family val="4"/>
      </rPr>
      <t>)</t>
    </r>
  </si>
  <si>
    <r>
      <t xml:space="preserve">4) zvolit </t>
    </r>
    <r>
      <rPr>
        <b/>
        <sz val="8"/>
        <rFont val="Comic Sans MS"/>
        <family val="4"/>
        <charset val="238"/>
      </rPr>
      <t>Úpravy: - Vložit</t>
    </r>
    <r>
      <rPr>
        <sz val="8"/>
        <rFont val="Comic Sans MS"/>
        <family val="4"/>
      </rPr>
      <t xml:space="preserve"> (klávesová zkratka Ctrl-V)</t>
    </r>
  </si>
  <si>
    <t>Tímto budou přenesena data z internetu do Startovní listiny (zároveň bude nastaveno i číslo turnaje)</t>
  </si>
  <si>
    <r>
      <t>Úpravy Startovní listiny</t>
    </r>
    <r>
      <rPr>
        <sz val="8"/>
        <rFont val="Comic Sans MS"/>
        <family val="4"/>
      </rPr>
      <t xml:space="preserve"> pak lze provádět postupem uvedeným níže nebo také </t>
    </r>
    <r>
      <rPr>
        <b/>
        <sz val="8"/>
        <color indexed="10"/>
        <rFont val="Comic Sans MS"/>
        <family val="4"/>
        <charset val="238"/>
      </rPr>
      <t>přímo na listu Internet (nedoporučeno)</t>
    </r>
  </si>
  <si>
    <t>Po nasazení turnaje (viz tlačítko "Nasadit týmy do turnaje" už lze opravovat jen přímo ve Startovní listině)</t>
  </si>
  <si>
    <t>* Případ lichého počtu týmů doporučujeme řešit tak, že přidáme do startovního pole jeden fiktivní tým, budeme ho nazývat KONTUMACE.</t>
  </si>
  <si>
    <t>Tomuto týmu přiřadíme takovou sílu, aby byl posledním nasazeným v 1. koši.</t>
  </si>
  <si>
    <t>Tento tým bude nasazen v 1. kole proti poslednímu nasazenému z druhého koše a k týmu bez vítězství  v následujících kolech.</t>
  </si>
  <si>
    <t>Ale pozor, je potřeba zkontrolovat, že tento tým není náhodou nalosován proti soupeři s výhrou! Pak je třeba losování kola opakovat.</t>
  </si>
  <si>
    <t>Po skončení turnaje dejte týmu KONTUMACE na listu Start.Listina ve sloupci AH Konečné pořadí = 0</t>
  </si>
  <si>
    <r>
      <t xml:space="preserve">b) vyplnění </t>
    </r>
    <r>
      <rPr>
        <b/>
        <sz val="8"/>
        <rFont val="Comic Sans MS"/>
        <family val="4"/>
        <charset val="238"/>
      </rPr>
      <t>Start.listiny ručně</t>
    </r>
    <r>
      <rPr>
        <sz val="8"/>
        <rFont val="Comic Sans MS"/>
        <family val="4"/>
      </rPr>
      <t xml:space="preserve"> zápisem do Startovní listiny</t>
    </r>
  </si>
  <si>
    <t>na listu Start.listina se vyplní číslo turnaje podle Termínové listiny (to lze nalézt na listu Turnaje)</t>
  </si>
  <si>
    <t>automaticky se podle Termínové listiny doplní informace o turnaji</t>
  </si>
  <si>
    <t>provede se nastavení kritérií "Švýcara" (viz bod c)</t>
  </si>
  <si>
    <t xml:space="preserve">na listu Start.listina se vyplňují čísla licencí hráčů (program automaticky doplní zbylé údaje podle matriky a aktuálního žebříčku - viz list Hraci) </t>
  </si>
  <si>
    <t>(čísla licencí je možné dohledat na listu Hraci - obsahuje Seznam licencovaných hráčů ČAPEK a jejich aktuální údaje ze žebříčku ČAPEK)</t>
  </si>
  <si>
    <t>pokud hráč nemá českou licenci, zapíše se jeho jméno</t>
  </si>
  <si>
    <t>tým musí být kompletní, jinak je ve sloupci OK označen červeně a nevstupuje do turnaje</t>
  </si>
  <si>
    <t>(nekompletní tým je při nasazení vyřazen; červeně  ve sloupečku OK jsou vyznačeny také duplicity licencí hráčů)</t>
  </si>
  <si>
    <t>zahraniční týmy se zapisují tak, že se hráčům musí uvést číslo licence a zároveň jeho jméno (v seznamu hráčů na listu Hraci nejsou)</t>
  </si>
  <si>
    <t>zahraniční hráč bez licence se bere jako tuzemský neregistrovaný hráč (program pozná cizince podle toho že má licenci, ale nenajde k němu jméno v matrice)</t>
  </si>
  <si>
    <t>správné vyplnění cizinců ve startovní listině je podmínkou pro správné nasazení cizinců do 1.koše pro 1.kolo</t>
  </si>
  <si>
    <t>zrušení zapsaného týmu ze startovní listiny se provede vymazáním licencí  (nesmí se odstranit celý řádek nebo smazat vzorečky - program by potom nefungoval !!!)</t>
  </si>
  <si>
    <t>po prezentaci všech týmů je na listu Start.listina zřejmé, kolik je týmů celkem</t>
  </si>
  <si>
    <t xml:space="preserve">automaticky jsou počítány některé parametry turnaje (předpokládaná třída turnaje, časový odhad délky trvání fází turnaje, počet hřišť,) </t>
  </si>
  <si>
    <t>některé parametry turnaje (kvalita turnaje) se spočtou až po nasazení turnaje</t>
  </si>
  <si>
    <t>na listu Start.listina lze přestavit i vypočtenou třídu turnaje (P-Prestige, S-Superprestige, M-MČR, F-finále MČR) pro účely výpočtu bodů za umístění</t>
  </si>
  <si>
    <r>
      <t xml:space="preserve">c)   </t>
    </r>
    <r>
      <rPr>
        <b/>
        <sz val="8"/>
        <rFont val="Comic Sans MS"/>
        <family val="4"/>
        <charset val="238"/>
      </rPr>
      <t>nastavování kritérií</t>
    </r>
    <r>
      <rPr>
        <sz val="8"/>
        <rFont val="Comic Sans MS"/>
        <family val="4"/>
      </rPr>
      <t xml:space="preserve"> "Švýcara"    </t>
    </r>
    <r>
      <rPr>
        <b/>
        <sz val="8"/>
        <color indexed="10"/>
        <rFont val="Comic Sans MS"/>
        <family val="4"/>
        <charset val="238"/>
      </rPr>
      <t>(žebříčkové turnaje ČAPEK, hrané švýcarem, se hrají povinně Bucholz - 2)</t>
    </r>
  </si>
  <si>
    <r>
      <t xml:space="preserve">zde lze ovlivnit chování programu při </t>
    </r>
    <r>
      <rPr>
        <b/>
        <sz val="8"/>
        <rFont val="Comic Sans MS"/>
        <family val="4"/>
        <charset val="238"/>
      </rPr>
      <t>řazení týmů</t>
    </r>
    <r>
      <rPr>
        <sz val="8"/>
        <rFont val="Comic Sans MS"/>
        <family val="4"/>
      </rPr>
      <t xml:space="preserve"> do pořadí za sebou </t>
    </r>
    <r>
      <rPr>
        <b/>
        <sz val="8"/>
        <rFont val="Comic Sans MS"/>
        <family val="4"/>
        <charset val="238"/>
      </rPr>
      <t>při výběru do pavouka KO a způsob losování kol "Švýcara"</t>
    </r>
  </si>
  <si>
    <t>nejdříve se vždy řadí podle počtu výher</t>
  </si>
  <si>
    <t>potom  se lze rozhodnout, jestli bude použit Bucholzův koeficient a skóre nebo jen skóre (bez vyplnění=skóre)</t>
  </si>
  <si>
    <t>Bucholzův koeficient zohledňuje počty výher soupeřů, program umí počítat s následujícími typy:</t>
  </si>
  <si>
    <t xml:space="preserve">   1 - výhry soupeřů</t>
  </si>
  <si>
    <t xml:space="preserve">   2 - výhry soupeřů a jejich soupeřů</t>
  </si>
  <si>
    <r>
      <t xml:space="preserve">po kritériu skóre lze ještě zohledňovat </t>
    </r>
    <r>
      <rPr>
        <b/>
        <sz val="8"/>
        <rFont val="Comic Sans MS"/>
        <family val="4"/>
        <charset val="238"/>
      </rPr>
      <t>výhry proti nasazeným týmům</t>
    </r>
    <r>
      <rPr>
        <sz val="8"/>
        <rFont val="Comic Sans MS"/>
        <family val="4"/>
      </rPr>
      <t xml:space="preserve"> z 1.koše</t>
    </r>
  </si>
  <si>
    <r>
      <t xml:space="preserve">program při přechodu do pavouka (viz tlačítko </t>
    </r>
    <r>
      <rPr>
        <b/>
        <sz val="8"/>
        <rFont val="Comic Sans MS"/>
        <family val="4"/>
        <charset val="238"/>
      </rPr>
      <t>Přechod do pavouka</t>
    </r>
    <r>
      <rPr>
        <sz val="8"/>
        <rFont val="Comic Sans MS"/>
        <family val="4"/>
      </rPr>
      <t>) automaticky počítá pořadí týmů podle nastavených kritérií (až do pořadí 64)</t>
    </r>
  </si>
  <si>
    <t xml:space="preserve">které týmy se převedou do pavouka KO můžeme ovlivnit kritériem pro Počet výher nebo Počet týmů </t>
  </si>
  <si>
    <r>
      <t xml:space="preserve">kritériem pro omezení postupu do pavouka lze stanovit   </t>
    </r>
    <r>
      <rPr>
        <b/>
        <sz val="8"/>
        <rFont val="Comic Sans MS"/>
        <family val="4"/>
        <charset val="238"/>
      </rPr>
      <t>počet výher v základní části</t>
    </r>
    <r>
      <rPr>
        <sz val="8"/>
        <rFont val="Comic Sans MS"/>
        <family val="4"/>
      </rPr>
      <t>, vede to obvykle na děravého pavouka, je to spravedlivé, bez pomocných kritérií</t>
    </r>
  </si>
  <si>
    <r>
      <t xml:space="preserve">často používaným kritériem pro omezení postupu do pavouka je stanovit </t>
    </r>
    <r>
      <rPr>
        <b/>
        <sz val="8"/>
        <rFont val="Comic Sans MS"/>
        <family val="4"/>
        <charset val="238"/>
      </rPr>
      <t>počet týmů</t>
    </r>
    <r>
      <rPr>
        <sz val="8"/>
        <rFont val="Comic Sans MS"/>
        <family val="4"/>
      </rPr>
      <t xml:space="preserve">, které postupují do KO vede to obvykle na kompletního (plného) pavouka </t>
    </r>
  </si>
  <si>
    <t xml:space="preserve">program poskytuje informace ke kvalitnímu rozhodování </t>
  </si>
  <si>
    <t>např. na základě počtu kol "Švýcara" a počtu přihlášených týmů spočítá kolik týmů bude po odehrání zápasů s 0, 1, 2, 3, … výhrami</t>
  </si>
  <si>
    <t>zajímavý je jistě časový odhad trvání základní části hry a pavouka KO (odhadovanou dobu trvání jednoho zápasu lze nastavit, přednastaveno je 75 min.)</t>
  </si>
  <si>
    <t>některé pořadatele může limitovat počet potřebných hřišť, "Švýcar" je systém náročný na počet hřišť</t>
  </si>
  <si>
    <r>
      <t xml:space="preserve">Do </t>
    </r>
    <r>
      <rPr>
        <b/>
        <sz val="8"/>
        <rFont val="Comic Sans MS"/>
        <family val="4"/>
        <charset val="238"/>
      </rPr>
      <t>dalšího kola</t>
    </r>
    <r>
      <rPr>
        <sz val="8"/>
        <rFont val="Comic Sans MS"/>
        <family val="4"/>
      </rPr>
      <t xml:space="preserve"> se nasazuje podle:</t>
    </r>
  </si>
  <si>
    <t xml:space="preserve">   1) počtu výher</t>
  </si>
  <si>
    <t xml:space="preserve">   2) rozdílu skóre   (dává stejně silné proti sobě, aby co nejrychleji zjistil toho jednoho nejlepšího)</t>
  </si>
  <si>
    <r>
      <t xml:space="preserve">d) po ukončení prezentace se na listu Start.listina stiskne tlačítko </t>
    </r>
    <r>
      <rPr>
        <b/>
        <sz val="8"/>
        <rFont val="Comic Sans MS"/>
        <family val="4"/>
        <charset val="238"/>
      </rPr>
      <t>Nasadit týmy do turnaje</t>
    </r>
    <r>
      <rPr>
        <sz val="8"/>
        <rFont val="Comic Sans MS"/>
        <family val="4"/>
      </rPr>
      <t xml:space="preserve"> </t>
    </r>
  </si>
  <si>
    <t>týmy se zařadí do dvou košů  (všechny týmy jsou nasazeny až do konce)</t>
  </si>
  <si>
    <r>
      <t xml:space="preserve">pokud chcete, aby byly týmy ve druhém koši zpřeházeny, stiskněte tlačítko </t>
    </r>
    <r>
      <rPr>
        <b/>
        <sz val="8"/>
        <rFont val="Comic Sans MS"/>
        <family val="4"/>
        <charset val="238"/>
      </rPr>
      <t>Zbylé týmy dolosovat</t>
    </r>
    <r>
      <rPr>
        <sz val="8"/>
        <rFont val="Comic Sans MS"/>
        <family val="4"/>
      </rPr>
      <t xml:space="preserve"> (losování využívá generátor náh.čísel)</t>
    </r>
  </si>
  <si>
    <r>
      <t xml:space="preserve">pak se vytiskne list </t>
    </r>
    <r>
      <rPr>
        <b/>
        <sz val="8"/>
        <rFont val="Comic Sans MS"/>
        <family val="4"/>
        <charset val="238"/>
      </rPr>
      <t>1. kolo</t>
    </r>
    <r>
      <rPr>
        <sz val="8"/>
        <rFont val="Comic Sans MS"/>
        <family val="4"/>
      </rPr>
      <t xml:space="preserve"> na papír pro informovanost hráčů kdo s kým hraje a na jakém hřišti a zahájí se zápasy </t>
    </r>
  </si>
  <si>
    <r>
      <t xml:space="preserve">e) výsledky jednotlivých zápasů se postupně zapisují do žlutých polí na listu </t>
    </r>
    <r>
      <rPr>
        <b/>
        <sz val="8"/>
        <rFont val="Comic Sans MS"/>
        <family val="4"/>
        <charset val="238"/>
      </rPr>
      <t>1.kolo</t>
    </r>
  </si>
  <si>
    <t>výsledek zápasu se zapisuje jako přesné skóre (na skóre záleží)</t>
  </si>
  <si>
    <r>
      <t xml:space="preserve">f) po zapsání všech výsledků 1.kola se přejde na list </t>
    </r>
    <r>
      <rPr>
        <b/>
        <sz val="8"/>
        <rFont val="Comic Sans MS"/>
        <family val="4"/>
        <charset val="238"/>
      </rPr>
      <t>2.kolo</t>
    </r>
  </si>
  <si>
    <r>
      <t xml:space="preserve">zde se myší stiskne tlačítko </t>
    </r>
    <r>
      <rPr>
        <b/>
        <sz val="8"/>
        <color indexed="10"/>
        <rFont val="Comic Sans MS"/>
        <family val="4"/>
        <charset val="238"/>
      </rPr>
      <t>Nalosovat kolo</t>
    </r>
    <r>
      <rPr>
        <sz val="8"/>
        <rFont val="Comic Sans MS"/>
        <family val="4"/>
        <charset val="238"/>
      </rPr>
      <t xml:space="preserve"> a program nalosuje týmy </t>
    </r>
  </si>
  <si>
    <t>pokud jste nezvolili volbu "Klasický Švýcar", udělá to program tak, že proti sobě nastoupí náhodně týmy se stejným počtem výher</t>
  </si>
  <si>
    <t>pokud jste zvolili volbu "Klasický Švýcar" losuje se mezi týmy se stejným počtem výher (dává momentálně stejně silné týmy proti sobě, aby co nejrychleji zjistil nejlepšího)</t>
  </si>
  <si>
    <t>pokud je podklad tlačítka Nalosovat kolo zelený, je vše v pořádku, pokud je červený, nastal problém duplicity zápasu (stejní soupeři, kteří se již potkali v předchozích kolech)</t>
  </si>
  <si>
    <r>
      <t xml:space="preserve">duplicita zápasu se řeší opětovným stiskem tlačítka </t>
    </r>
    <r>
      <rPr>
        <b/>
        <sz val="8"/>
        <rFont val="Comic Sans MS"/>
        <family val="4"/>
        <charset val="238"/>
      </rPr>
      <t xml:space="preserve">Nalosovat kolo </t>
    </r>
    <r>
      <rPr>
        <sz val="8"/>
        <rFont val="Comic Sans MS"/>
        <family val="4"/>
        <charset val="238"/>
      </rPr>
      <t>(případně vícekrát, dokud není zelená)</t>
    </r>
  </si>
  <si>
    <r>
      <t xml:space="preserve">vytiskne se list </t>
    </r>
    <r>
      <rPr>
        <b/>
        <sz val="8"/>
        <rFont val="Comic Sans MS"/>
        <family val="4"/>
        <charset val="238"/>
      </rPr>
      <t>2. kolo</t>
    </r>
    <r>
      <rPr>
        <sz val="8"/>
        <rFont val="Comic Sans MS"/>
        <family val="4"/>
      </rPr>
      <t xml:space="preserve"> na papír pro informovanost hráčů kdo s kým hraje a na jakém hřišti a zahájí se zápasy </t>
    </r>
  </si>
  <si>
    <r>
      <t xml:space="preserve">výsledky jednotlivých zápasů se postupně zapisují do žlutých polí na listu </t>
    </r>
    <r>
      <rPr>
        <b/>
        <sz val="8"/>
        <rFont val="Comic Sans MS"/>
        <family val="4"/>
        <charset val="238"/>
      </rPr>
      <t>2.kolo</t>
    </r>
  </si>
  <si>
    <r>
      <t xml:space="preserve">g) po zapsání všech výsledků 2.kola se přejde na list </t>
    </r>
    <r>
      <rPr>
        <b/>
        <sz val="8"/>
        <rFont val="Comic Sans MS"/>
        <family val="4"/>
        <charset val="238"/>
      </rPr>
      <t>3.kolo</t>
    </r>
  </si>
  <si>
    <r>
      <t xml:space="preserve">postup je obdobný 2.kolu, navíc zde přibylo tlačítko pro </t>
    </r>
    <r>
      <rPr>
        <b/>
        <sz val="8"/>
        <rFont val="Comic Sans MS"/>
        <family val="4"/>
        <charset val="238"/>
      </rPr>
      <t xml:space="preserve">Přechod do pavouka </t>
    </r>
    <r>
      <rPr>
        <sz val="8"/>
        <rFont val="Comic Sans MS"/>
        <family val="4"/>
        <charset val="238"/>
      </rPr>
      <t>(pro případ, že "Švýcar" je tříkolový)</t>
    </r>
  </si>
  <si>
    <t>to se použije po zapsání všech výsledků ke stanovení pořadí pro přechod do pavouka a zároveň k zařazení týmů do pavouka KO</t>
  </si>
  <si>
    <r>
      <t xml:space="preserve">zároveň se v tuto chvíli objeví informace na listu </t>
    </r>
    <r>
      <rPr>
        <b/>
        <sz val="8"/>
        <rFont val="Comic Sans MS"/>
        <family val="4"/>
        <charset val="238"/>
      </rPr>
      <t>Pořadí švýcar</t>
    </r>
  </si>
  <si>
    <r>
      <t xml:space="preserve">tento list využijeme při vyhlášování mezivýsledků po švýcaru, řazení týmů je zde rozdílné od listu </t>
    </r>
    <r>
      <rPr>
        <b/>
        <sz val="8"/>
        <rFont val="Comic Sans MS"/>
        <family val="4"/>
        <charset val="238"/>
      </rPr>
      <t>Centrum,</t>
    </r>
    <r>
      <rPr>
        <sz val="8"/>
        <rFont val="Comic Sans MS"/>
        <family val="4"/>
      </rPr>
      <t xml:space="preserve">  kde je to podle nasazení v turnaji</t>
    </r>
  </si>
  <si>
    <t>mezivýsledky lze udělat po každém kole i když se nepřechází do pavouka, ale POZOR dělejte je v záložní kopii!</t>
  </si>
  <si>
    <t>přechod do pavouka KO lze udělat i ručně - zapsáním týmů do nultého kola pavouka příslušného KO (např. když je turnaj hrán Švýcarem)</t>
  </si>
  <si>
    <t>(pozor v tomto případě na název týmu - měl by být přesně ten, jako ve skupinách, doporučujeme kopírovat hodnotou)</t>
  </si>
  <si>
    <t>h) další kola probíhají stejně jako 3.kolo</t>
  </si>
  <si>
    <t>v určité chvíli může dojít k situaci, že opětovným losováním už se nemůžeme zbavit duplicit (když je málo týmů a vysoké kolo Švýcara)</t>
  </si>
  <si>
    <t>v této situaci je doporučení hrát podle nalosování, přestože některý ze zápasů bude duplicitní (ručně by to možná šlo nějak řešit, ale pak je pracné to nastavit v programu a proč to komplikovat?)</t>
  </si>
  <si>
    <r>
      <t xml:space="preserve">po stisku tlačítka pro </t>
    </r>
    <r>
      <rPr>
        <b/>
        <sz val="8"/>
        <rFont val="Comic Sans MS"/>
        <family val="4"/>
        <charset val="238"/>
      </rPr>
      <t xml:space="preserve">Přechod do pavouka </t>
    </r>
  </si>
  <si>
    <r>
      <t xml:space="preserve">i) na listu </t>
    </r>
    <r>
      <rPr>
        <b/>
        <sz val="8"/>
        <rFont val="Comic Sans MS"/>
        <family val="4"/>
        <charset val="238"/>
      </rPr>
      <t>KOxx</t>
    </r>
    <r>
      <rPr>
        <sz val="8"/>
        <rFont val="Comic Sans MS"/>
        <family val="4"/>
      </rPr>
      <t xml:space="preserve"> se postupně do žlutých polí vyplňují výsledky jednotlivých zápasů v pavouku příslušného KO.  </t>
    </r>
  </si>
  <si>
    <t>automaticky podle výsledku tým buď postupuje nebo nepostupuje do dalšího kola KO nebo úplně vypadává, případně postupuje do dohrávky</t>
  </si>
  <si>
    <t>j) na listu Dohrávka_5-8 se postupně do žlutých polí vyplňují výsledky jednotlivých zápasů (pokud se dohrává o 5-8)</t>
  </si>
  <si>
    <t>k) na listu Dohrávka_9-16 se postupně do žlutých polí vyplňují výsledky jednotlivých zápasů  (pokud se dohrává o 9-16)</t>
  </si>
  <si>
    <r>
      <t xml:space="preserve">l) po skončení všech zápasů a po jejich zapsání je na listu </t>
    </r>
    <r>
      <rPr>
        <b/>
        <sz val="8"/>
        <rFont val="Comic Sans MS"/>
        <family val="4"/>
        <charset val="238"/>
      </rPr>
      <t>Konečné pořadí_1_16</t>
    </r>
    <r>
      <rPr>
        <sz val="8"/>
        <rFont val="Comic Sans MS"/>
        <family val="4"/>
      </rPr>
      <t xml:space="preserve"> zobrazeno pořadí prvních 16-ti týmů </t>
    </r>
  </si>
  <si>
    <t>aby Pořadí_1_16 bylo kompletní, je třeba mít vyplněné všechny výsledky v některém pavouku KO</t>
  </si>
  <si>
    <t>výsledky zápasů KO lze zapisovat do libovolného vhodného listu KO (údaje se přenášejí do navazujících KO a jsou propojeny až do konečných výsledků)</t>
  </si>
  <si>
    <t xml:space="preserve">zároveň je třeba mít vyplněné dohrávky o 5-8 a 9-16 místo !  </t>
  </si>
  <si>
    <t xml:space="preserve">výsledky týmů, včetně bodového hodnocení, se počítají průběžně (jsou ve Start. listině vpravo za posledním hráčem) </t>
  </si>
  <si>
    <t>m) předání výsledků turnaje bylo popsáno výše</t>
  </si>
  <si>
    <t>POZOR: nerušte žádné listy tohoto programu, např. z důvodu snížení velikosti tohoto souboru (mohli by jste totiž o svoji práci a vložená data přijít)</t>
  </si>
  <si>
    <t>Tato verze již je vybavená automatickým zálohováním. Zálohovat se bude při nasazení do turnaje a pak v každém kole (vždy když se stiskne tlačítko).</t>
  </si>
  <si>
    <t>Kopie budou mít název odvozený od původního názvu souboru, doplněného o datumové a časové razítko (např. Turnaj13005_2013-04-08_23-17-03.xls)</t>
  </si>
  <si>
    <t>Soubory kopií se budou ukládat do stejného adresáře jako kopírovaný soubor beze změny původního formátu (XLS, XLSM).</t>
  </si>
  <si>
    <t>Kopie sice malinko zdrží, ale udělá se automaticky ve správnou chvíli, takže by měla být vždy možnost se vrátit o krok zpátky.</t>
  </si>
  <si>
    <t xml:space="preserve">Dobré rady: </t>
  </si>
  <si>
    <t>ponechat soubor ve formátu XLS, nenechat si vnutit uložení do formátu XLSX ve kterém přijdete o makra, bez  kterých to pak nefunguje.</t>
  </si>
  <si>
    <t xml:space="preserve">povolit makra (jinak nebudou makra fungovat) - je to pod volbou Nástroje - Makro - Zabezpečení </t>
  </si>
  <si>
    <t>červený trojúhelníček značí, že na buňce je komentář / vysvětlivka     (zastavením myši na buňce se zobrazí)</t>
  </si>
  <si>
    <t>příklad komentáře</t>
  </si>
  <si>
    <t>nepřepisovat žádné vzorečky s výjimkou těch, které jsou ve žlutých polích</t>
  </si>
  <si>
    <t>vždy si zkontrolujte, že ve sloupečku vlevo, označeném OK, nesvítí červená barva (značí to, že je v údajích hráčů nějaký problém a že nebude tým vzat do turnaje</t>
  </si>
  <si>
    <t>před jméno hráče bez licence nedávejte mezeru, rozsvítí se vám červená ve sloupečku OK</t>
  </si>
  <si>
    <t>červená ve sloupečku OK se rozsvítí v případě, že číslo licence se vyskytuje ve startovním poli více jak jeden  krát</t>
  </si>
  <si>
    <t>pokud uvedete číslo licence, nezapisujte již jméno (rozhodující je číslo licence, jméno, které k němu patří se automaticky zobrazí, pokud nevymažete vzoreček)</t>
  </si>
  <si>
    <t>(v případě cizinců s licencí je naopak nutno jméno napsat)</t>
  </si>
  <si>
    <t>pozor v případě, že by jste ručně psali do pavouka název týmu - měl by být přesně ten, jako v základní části (doporučujeme kopírovat hodnotou)</t>
  </si>
  <si>
    <t>tlačítko Přechod do pavouka lze stisknout opakovaně a kdykoliv (nakonec ale ve správnou chvíli, kdy již jsou zavedeny všechny výsledky)</t>
  </si>
  <si>
    <t>jakmile jednou nalosujete turnaj a začnete hrát 1.kolo, rozhodně se již tlačítka na nasazování a losování nedotýkejte!</t>
  </si>
  <si>
    <t>jakmile jednou nalosujete kolo a začnete ho hrát, rozhodně se již tlačítka na losování tohoto kola nedotýkejte!</t>
  </si>
  <si>
    <t>v důležitých a vhodných okamžicích uložte soubor (nejlépe pod jiným jménem), aby jste se měli k čemu vrátit v případě potřeby</t>
  </si>
  <si>
    <t>akce provedené makry (přes tlačítka) většinou nejdou vrátit zpět !</t>
  </si>
  <si>
    <t>#N/A znamená, že nastala chyba a je nutno ji odstranit (k číslu licence nenalezen hráč apod.)</t>
  </si>
  <si>
    <t>neodemykejte zamčené listy, můžete něco pokazit!</t>
  </si>
  <si>
    <t>nerušte řádky ve Startovní listině, přestane to celé fungovat!</t>
  </si>
  <si>
    <t>V případě dotazů se obracejte na autora: Pavel Vlk, tel. 602-692-489</t>
  </si>
  <si>
    <t>Seznam turnajů z Termínové listiny ČAPEK</t>
  </si>
  <si>
    <t>cislo</t>
  </si>
  <si>
    <t>nazev</t>
  </si>
  <si>
    <t>datum</t>
  </si>
  <si>
    <t>misto</t>
  </si>
  <si>
    <t>poradatel</t>
  </si>
  <si>
    <t>system</t>
  </si>
  <si>
    <t>Loděnický zimák</t>
  </si>
  <si>
    <t>27.01.2024</t>
  </si>
  <si>
    <t>Terezín</t>
  </si>
  <si>
    <t>CdP Loděnice</t>
  </si>
  <si>
    <t>Přítkovský zimák</t>
  </si>
  <si>
    <t>28.01.2024</t>
  </si>
  <si>
    <t>PC Přítkov</t>
  </si>
  <si>
    <t>Prestige Terezín</t>
  </si>
  <si>
    <t>24.02.2024</t>
  </si>
  <si>
    <t>SK Sahara Vědomice</t>
  </si>
  <si>
    <t>18. Bitva o Terezín</t>
  </si>
  <si>
    <t>25.02.2024</t>
  </si>
  <si>
    <t>SVĚtový DEn Koulí SVĚDEK</t>
  </si>
  <si>
    <t>09.03.2024</t>
  </si>
  <si>
    <t>Ořech</t>
  </si>
  <si>
    <t>C.T.P. Club Ořech</t>
  </si>
  <si>
    <t>Bitva o Kněžice</t>
  </si>
  <si>
    <t>16.03.2024</t>
  </si>
  <si>
    <t>Kněžice</t>
  </si>
  <si>
    <t>PSK Jihlava</t>
  </si>
  <si>
    <t>Koulení v pivovaru</t>
  </si>
  <si>
    <t>23.03.2024</t>
  </si>
  <si>
    <t>Medlešice</t>
  </si>
  <si>
    <t>CHRUPEK Chrudim</t>
  </si>
  <si>
    <t>GEKON - O křišťálovou tašku</t>
  </si>
  <si>
    <t>Loděnice</t>
  </si>
  <si>
    <t>Beraní koule</t>
  </si>
  <si>
    <t>Albrechtice</t>
  </si>
  <si>
    <t>PAK Albrechtice</t>
  </si>
  <si>
    <t>Jarní lipnické koule</t>
  </si>
  <si>
    <t>30.03.2024</t>
  </si>
  <si>
    <t>Lipník</t>
  </si>
  <si>
    <t>PC Sokol Lipník</t>
  </si>
  <si>
    <t>Nakashi cup</t>
  </si>
  <si>
    <t>06.04.2024</t>
  </si>
  <si>
    <t>Hanácký Bakole</t>
  </si>
  <si>
    <t>Litovel</t>
  </si>
  <si>
    <t>KLIP Litovel</t>
  </si>
  <si>
    <t>Mendel Cup</t>
  </si>
  <si>
    <t>13.04.2024</t>
  </si>
  <si>
    <t>Kulový blesk Olomouc</t>
  </si>
  <si>
    <t>Zámecká bitva o košon</t>
  </si>
  <si>
    <t>Saharský pohár 2024</t>
  </si>
  <si>
    <t>Vědomice</t>
  </si>
  <si>
    <t>Košonek bratří Vavrovičů</t>
  </si>
  <si>
    <t>20.04.2024</t>
  </si>
  <si>
    <t>Memory Cup</t>
  </si>
  <si>
    <t>Orlová</t>
  </si>
  <si>
    <t>TOP Orlová</t>
  </si>
  <si>
    <t>28. Prvomájové koule barona Prášila</t>
  </si>
  <si>
    <t>27.04.2024</t>
  </si>
  <si>
    <t>TOP KLIP</t>
  </si>
  <si>
    <t>Turnaj Piráta Morgana</t>
  </si>
  <si>
    <t>28.04.2024</t>
  </si>
  <si>
    <t>Starostovo jarní koulení</t>
  </si>
  <si>
    <t>04.05.2024</t>
  </si>
  <si>
    <t>Cheb</t>
  </si>
  <si>
    <t>PC Egrensis</t>
  </si>
  <si>
    <t>Májový lipnický turnaj</t>
  </si>
  <si>
    <t>Prvomájové koulení</t>
  </si>
  <si>
    <t>Hranice VI.-Valšovice</t>
  </si>
  <si>
    <t>SKP Hranice VI. - Valšovice</t>
  </si>
  <si>
    <t>Chateau Náměšť</t>
  </si>
  <si>
    <t>11.05.2024</t>
  </si>
  <si>
    <t>Náměšť na Hané</t>
  </si>
  <si>
    <t>Kulový blesk</t>
  </si>
  <si>
    <t>PozorKap</t>
  </si>
  <si>
    <t>Pozorka u Nejdku</t>
  </si>
  <si>
    <t>PPA POZORKA</t>
  </si>
  <si>
    <t>Centrope Polsko</t>
  </si>
  <si>
    <t>Polsko</t>
  </si>
  <si>
    <t>Koulení na Staré hoře</t>
  </si>
  <si>
    <t>18.05.2024</t>
  </si>
  <si>
    <t>Horákov</t>
  </si>
  <si>
    <t>Bepec2016</t>
  </si>
  <si>
    <t>MČR 1x1</t>
  </si>
  <si>
    <t>Hrochův Týnec</t>
  </si>
  <si>
    <t>Turnaj generací</t>
  </si>
  <si>
    <t>25.05.2024</t>
  </si>
  <si>
    <t>Vrchlabí</t>
  </si>
  <si>
    <t>1. KPK Vrchlabí</t>
  </si>
  <si>
    <t>Memoriál CdP</t>
  </si>
  <si>
    <t>Centrope Maďarsko</t>
  </si>
  <si>
    <t>Budapešť</t>
  </si>
  <si>
    <t>Maďarsko</t>
  </si>
  <si>
    <t>Polouveský májový turnaj</t>
  </si>
  <si>
    <t>Polouvsí</t>
  </si>
  <si>
    <t>PK Polouvsí</t>
  </si>
  <si>
    <t>MČR 3x3</t>
  </si>
  <si>
    <t>01.06.2024</t>
  </si>
  <si>
    <t>Valeč</t>
  </si>
  <si>
    <t>HP Třebíč</t>
  </si>
  <si>
    <t>Albrechtický kahan</t>
  </si>
  <si>
    <t>STOLÍNSKÝ KŘEČÁK, MEMORIÁL JAROSLAVA SMOLY</t>
  </si>
  <si>
    <t>08.06.2024</t>
  </si>
  <si>
    <t>Stolín</t>
  </si>
  <si>
    <t>PEK STOLÍN</t>
  </si>
  <si>
    <t>Centrope Rakousko</t>
  </si>
  <si>
    <t>Illmitz</t>
  </si>
  <si>
    <t>Rakousko</t>
  </si>
  <si>
    <t>VC pivovaru Litovel</t>
  </si>
  <si>
    <t>Brno-Slatina</t>
  </si>
  <si>
    <t>SLOPE Brno</t>
  </si>
  <si>
    <t>MČR 3x3 muži</t>
  </si>
  <si>
    <t>15.06.2024</t>
  </si>
  <si>
    <t>Veveří, Brno</t>
  </si>
  <si>
    <t>Carreau Brno</t>
  </si>
  <si>
    <t>Vo Jarinovy koule, 28. ročník</t>
  </si>
  <si>
    <t>Hartvíkovice</t>
  </si>
  <si>
    <t>HP TŘEBÍČ</t>
  </si>
  <si>
    <t>Hrabyňský kanón</t>
  </si>
  <si>
    <t>Hrabyně</t>
  </si>
  <si>
    <t>PC Hrabyně</t>
  </si>
  <si>
    <t>MČR 65 plus</t>
  </si>
  <si>
    <t>16.06.2024</t>
  </si>
  <si>
    <t>MČR 55 plus</t>
  </si>
  <si>
    <t>22.06.2024</t>
  </si>
  <si>
    <t>4. Ježkova SKoule</t>
  </si>
  <si>
    <t>Centrope Česko</t>
  </si>
  <si>
    <t>29.06.2024</t>
  </si>
  <si>
    <t>Liblice</t>
  </si>
  <si>
    <t>VARAN</t>
  </si>
  <si>
    <t>Lipnické dukáty</t>
  </si>
  <si>
    <t>05.07.2024</t>
  </si>
  <si>
    <t>Krakonošovy koule</t>
  </si>
  <si>
    <t>06.07.2024</t>
  </si>
  <si>
    <t>XXVIII. Kolovská koule</t>
  </si>
  <si>
    <t>Kolová</t>
  </si>
  <si>
    <t>PC Kolová</t>
  </si>
  <si>
    <t>Bunkr Cup</t>
  </si>
  <si>
    <t>13.07.2024</t>
  </si>
  <si>
    <t>Chateau Hrochův Týnec</t>
  </si>
  <si>
    <t>Starostovo koulení</t>
  </si>
  <si>
    <t>14.07.2024</t>
  </si>
  <si>
    <t>O pohár Sklípku</t>
  </si>
  <si>
    <t>20.07.2024</t>
  </si>
  <si>
    <t>Krumsínská HRODA XXV. ročník</t>
  </si>
  <si>
    <t>Krumsín</t>
  </si>
  <si>
    <t>Hrode Krumsín</t>
  </si>
  <si>
    <t>GP Mariánské lázně</t>
  </si>
  <si>
    <t>Mariánské lázně</t>
  </si>
  <si>
    <t>PK Mariánské Lázně</t>
  </si>
  <si>
    <t>Valšovický pohár</t>
  </si>
  <si>
    <t>MČR klubů 1. kolo</t>
  </si>
  <si>
    <t>27.07.2024</t>
  </si>
  <si>
    <t>O Pohár Ronova</t>
  </si>
  <si>
    <t>Adamov</t>
  </si>
  <si>
    <t>FENYX Adamov</t>
  </si>
  <si>
    <t>Vérchlabská střela</t>
  </si>
  <si>
    <t>28.07.2024</t>
  </si>
  <si>
    <t>MČR MIX 2x2</t>
  </si>
  <si>
    <t>03.08.2024</t>
  </si>
  <si>
    <t>MČR ve střelbě na přesnost</t>
  </si>
  <si>
    <t>04.08.2024</t>
  </si>
  <si>
    <t>Jeffův pohár</t>
  </si>
  <si>
    <t>10.08.2024</t>
  </si>
  <si>
    <t>Mozartovy koule</t>
  </si>
  <si>
    <t>Olomouc</t>
  </si>
  <si>
    <t>GP Labe</t>
  </si>
  <si>
    <t>17.08.2024</t>
  </si>
  <si>
    <t>6. Koule Elišky Přemyslovny</t>
  </si>
  <si>
    <t>24.08.2024</t>
  </si>
  <si>
    <t>Nymburk</t>
  </si>
  <si>
    <t>PC Mimo Done</t>
  </si>
  <si>
    <t>Centrope Slovensko</t>
  </si>
  <si>
    <t>Kaskády Galanta</t>
  </si>
  <si>
    <t>Slovensko</t>
  </si>
  <si>
    <t>Nymburská 0.6</t>
  </si>
  <si>
    <t>25.08.2024</t>
  </si>
  <si>
    <t>O Pohár města Brna - VARS cup - XXI. Ročník</t>
  </si>
  <si>
    <t>31.08.2024</t>
  </si>
  <si>
    <t>MČR 2x2</t>
  </si>
  <si>
    <t>07.09.2024</t>
  </si>
  <si>
    <t>MČR klubů 2. kolo</t>
  </si>
  <si>
    <t>14.09.2024</t>
  </si>
  <si>
    <t>Orlovský kahan</t>
  </si>
  <si>
    <t>Prezidentský pohár</t>
  </si>
  <si>
    <t>21.09.2024</t>
  </si>
  <si>
    <t>GP Egrensis</t>
  </si>
  <si>
    <t>MČR 3x3 ženy</t>
  </si>
  <si>
    <t>Kvalifikace na MS muži 2x2</t>
  </si>
  <si>
    <t>28.09.2024</t>
  </si>
  <si>
    <t>Kvalifikace na MS ženy 2x2</t>
  </si>
  <si>
    <t>Svatováclavské koulení</t>
  </si>
  <si>
    <t>O pohár CdP Loděnice</t>
  </si>
  <si>
    <t>05.10.2024</t>
  </si>
  <si>
    <t>Zlaté prasátko</t>
  </si>
  <si>
    <t>Albrechtický pohár</t>
  </si>
  <si>
    <t>12.10.2024</t>
  </si>
  <si>
    <t>Podzimní lipnické koule</t>
  </si>
  <si>
    <t>Polouveský svatomartinský turnaj</t>
  </si>
  <si>
    <t>19.10.2024</t>
  </si>
  <si>
    <t>Meva Cup 2024</t>
  </si>
  <si>
    <t>XXIV. Přebor KV a PLZ kraje, XIV. memoriál Mirka Valenty</t>
  </si>
  <si>
    <t>26.10.2024</t>
  </si>
  <si>
    <t>STOLÍNSKÁ ÚROUŇOUKA</t>
  </si>
  <si>
    <t>Koule z Aurory</t>
  </si>
  <si>
    <t>02.11.2024</t>
  </si>
  <si>
    <t>PCP Lipník</t>
  </si>
  <si>
    <t>Svatomartinská husa</t>
  </si>
  <si>
    <t>09.11.2024</t>
  </si>
  <si>
    <t>Loděnický zimák II.</t>
  </si>
  <si>
    <t>16.11.2024</t>
  </si>
  <si>
    <t>Přítkovský zimák II.</t>
  </si>
  <si>
    <t>17.11.2024</t>
  </si>
  <si>
    <t>29. Přimrzlé koule</t>
  </si>
  <si>
    <t>07.12.2024</t>
  </si>
  <si>
    <t>Seznam klubů ČAPEK</t>
  </si>
  <si>
    <t>(výpis z matriky)</t>
  </si>
  <si>
    <t>Číslo</t>
  </si>
  <si>
    <t>Název klubu</t>
  </si>
  <si>
    <t>Region</t>
  </si>
  <si>
    <t>klubu</t>
  </si>
  <si>
    <t>001</t>
  </si>
  <si>
    <t>1. KPK VRCHLABÍ</t>
  </si>
  <si>
    <t>S</t>
  </si>
  <si>
    <t>002</t>
  </si>
  <si>
    <t>1.STAROBRNĚNSKÝ PK</t>
  </si>
  <si>
    <t>V</t>
  </si>
  <si>
    <t>005</t>
  </si>
  <si>
    <t>C.T.P. CLUB OŘECH</t>
  </si>
  <si>
    <t>Z</t>
  </si>
  <si>
    <t>006</t>
  </si>
  <si>
    <t>CP VARY</t>
  </si>
  <si>
    <t>007</t>
  </si>
  <si>
    <t>PODĚBRADY</t>
  </si>
  <si>
    <t>008</t>
  </si>
  <si>
    <t>DPS</t>
  </si>
  <si>
    <t>010</t>
  </si>
  <si>
    <t>SOP FŇÁKY BRNO</t>
  </si>
  <si>
    <t>011</t>
  </si>
  <si>
    <t>HEJ RUP</t>
  </si>
  <si>
    <t>013</t>
  </si>
  <si>
    <t>014</t>
  </si>
  <si>
    <t>HRODE KRUMSÍN</t>
  </si>
  <si>
    <t>015</t>
  </si>
  <si>
    <t>KULOVÝ BLESK</t>
  </si>
  <si>
    <t>016</t>
  </si>
  <si>
    <t>PCBD</t>
  </si>
  <si>
    <t>017</t>
  </si>
  <si>
    <t>019</t>
  </si>
  <si>
    <t>020</t>
  </si>
  <si>
    <t>PC Sokol LIPNÍK</t>
  </si>
  <si>
    <t>021</t>
  </si>
  <si>
    <t>PEK  STOLÍN</t>
  </si>
  <si>
    <t>022</t>
  </si>
  <si>
    <t>PEPEK</t>
  </si>
  <si>
    <t>023</t>
  </si>
  <si>
    <t>ČESKÝ RÁJ</t>
  </si>
  <si>
    <t>024</t>
  </si>
  <si>
    <t>POP PRAHA</t>
  </si>
  <si>
    <t>027</t>
  </si>
  <si>
    <t>SLOPE BRNO</t>
  </si>
  <si>
    <t>028</t>
  </si>
  <si>
    <t>SOKOL STAŘÍČ</t>
  </si>
  <si>
    <t>029</t>
  </si>
  <si>
    <t>TJ SOKOL SLAVKOV</t>
  </si>
  <si>
    <t>030</t>
  </si>
  <si>
    <t>TOP - ORLOVÁ</t>
  </si>
  <si>
    <t>031</t>
  </si>
  <si>
    <t>Varan Karlovy Vary</t>
  </si>
  <si>
    <t>032</t>
  </si>
  <si>
    <t>ŽHAVÉ KOULE Havlíčkův Brod</t>
  </si>
  <si>
    <t>033</t>
  </si>
  <si>
    <t>035</t>
  </si>
  <si>
    <t>OK Běchovice</t>
  </si>
  <si>
    <t>036</t>
  </si>
  <si>
    <t>Lesklé koule - 1.PC Líšnice</t>
  </si>
  <si>
    <t>037</t>
  </si>
  <si>
    <t>APEC Česká Třebová</t>
  </si>
  <si>
    <t>038</t>
  </si>
  <si>
    <t>TJ Sokol Řepy</t>
  </si>
  <si>
    <t>039</t>
  </si>
  <si>
    <t>PC České Budějovice</t>
  </si>
  <si>
    <t>040</t>
  </si>
  <si>
    <t>PC Praha 13</t>
  </si>
  <si>
    <t>041</t>
  </si>
  <si>
    <t>PETANQUE NIŽBOR</t>
  </si>
  <si>
    <t>042</t>
  </si>
  <si>
    <t>PCP LIPNÍK</t>
  </si>
  <si>
    <t>043</t>
  </si>
  <si>
    <t>FRAPECO</t>
  </si>
  <si>
    <t>044</t>
  </si>
  <si>
    <t>Vojnův Městec</t>
  </si>
  <si>
    <t>045</t>
  </si>
  <si>
    <t>FENYX</t>
  </si>
  <si>
    <t>046</t>
  </si>
  <si>
    <t>LES BOULLES HOSTIVAŘ</t>
  </si>
  <si>
    <t>047</t>
  </si>
  <si>
    <t>TJ AGRO CHEB</t>
  </si>
  <si>
    <t>048</t>
  </si>
  <si>
    <t>AURA Havlíčkův Brod</t>
  </si>
  <si>
    <t>049</t>
  </si>
  <si>
    <t>PEKLUBO Bohnice</t>
  </si>
  <si>
    <t>050</t>
  </si>
  <si>
    <t>HODICE</t>
  </si>
  <si>
    <t>051</t>
  </si>
  <si>
    <t>UBU - United Balls of Únětice</t>
  </si>
  <si>
    <t>052</t>
  </si>
  <si>
    <t>PC Sokol Velim</t>
  </si>
  <si>
    <t>053</t>
  </si>
  <si>
    <t>TJ SOKOL Jabkenice</t>
  </si>
  <si>
    <t>054</t>
  </si>
  <si>
    <t>SK SAHARA Vědomice</t>
  </si>
  <si>
    <t>055</t>
  </si>
  <si>
    <t>PK OSIKA</t>
  </si>
  <si>
    <t>056</t>
  </si>
  <si>
    <t>HRANICE VI.-VALŠOVICE</t>
  </si>
  <si>
    <t>Seznam licencovaných hráčů ČAPEK</t>
  </si>
  <si>
    <t>(výpis z matriky, doplněný výsledky ze žebříčku)</t>
  </si>
  <si>
    <t>č.</t>
  </si>
  <si>
    <t>licence</t>
  </si>
  <si>
    <t>prijmeni</t>
  </si>
  <si>
    <t>jmeno</t>
  </si>
  <si>
    <t>kat</t>
  </si>
  <si>
    <t>klub</t>
  </si>
  <si>
    <t>rocnik</t>
  </si>
  <si>
    <t>cz</t>
  </si>
  <si>
    <t>sila</t>
  </si>
  <si>
    <t>body</t>
  </si>
  <si>
    <t>bonusy</t>
  </si>
  <si>
    <t>Adamec</t>
  </si>
  <si>
    <t>Ladislav</t>
  </si>
  <si>
    <t>Adámek</t>
  </si>
  <si>
    <t>Lukáš</t>
  </si>
  <si>
    <t>Anton</t>
  </si>
  <si>
    <t>Lubomír</t>
  </si>
  <si>
    <t>Babej</t>
  </si>
  <si>
    <t>Petr</t>
  </si>
  <si>
    <t>Balík</t>
  </si>
  <si>
    <t>Martin</t>
  </si>
  <si>
    <t>Petank Club Praha</t>
  </si>
  <si>
    <t>Bartoš</t>
  </si>
  <si>
    <t>Josef</t>
  </si>
  <si>
    <t>Bartošová</t>
  </si>
  <si>
    <t>Helena</t>
  </si>
  <si>
    <t>Zuzana</t>
  </si>
  <si>
    <t>Bauer</t>
  </si>
  <si>
    <t>Ondřej</t>
  </si>
  <si>
    <t>PO Chotěboř</t>
  </si>
  <si>
    <t>Bayer</t>
  </si>
  <si>
    <t>Milan</t>
  </si>
  <si>
    <t>UBU Únětice</t>
  </si>
  <si>
    <t>Miroslav</t>
  </si>
  <si>
    <t>PC AUSTERLITZ 1805</t>
  </si>
  <si>
    <t>Bayerová</t>
  </si>
  <si>
    <t>Hana</t>
  </si>
  <si>
    <t>Bačo</t>
  </si>
  <si>
    <t>David</t>
  </si>
  <si>
    <t>Beckhamová</t>
  </si>
  <si>
    <t>Lilly</t>
  </si>
  <si>
    <t>JZ</t>
  </si>
  <si>
    <t>PCFT Sokoleč</t>
  </si>
  <si>
    <t>Sophia</t>
  </si>
  <si>
    <t>Bejšovec</t>
  </si>
  <si>
    <t>Berecová</t>
  </si>
  <si>
    <t>Barbora</t>
  </si>
  <si>
    <t>Spolek Park Grébovka</t>
  </si>
  <si>
    <t>Beránek ml.</t>
  </si>
  <si>
    <t>PK Sezemice</t>
  </si>
  <si>
    <t>Beránek st.</t>
  </si>
  <si>
    <t>Binko</t>
  </si>
  <si>
    <t>Luděk</t>
  </si>
  <si>
    <t>Blaščák</t>
  </si>
  <si>
    <t>Blažej</t>
  </si>
  <si>
    <t>1. Starobrněnský PK</t>
  </si>
  <si>
    <t>Blažejová</t>
  </si>
  <si>
    <t>Eva</t>
  </si>
  <si>
    <t>Bliek</t>
  </si>
  <si>
    <t>Jiří</t>
  </si>
  <si>
    <t>JAPKO</t>
  </si>
  <si>
    <t>Michael Ray</t>
  </si>
  <si>
    <t>Blieková</t>
  </si>
  <si>
    <t>Alena</t>
  </si>
  <si>
    <t>Borovičková</t>
  </si>
  <si>
    <t>Eliška</t>
  </si>
  <si>
    <t>SKP Kulová osma</t>
  </si>
  <si>
    <t>Borský</t>
  </si>
  <si>
    <t>Matouš</t>
  </si>
  <si>
    <t>Boubínová</t>
  </si>
  <si>
    <t>Vendula</t>
  </si>
  <si>
    <t>Boček</t>
  </si>
  <si>
    <t>Jaroslav</t>
  </si>
  <si>
    <t>Bořuta</t>
  </si>
  <si>
    <t>Brabec</t>
  </si>
  <si>
    <t>Brabencová</t>
  </si>
  <si>
    <t>Renata</t>
  </si>
  <si>
    <t>Brabenec</t>
  </si>
  <si>
    <t>Patrik</t>
  </si>
  <si>
    <t>J</t>
  </si>
  <si>
    <t>Brandes</t>
  </si>
  <si>
    <t>Michael</t>
  </si>
  <si>
    <t>PC Damníkov</t>
  </si>
  <si>
    <t>Valter</t>
  </si>
  <si>
    <t>Brandýský</t>
  </si>
  <si>
    <t>Vladimír</t>
  </si>
  <si>
    <t>Brevčinský</t>
  </si>
  <si>
    <t>Tomáš</t>
  </si>
  <si>
    <t>Brichta</t>
  </si>
  <si>
    <t>Brož</t>
  </si>
  <si>
    <t>Dominik</t>
  </si>
  <si>
    <t>Brož ml.</t>
  </si>
  <si>
    <t>Oldřich</t>
  </si>
  <si>
    <t>PK 1293 Vojnův Městec</t>
  </si>
  <si>
    <t>Brázda ml.</t>
  </si>
  <si>
    <t>Brůna</t>
  </si>
  <si>
    <t>Bucek</t>
  </si>
  <si>
    <t>Zdeněk</t>
  </si>
  <si>
    <t>Buchta</t>
  </si>
  <si>
    <t>Jan</t>
  </si>
  <si>
    <t>Bukovčík</t>
  </si>
  <si>
    <t>Bureš ml.</t>
  </si>
  <si>
    <t>Pavel</t>
  </si>
  <si>
    <t>HAPEK</t>
  </si>
  <si>
    <t>Bureš st.</t>
  </si>
  <si>
    <t>Burešová</t>
  </si>
  <si>
    <t>Anna</t>
  </si>
  <si>
    <t>Jana</t>
  </si>
  <si>
    <t>Bury</t>
  </si>
  <si>
    <t>Radim</t>
  </si>
  <si>
    <t>Bučinský</t>
  </si>
  <si>
    <t>PKT Velký Šanc</t>
  </si>
  <si>
    <t>Bytešník</t>
  </si>
  <si>
    <t>Roman</t>
  </si>
  <si>
    <t>Bytešníková</t>
  </si>
  <si>
    <t>Zlatuše</t>
  </si>
  <si>
    <t>Bílek</t>
  </si>
  <si>
    <t>Daniel</t>
  </si>
  <si>
    <t>Vojtěch</t>
  </si>
  <si>
    <t>Bílková</t>
  </si>
  <si>
    <t>Blanka</t>
  </si>
  <si>
    <t>Bím</t>
  </si>
  <si>
    <t>Luboš</t>
  </si>
  <si>
    <t>Bímová</t>
  </si>
  <si>
    <t>Březina</t>
  </si>
  <si>
    <t>Březinová</t>
  </si>
  <si>
    <t>Ivana</t>
  </si>
  <si>
    <t>Cakl</t>
  </si>
  <si>
    <t>Cekalski</t>
  </si>
  <si>
    <t>Kamil</t>
  </si>
  <si>
    <t>Chaloupek</t>
  </si>
  <si>
    <t>Chalupa</t>
  </si>
  <si>
    <t>Charvát</t>
  </si>
  <si>
    <t>Chludilová</t>
  </si>
  <si>
    <t>Marie</t>
  </si>
  <si>
    <t>Chmelař</t>
  </si>
  <si>
    <t>Ivo</t>
  </si>
  <si>
    <t>Chmelařová</t>
  </si>
  <si>
    <t>Yvetta</t>
  </si>
  <si>
    <t>Chocholouš</t>
  </si>
  <si>
    <t>Chodúr</t>
  </si>
  <si>
    <t>Peter</t>
  </si>
  <si>
    <t>Chudoba</t>
  </si>
  <si>
    <t>Jakub</t>
  </si>
  <si>
    <t>Chval</t>
  </si>
  <si>
    <t>Chvátalová</t>
  </si>
  <si>
    <t>Cicutto</t>
  </si>
  <si>
    <t>Romolo</t>
  </si>
  <si>
    <t>Cicuttová</t>
  </si>
  <si>
    <t>Colin</t>
  </si>
  <si>
    <t>Cyril</t>
  </si>
  <si>
    <t>Csibrei</t>
  </si>
  <si>
    <t>SOKOL Staříč</t>
  </si>
  <si>
    <t>Daněk</t>
  </si>
  <si>
    <t>Defer</t>
  </si>
  <si>
    <t>Thierry</t>
  </si>
  <si>
    <t>Demel</t>
  </si>
  <si>
    <t>Demčík</t>
  </si>
  <si>
    <t>Demčíková</t>
  </si>
  <si>
    <t>Jiřina</t>
  </si>
  <si>
    <t>Dibala</t>
  </si>
  <si>
    <t>Dlouhá</t>
  </si>
  <si>
    <t>Dohnal</t>
  </si>
  <si>
    <t>Karel</t>
  </si>
  <si>
    <t>POP Praha</t>
  </si>
  <si>
    <t>Dolan</t>
  </si>
  <si>
    <t>Dostál</t>
  </si>
  <si>
    <t>Došek</t>
  </si>
  <si>
    <t>Došková</t>
  </si>
  <si>
    <t>Dočyncová</t>
  </si>
  <si>
    <t>Denisa</t>
  </si>
  <si>
    <t>Drmola</t>
  </si>
  <si>
    <t>Michal</t>
  </si>
  <si>
    <t>Drmolová</t>
  </si>
  <si>
    <t>Elena</t>
  </si>
  <si>
    <t>Petra</t>
  </si>
  <si>
    <t>Dudašková</t>
  </si>
  <si>
    <t>Michaela</t>
  </si>
  <si>
    <t>Duman</t>
  </si>
  <si>
    <t>Richard</t>
  </si>
  <si>
    <t>SPORT Kolín</t>
  </si>
  <si>
    <t>Dušek</t>
  </si>
  <si>
    <t>Duška</t>
  </si>
  <si>
    <t>Miloš</t>
  </si>
  <si>
    <t>Dušáková</t>
  </si>
  <si>
    <t>Veronika</t>
  </si>
  <si>
    <t>P.C.B.D.</t>
  </si>
  <si>
    <t>Dvořák</t>
  </si>
  <si>
    <t>Václav</t>
  </si>
  <si>
    <t>PC Sokol PP Hr. Králové</t>
  </si>
  <si>
    <t>Dvořáková</t>
  </si>
  <si>
    <t>Jarmila</t>
  </si>
  <si>
    <t>Taťana</t>
  </si>
  <si>
    <t>Dvořáček</t>
  </si>
  <si>
    <t>Dyba</t>
  </si>
  <si>
    <t>Dalibor</t>
  </si>
  <si>
    <t>Děcká</t>
  </si>
  <si>
    <t>Klára</t>
  </si>
  <si>
    <t>Děcký</t>
  </si>
  <si>
    <t>Dědina</t>
  </si>
  <si>
    <t>Dřevojan</t>
  </si>
  <si>
    <t>Eliáš</t>
  </si>
  <si>
    <t>Filip</t>
  </si>
  <si>
    <t>Fabík</t>
  </si>
  <si>
    <t>Arnošt</t>
  </si>
  <si>
    <t>Fabíková</t>
  </si>
  <si>
    <t>Andrea</t>
  </si>
  <si>
    <t>Silvie</t>
  </si>
  <si>
    <t>Fafek</t>
  </si>
  <si>
    <t>Fafková</t>
  </si>
  <si>
    <t>Fajmon</t>
  </si>
  <si>
    <t>František</t>
  </si>
  <si>
    <t>Radovan</t>
  </si>
  <si>
    <t>Fajmonová</t>
  </si>
  <si>
    <t>Faltýnek</t>
  </si>
  <si>
    <t>Faust</t>
  </si>
  <si>
    <t>Antonín</t>
  </si>
  <si>
    <t>Sokol Kostomlaty</t>
  </si>
  <si>
    <t>Fedor</t>
  </si>
  <si>
    <t>Felčárek</t>
  </si>
  <si>
    <t>Fereš</t>
  </si>
  <si>
    <t>Ferlay</t>
  </si>
  <si>
    <t>Franck</t>
  </si>
  <si>
    <t>Matyáš</t>
  </si>
  <si>
    <t>Fila</t>
  </si>
  <si>
    <t>Fišerová</t>
  </si>
  <si>
    <t>Dana</t>
  </si>
  <si>
    <t>Fleischer</t>
  </si>
  <si>
    <t>Axel</t>
  </si>
  <si>
    <t>Flek</t>
  </si>
  <si>
    <t>Vratislav</t>
  </si>
  <si>
    <t>Foggia Ondryášová</t>
  </si>
  <si>
    <t>Nika</t>
  </si>
  <si>
    <t>Froněk ml.</t>
  </si>
  <si>
    <t>Froněk st.</t>
  </si>
  <si>
    <t>Froňková</t>
  </si>
  <si>
    <t>Kateřina</t>
  </si>
  <si>
    <t>Fryš</t>
  </si>
  <si>
    <t>Fukal</t>
  </si>
  <si>
    <t>Fuksa</t>
  </si>
  <si>
    <t>Gardáš</t>
  </si>
  <si>
    <t>Orel Řečkovice</t>
  </si>
  <si>
    <t>Gavlas</t>
  </si>
  <si>
    <t>Gavlasová</t>
  </si>
  <si>
    <t>Lucie</t>
  </si>
  <si>
    <t>Geisler</t>
  </si>
  <si>
    <t>Dan</t>
  </si>
  <si>
    <t>PEK Stolín</t>
  </si>
  <si>
    <t>Geislerová</t>
  </si>
  <si>
    <t>Glaser</t>
  </si>
  <si>
    <t>Glaserová</t>
  </si>
  <si>
    <t>Danuše</t>
  </si>
  <si>
    <t>Gordonová</t>
  </si>
  <si>
    <t>Květa</t>
  </si>
  <si>
    <t>Gorroňo López</t>
  </si>
  <si>
    <t>Rubi</t>
  </si>
  <si>
    <t>Gratcl</t>
  </si>
  <si>
    <t>SKP Hranice VI-Valšovice</t>
  </si>
  <si>
    <t>Grepl</t>
  </si>
  <si>
    <t>Kamila</t>
  </si>
  <si>
    <t>Zbyněk</t>
  </si>
  <si>
    <t>Gruber</t>
  </si>
  <si>
    <t>SK Pétanque Řepy</t>
  </si>
  <si>
    <t>Gruberová</t>
  </si>
  <si>
    <t>Gráfik</t>
  </si>
  <si>
    <t>Gráfiková</t>
  </si>
  <si>
    <t>Marcela</t>
  </si>
  <si>
    <t>Gröschl</t>
  </si>
  <si>
    <t>Gubiš</t>
  </si>
  <si>
    <t>Górski</t>
  </si>
  <si>
    <t>Pawel</t>
  </si>
  <si>
    <t>Habásko</t>
  </si>
  <si>
    <t>HAVAJ CB</t>
  </si>
  <si>
    <t>Habásková</t>
  </si>
  <si>
    <t>Miroslava</t>
  </si>
  <si>
    <t>Hajný</t>
  </si>
  <si>
    <t>Haman</t>
  </si>
  <si>
    <t>Handl</t>
  </si>
  <si>
    <t>Hanuš</t>
  </si>
  <si>
    <t>Hanzlík</t>
  </si>
  <si>
    <t>Hanák</t>
  </si>
  <si>
    <t>Hanč</t>
  </si>
  <si>
    <t>Hančová</t>
  </si>
  <si>
    <t>Alice</t>
  </si>
  <si>
    <t>Harašta</t>
  </si>
  <si>
    <t>Havel</t>
  </si>
  <si>
    <t>Hašek</t>
  </si>
  <si>
    <t>Hejl ml.</t>
  </si>
  <si>
    <t>Heller</t>
  </si>
  <si>
    <t>Hendrych</t>
  </si>
  <si>
    <t>Hercoková</t>
  </si>
  <si>
    <t>Milena</t>
  </si>
  <si>
    <t>Hervíř</t>
  </si>
  <si>
    <t>Hildenbrand</t>
  </si>
  <si>
    <t>Benjamin</t>
  </si>
  <si>
    <t>Hladký</t>
  </si>
  <si>
    <t>Hladík</t>
  </si>
  <si>
    <t>Hlavatý</t>
  </si>
  <si>
    <t>Hlucho-Horvát</t>
  </si>
  <si>
    <t>Hochmann</t>
  </si>
  <si>
    <t>Hocková</t>
  </si>
  <si>
    <t>Hodboď</t>
  </si>
  <si>
    <t>Hodboďová</t>
  </si>
  <si>
    <t>Romana</t>
  </si>
  <si>
    <t>Hokešová</t>
  </si>
  <si>
    <t>Holanová</t>
  </si>
  <si>
    <t>Holba</t>
  </si>
  <si>
    <t>Holenda</t>
  </si>
  <si>
    <t>Holický</t>
  </si>
  <si>
    <t>Holoubek</t>
  </si>
  <si>
    <t>Horák</t>
  </si>
  <si>
    <t>Libor</t>
  </si>
  <si>
    <t>BePeC 2016</t>
  </si>
  <si>
    <t>Horáková</t>
  </si>
  <si>
    <t>Iva</t>
  </si>
  <si>
    <t>Horálek</t>
  </si>
  <si>
    <t>Horáček</t>
  </si>
  <si>
    <t>Jindřich</t>
  </si>
  <si>
    <t>Horáčková</t>
  </si>
  <si>
    <t>Simona</t>
  </si>
  <si>
    <t>Houška</t>
  </si>
  <si>
    <t>Hošek</t>
  </si>
  <si>
    <t>Vladislav</t>
  </si>
  <si>
    <t>Hrotík</t>
  </si>
  <si>
    <t>Igor</t>
  </si>
  <si>
    <t>Hruška</t>
  </si>
  <si>
    <t>Hrušková</t>
  </si>
  <si>
    <t>Beatrice</t>
  </si>
  <si>
    <t>Hudos</t>
  </si>
  <si>
    <t>Husák</t>
  </si>
  <si>
    <t>Husáková</t>
  </si>
  <si>
    <t>Huttr</t>
  </si>
  <si>
    <t>PK Svojkovice Brod</t>
  </si>
  <si>
    <t>Hutáková</t>
  </si>
  <si>
    <t>Hvížď</t>
  </si>
  <si>
    <t>Hykl</t>
  </si>
  <si>
    <t>Hytych</t>
  </si>
  <si>
    <t>Hájek ml.</t>
  </si>
  <si>
    <t>Hájek st.</t>
  </si>
  <si>
    <t>Hájková</t>
  </si>
  <si>
    <t>Dorota</t>
  </si>
  <si>
    <t>Iveta</t>
  </si>
  <si>
    <t>Hübnerová</t>
  </si>
  <si>
    <t>Kristýna</t>
  </si>
  <si>
    <t>Ilgner</t>
  </si>
  <si>
    <t>Imlauf</t>
  </si>
  <si>
    <t>Iwanuszek</t>
  </si>
  <si>
    <t>Boleslav</t>
  </si>
  <si>
    <t>Jablonský</t>
  </si>
  <si>
    <t>Jakeš</t>
  </si>
  <si>
    <t>Jakubek</t>
  </si>
  <si>
    <t>Janeček</t>
  </si>
  <si>
    <t>Robert</t>
  </si>
  <si>
    <t>Jankovský</t>
  </si>
  <si>
    <t>Janoš</t>
  </si>
  <si>
    <t>Janík</t>
  </si>
  <si>
    <t>Janůjová</t>
  </si>
  <si>
    <t>Jarůšek</t>
  </si>
  <si>
    <t>Javůrková</t>
  </si>
  <si>
    <t>Jelínek</t>
  </si>
  <si>
    <t>Ježek</t>
  </si>
  <si>
    <t>Ježek ml.</t>
  </si>
  <si>
    <t>Ježek st.</t>
  </si>
  <si>
    <t>Jeřala</t>
  </si>
  <si>
    <t>Jeřalová</t>
  </si>
  <si>
    <t>Jeřábek</t>
  </si>
  <si>
    <t>Jindrová</t>
  </si>
  <si>
    <t>Jirkovský</t>
  </si>
  <si>
    <t>Johnová</t>
  </si>
  <si>
    <t>Monika</t>
  </si>
  <si>
    <t>Josífková</t>
  </si>
  <si>
    <t>Jurišta</t>
  </si>
  <si>
    <t>Juráň</t>
  </si>
  <si>
    <t>Kacerovský</t>
  </si>
  <si>
    <t>Kadavá</t>
  </si>
  <si>
    <t>Kalábová</t>
  </si>
  <si>
    <t>Kamaryt</t>
  </si>
  <si>
    <t>Kamarád</t>
  </si>
  <si>
    <t>Prokop</t>
  </si>
  <si>
    <t>Kamarádová</t>
  </si>
  <si>
    <t>Kameník</t>
  </si>
  <si>
    <t>Kapeš</t>
  </si>
  <si>
    <t>Kaplánek</t>
  </si>
  <si>
    <t>Karásek</t>
  </si>
  <si>
    <t>Karásková</t>
  </si>
  <si>
    <t>Soňa</t>
  </si>
  <si>
    <t>Kasman</t>
  </si>
  <si>
    <t>Kauca</t>
  </si>
  <si>
    <t>Kauer</t>
  </si>
  <si>
    <t>Helmut</t>
  </si>
  <si>
    <t>Kašparová</t>
  </si>
  <si>
    <t>Kerner</t>
  </si>
  <si>
    <t>Michala</t>
  </si>
  <si>
    <t>Kholová</t>
  </si>
  <si>
    <t>Zdeňka</t>
  </si>
  <si>
    <t>Kick</t>
  </si>
  <si>
    <t>Sandra</t>
  </si>
  <si>
    <t>Klenner</t>
  </si>
  <si>
    <t>Klouda</t>
  </si>
  <si>
    <t>Aleš</t>
  </si>
  <si>
    <t>Kloudová</t>
  </si>
  <si>
    <t>Klír</t>
  </si>
  <si>
    <t>Kmoch</t>
  </si>
  <si>
    <t>Knespl</t>
  </si>
  <si>
    <t>Knápek</t>
  </si>
  <si>
    <t>Kobr</t>
  </si>
  <si>
    <t>Štěpán</t>
  </si>
  <si>
    <t>Kobrová</t>
  </si>
  <si>
    <t>Kobza</t>
  </si>
  <si>
    <t>Kohoutek</t>
  </si>
  <si>
    <t>Koláčná</t>
  </si>
  <si>
    <t>Koláčný</t>
  </si>
  <si>
    <t>Konečná</t>
  </si>
  <si>
    <t>Mariana</t>
  </si>
  <si>
    <t>Konečný</t>
  </si>
  <si>
    <t>Jonáš</t>
  </si>
  <si>
    <t>Konig</t>
  </si>
  <si>
    <t>Drahomír</t>
  </si>
  <si>
    <t>Konopová</t>
  </si>
  <si>
    <t>Marta</t>
  </si>
  <si>
    <t>Konopásek</t>
  </si>
  <si>
    <t>Konšel</t>
  </si>
  <si>
    <t>Robin</t>
  </si>
  <si>
    <t>Kopečný</t>
  </si>
  <si>
    <t>Koreš ml.</t>
  </si>
  <si>
    <t>Koreš st.</t>
  </si>
  <si>
    <t>Korešová</t>
  </si>
  <si>
    <t>Korselt</t>
  </si>
  <si>
    <t>Korčáková</t>
  </si>
  <si>
    <t>Kot</t>
  </si>
  <si>
    <t>Kotas</t>
  </si>
  <si>
    <t>Kotová</t>
  </si>
  <si>
    <t>Kotúčová</t>
  </si>
  <si>
    <t>Koudelka</t>
  </si>
  <si>
    <t>Koudelková</t>
  </si>
  <si>
    <t>Magdalena</t>
  </si>
  <si>
    <t>Kovář</t>
  </si>
  <si>
    <t>SKMZ Sport</t>
  </si>
  <si>
    <t>Kozak</t>
  </si>
  <si>
    <t>Kozaková</t>
  </si>
  <si>
    <t>Kozák</t>
  </si>
  <si>
    <t>Kozáková</t>
  </si>
  <si>
    <t>Krajánková</t>
  </si>
  <si>
    <t>Krassa</t>
  </si>
  <si>
    <t>Kratochvílová</t>
  </si>
  <si>
    <t>Anežka</t>
  </si>
  <si>
    <t>Mária</t>
  </si>
  <si>
    <t>Krejčín</t>
  </si>
  <si>
    <t>Leoš</t>
  </si>
  <si>
    <t>Krejčínová</t>
  </si>
  <si>
    <t>Kremlík</t>
  </si>
  <si>
    <t>Kremlíková</t>
  </si>
  <si>
    <t>Tereza</t>
  </si>
  <si>
    <t>Krhovská</t>
  </si>
  <si>
    <t>Krpcová</t>
  </si>
  <si>
    <t>Krpec</t>
  </si>
  <si>
    <t>Krtička</t>
  </si>
  <si>
    <t>Krupica</t>
  </si>
  <si>
    <t>Krupicová</t>
  </si>
  <si>
    <t>Gabriela</t>
  </si>
  <si>
    <t>Natálie</t>
  </si>
  <si>
    <t>Krystková</t>
  </si>
  <si>
    <t>Král</t>
  </si>
  <si>
    <t>Králová</t>
  </si>
  <si>
    <t>Krčál</t>
  </si>
  <si>
    <t>Krůlová</t>
  </si>
  <si>
    <t>Jaroslava</t>
  </si>
  <si>
    <t>Kubeš</t>
  </si>
  <si>
    <t>Kubista</t>
  </si>
  <si>
    <t>Kubánek</t>
  </si>
  <si>
    <t>Kuchařová</t>
  </si>
  <si>
    <t>Kuchyňka</t>
  </si>
  <si>
    <t>Kula</t>
  </si>
  <si>
    <t>Kulhánek</t>
  </si>
  <si>
    <t>Kuman</t>
  </si>
  <si>
    <t>Kutra</t>
  </si>
  <si>
    <t>Oldřích</t>
  </si>
  <si>
    <t>Kutá</t>
  </si>
  <si>
    <t>Miloslava</t>
  </si>
  <si>
    <t>Kutý</t>
  </si>
  <si>
    <t>Kvítek</t>
  </si>
  <si>
    <t>Franjo</t>
  </si>
  <si>
    <t>Kynčl</t>
  </si>
  <si>
    <t>Kára</t>
  </si>
  <si>
    <t>Křížek</t>
  </si>
  <si>
    <t>Evžen</t>
  </si>
  <si>
    <t>Kúřil</t>
  </si>
  <si>
    <t>Kübel</t>
  </si>
  <si>
    <t>Lapihuska</t>
  </si>
  <si>
    <t>Lapihuska ml.</t>
  </si>
  <si>
    <t>Lapihuska st.</t>
  </si>
  <si>
    <t>Lazarová</t>
  </si>
  <si>
    <t>Leiský</t>
  </si>
  <si>
    <t>Leander</t>
  </si>
  <si>
    <t>Lengál</t>
  </si>
  <si>
    <t>Levínský</t>
  </si>
  <si>
    <t>Radek</t>
  </si>
  <si>
    <t>Lichorobiec</t>
  </si>
  <si>
    <t>Stanislav</t>
  </si>
  <si>
    <t>Lichorobiecová</t>
  </si>
  <si>
    <t>Beata</t>
  </si>
  <si>
    <t>Litvin</t>
  </si>
  <si>
    <t>Vasil</t>
  </si>
  <si>
    <t>Lopatka</t>
  </si>
  <si>
    <t>Loprais</t>
  </si>
  <si>
    <t>Louda</t>
  </si>
  <si>
    <t>Ludvová Hašková</t>
  </si>
  <si>
    <t>Lujková</t>
  </si>
  <si>
    <t>Lukačevič</t>
  </si>
  <si>
    <t>Lukačevič Trojak</t>
  </si>
  <si>
    <t>Lukeš</t>
  </si>
  <si>
    <t>PLUK Jablonec</t>
  </si>
  <si>
    <t>Vít</t>
  </si>
  <si>
    <t>Lukášová</t>
  </si>
  <si>
    <t>Mach</t>
  </si>
  <si>
    <t>Macháček</t>
  </si>
  <si>
    <t>Malina</t>
  </si>
  <si>
    <t>Mališ</t>
  </si>
  <si>
    <t>Mallat</t>
  </si>
  <si>
    <t>Malá</t>
  </si>
  <si>
    <t>Margita</t>
  </si>
  <si>
    <t>Malínská</t>
  </si>
  <si>
    <t>Malínský</t>
  </si>
  <si>
    <t>Malý</t>
  </si>
  <si>
    <t>Mandíková</t>
  </si>
  <si>
    <t>Sylva</t>
  </si>
  <si>
    <t>Manka</t>
  </si>
  <si>
    <t>Heinz</t>
  </si>
  <si>
    <t>Marcián</t>
  </si>
  <si>
    <t>Marešová</t>
  </si>
  <si>
    <t>Mareček</t>
  </si>
  <si>
    <t>Marečková</t>
  </si>
  <si>
    <t>Yvonne</t>
  </si>
  <si>
    <t>Marhoul</t>
  </si>
  <si>
    <t>Maršík</t>
  </si>
  <si>
    <t>Matoušek</t>
  </si>
  <si>
    <t>Matuška</t>
  </si>
  <si>
    <t>Mazúr</t>
  </si>
  <si>
    <t>Mazúrová</t>
  </si>
  <si>
    <t>Pavla</t>
  </si>
  <si>
    <t>Mašek</t>
  </si>
  <si>
    <t>Maňák</t>
  </si>
  <si>
    <t>Meduna</t>
  </si>
  <si>
    <t>Vilém</t>
  </si>
  <si>
    <t>Medunová</t>
  </si>
  <si>
    <t>Melen</t>
  </si>
  <si>
    <t>Melgr</t>
  </si>
  <si>
    <t>Melich Mallatová</t>
  </si>
  <si>
    <t>Merta</t>
  </si>
  <si>
    <t>Jáchym</t>
  </si>
  <si>
    <t>Michalička</t>
  </si>
  <si>
    <t>Michovská</t>
  </si>
  <si>
    <t>Michovský st.</t>
  </si>
  <si>
    <t>Michálek</t>
  </si>
  <si>
    <t>Michálková</t>
  </si>
  <si>
    <t>Mifka</t>
  </si>
  <si>
    <t>Mikel</t>
  </si>
  <si>
    <t>Mikyška</t>
  </si>
  <si>
    <t>Mikyšková</t>
  </si>
  <si>
    <t>Agáta</t>
  </si>
  <si>
    <t>Mikšovský</t>
  </si>
  <si>
    <t>Mimra</t>
  </si>
  <si>
    <t>Mimrová</t>
  </si>
  <si>
    <t>Mokoš</t>
  </si>
  <si>
    <t>Moos</t>
  </si>
  <si>
    <t>Dušan</t>
  </si>
  <si>
    <t>Moravec</t>
  </si>
  <si>
    <t>Morávek</t>
  </si>
  <si>
    <t>Motl</t>
  </si>
  <si>
    <t>Bohuslav</t>
  </si>
  <si>
    <t>Motlová</t>
  </si>
  <si>
    <t>Moucha</t>
  </si>
  <si>
    <t>Moutelíková</t>
  </si>
  <si>
    <t>Mrlina</t>
  </si>
  <si>
    <t>Mrňák</t>
  </si>
  <si>
    <t>Musil</t>
  </si>
  <si>
    <t>Musilová</t>
  </si>
  <si>
    <t>Václava</t>
  </si>
  <si>
    <t>Muzikant</t>
  </si>
  <si>
    <t>Míčková</t>
  </si>
  <si>
    <t>Adriana</t>
  </si>
  <si>
    <t>Müllerová</t>
  </si>
  <si>
    <t>Navalaný</t>
  </si>
  <si>
    <t>Navrátil</t>
  </si>
  <si>
    <t>Navrátilová</t>
  </si>
  <si>
    <t>Nepomucký</t>
  </si>
  <si>
    <t>Netopil</t>
  </si>
  <si>
    <t>Netušil</t>
  </si>
  <si>
    <t>Novotná</t>
  </si>
  <si>
    <t>Alžběta</t>
  </si>
  <si>
    <t>Novotný</t>
  </si>
  <si>
    <t>Němec</t>
  </si>
  <si>
    <t>Němečková</t>
  </si>
  <si>
    <t>Radomíra</t>
  </si>
  <si>
    <t>Nývlt</t>
  </si>
  <si>
    <t>Adam</t>
  </si>
  <si>
    <t>Olbort</t>
  </si>
  <si>
    <t>Olšar</t>
  </si>
  <si>
    <t>Marek</t>
  </si>
  <si>
    <t>Ondruška</t>
  </si>
  <si>
    <t>Ondryhal</t>
  </si>
  <si>
    <t>Ondryáš</t>
  </si>
  <si>
    <t>Oujezdský</t>
  </si>
  <si>
    <t>Pacák</t>
  </si>
  <si>
    <t>Palas</t>
  </si>
  <si>
    <t>Palicová</t>
  </si>
  <si>
    <t>Markéta</t>
  </si>
  <si>
    <t>Palička</t>
  </si>
  <si>
    <t>Pastorek</t>
  </si>
  <si>
    <t>Patala</t>
  </si>
  <si>
    <t>Patalová</t>
  </si>
  <si>
    <t>Paták</t>
  </si>
  <si>
    <t>Paulík</t>
  </si>
  <si>
    <t>Pavlík st.</t>
  </si>
  <si>
    <t>Pavlíková</t>
  </si>
  <si>
    <t>Pechr</t>
  </si>
  <si>
    <t>Pejsar</t>
  </si>
  <si>
    <t>Pellizon</t>
  </si>
  <si>
    <t>Boris Alfred</t>
  </si>
  <si>
    <t>Petrasová</t>
  </si>
  <si>
    <t>Petrželka</t>
  </si>
  <si>
    <t>Petrášová</t>
  </si>
  <si>
    <t>Petura</t>
  </si>
  <si>
    <t>Pešta</t>
  </si>
  <si>
    <t>Pešťák</t>
  </si>
  <si>
    <t>Pfeiffer</t>
  </si>
  <si>
    <t>Piller</t>
  </si>
  <si>
    <t>Pillerová</t>
  </si>
  <si>
    <t>Pilát</t>
  </si>
  <si>
    <t>Piontek</t>
  </si>
  <si>
    <t>Pipta</t>
  </si>
  <si>
    <t>Plesník</t>
  </si>
  <si>
    <t>Plucar</t>
  </si>
  <si>
    <t>Podroužková</t>
  </si>
  <si>
    <t>Ingrid</t>
  </si>
  <si>
    <t>Podrábský</t>
  </si>
  <si>
    <t>Pokorná</t>
  </si>
  <si>
    <t>Pokorný</t>
  </si>
  <si>
    <t>Polách</t>
  </si>
  <si>
    <t>Poláchová</t>
  </si>
  <si>
    <t>Popelka</t>
  </si>
  <si>
    <t>Pospíšilová</t>
  </si>
  <si>
    <t>Šárka</t>
  </si>
  <si>
    <t>Potrošovská</t>
  </si>
  <si>
    <t>Potrošovský</t>
  </si>
  <si>
    <t>Potužák</t>
  </si>
  <si>
    <t>Pořízka</t>
  </si>
  <si>
    <t>Zbyšek</t>
  </si>
  <si>
    <t>Pražáková</t>
  </si>
  <si>
    <t>Preuss</t>
  </si>
  <si>
    <t>Proroková</t>
  </si>
  <si>
    <t>Prouzová</t>
  </si>
  <si>
    <t>Ptáček</t>
  </si>
  <si>
    <t>Ptáčková</t>
  </si>
  <si>
    <t>Brigita</t>
  </si>
  <si>
    <t>Puhr</t>
  </si>
  <si>
    <t>Jaromír</t>
  </si>
  <si>
    <t>Pánek</t>
  </si>
  <si>
    <t>Miloslav</t>
  </si>
  <si>
    <t>Pírek</t>
  </si>
  <si>
    <t>Přibyl</t>
  </si>
  <si>
    <t>Přikryl</t>
  </si>
  <si>
    <t>Půža</t>
  </si>
  <si>
    <t>Radechovský</t>
  </si>
  <si>
    <t>Radoušová</t>
  </si>
  <si>
    <t>Rafaj</t>
  </si>
  <si>
    <t>Rakoncza</t>
  </si>
  <si>
    <t>Rambousek</t>
  </si>
  <si>
    <t>Radomil</t>
  </si>
  <si>
    <t>Reinbergrová</t>
  </si>
  <si>
    <t>Rendek</t>
  </si>
  <si>
    <t>Rendla</t>
  </si>
  <si>
    <t>Resl</t>
  </si>
  <si>
    <t>Režová</t>
  </si>
  <si>
    <t>Riegerová</t>
  </si>
  <si>
    <t>Marianna</t>
  </si>
  <si>
    <t>Roger</t>
  </si>
  <si>
    <t>Thomas</t>
  </si>
  <si>
    <t>Rolínek</t>
  </si>
  <si>
    <t>Rousek</t>
  </si>
  <si>
    <t>Simon</t>
  </si>
  <si>
    <t>Rousková</t>
  </si>
  <si>
    <t>Nina</t>
  </si>
  <si>
    <t>Rusek</t>
  </si>
  <si>
    <t>Rusková</t>
  </si>
  <si>
    <t>Rozálie</t>
  </si>
  <si>
    <t>Ruta</t>
  </si>
  <si>
    <t>Samuel</t>
  </si>
  <si>
    <t>Rychtář</t>
  </si>
  <si>
    <t>Rylich</t>
  </si>
  <si>
    <t>Rytíř</t>
  </si>
  <si>
    <t>Ryvola</t>
  </si>
  <si>
    <t>Ryvolová</t>
  </si>
  <si>
    <t>Růžičková</t>
  </si>
  <si>
    <t>Milada</t>
  </si>
  <si>
    <t>Salač</t>
  </si>
  <si>
    <t>Schejbal</t>
  </si>
  <si>
    <t>Schinzel</t>
  </si>
  <si>
    <t>Schinzelová</t>
  </si>
  <si>
    <t>Schliegsbirová</t>
  </si>
  <si>
    <t>Zdenka</t>
  </si>
  <si>
    <t>Sedláčková</t>
  </si>
  <si>
    <t>Hedvika</t>
  </si>
  <si>
    <t>Sekerešová</t>
  </si>
  <si>
    <t>Jindřiška</t>
  </si>
  <si>
    <t>Semeniv</t>
  </si>
  <si>
    <t>Maryana Khrystyna</t>
  </si>
  <si>
    <t>Semotam</t>
  </si>
  <si>
    <t>Semrád</t>
  </si>
  <si>
    <t>Seredová</t>
  </si>
  <si>
    <t>Shonová</t>
  </si>
  <si>
    <t>Sionová</t>
  </si>
  <si>
    <t>Lenka</t>
  </si>
  <si>
    <t>Skala</t>
  </si>
  <si>
    <t>Skopal</t>
  </si>
  <si>
    <t>Skřepský</t>
  </si>
  <si>
    <t>Slavíčková</t>
  </si>
  <si>
    <t>Slunečko</t>
  </si>
  <si>
    <t>Sládková</t>
  </si>
  <si>
    <t>Smieško</t>
  </si>
  <si>
    <t>Smitek</t>
  </si>
  <si>
    <t>Smola</t>
  </si>
  <si>
    <t>Lumír</t>
  </si>
  <si>
    <t>Soldán</t>
  </si>
  <si>
    <t>Spilka</t>
  </si>
  <si>
    <t>Srnská</t>
  </si>
  <si>
    <t>Srnský</t>
  </si>
  <si>
    <t>Staneková</t>
  </si>
  <si>
    <t>Staněk</t>
  </si>
  <si>
    <t>Steinlauf</t>
  </si>
  <si>
    <t>Stejskal</t>
  </si>
  <si>
    <t>Stephan</t>
  </si>
  <si>
    <t>Stloukal</t>
  </si>
  <si>
    <t>Stoklásek</t>
  </si>
  <si>
    <t>Straka</t>
  </si>
  <si>
    <t>Strouhal</t>
  </si>
  <si>
    <t>Strouhalová</t>
  </si>
  <si>
    <t>Adéla</t>
  </si>
  <si>
    <t>Terezie</t>
  </si>
  <si>
    <t>Stráněl</t>
  </si>
  <si>
    <t>Suchomel</t>
  </si>
  <si>
    <t>Sudoměřický</t>
  </si>
  <si>
    <t>Suková</t>
  </si>
  <si>
    <t>Svoboda</t>
  </si>
  <si>
    <t>Rostislav</t>
  </si>
  <si>
    <t>Svobodová</t>
  </si>
  <si>
    <t>Syrovátka</t>
  </si>
  <si>
    <t>Tauchmanová</t>
  </si>
  <si>
    <t>Radka</t>
  </si>
  <si>
    <t>Tintěra</t>
  </si>
  <si>
    <t>Tintěrová</t>
  </si>
  <si>
    <t>Tománek</t>
  </si>
  <si>
    <t>Tomášková</t>
  </si>
  <si>
    <t>Topolovský</t>
  </si>
  <si>
    <t>Trier</t>
  </si>
  <si>
    <t>Trmal</t>
  </si>
  <si>
    <t>Trnková</t>
  </si>
  <si>
    <t>Vladimíra</t>
  </si>
  <si>
    <t>Trudič</t>
  </si>
  <si>
    <t>Trýzna</t>
  </si>
  <si>
    <t>Turek</t>
  </si>
  <si>
    <t>Tymeš</t>
  </si>
  <si>
    <t>Tyrol</t>
  </si>
  <si>
    <t>Ulmann</t>
  </si>
  <si>
    <t>Urbanová</t>
  </si>
  <si>
    <t>Bronislava</t>
  </si>
  <si>
    <t>Vais</t>
  </si>
  <si>
    <t>Vajová</t>
  </si>
  <si>
    <t>Vajčovec</t>
  </si>
  <si>
    <t>Valenz</t>
  </si>
  <si>
    <t>Valenzová</t>
  </si>
  <si>
    <t>Valová</t>
  </si>
  <si>
    <t>Valošek</t>
  </si>
  <si>
    <t>Hugo</t>
  </si>
  <si>
    <t>Valošková</t>
  </si>
  <si>
    <t>Sára</t>
  </si>
  <si>
    <t>Valík</t>
  </si>
  <si>
    <t>Van Den Heuvel</t>
  </si>
  <si>
    <t>Johannes Lambertus</t>
  </si>
  <si>
    <t>Vančurová</t>
  </si>
  <si>
    <t>Vančák</t>
  </si>
  <si>
    <t>Vaníček</t>
  </si>
  <si>
    <t>Rudolf</t>
  </si>
  <si>
    <t>Vaníčková</t>
  </si>
  <si>
    <t>Vavrovič ml.</t>
  </si>
  <si>
    <t>Vavrovič st.</t>
  </si>
  <si>
    <t>Vašíček</t>
  </si>
  <si>
    <t>Vaňková</t>
  </si>
  <si>
    <t>Zhijing</t>
  </si>
  <si>
    <t>Vedral</t>
  </si>
  <si>
    <t>Vedralová</t>
  </si>
  <si>
    <t>Vejrek</t>
  </si>
  <si>
    <t>Velek</t>
  </si>
  <si>
    <t>Venclová</t>
  </si>
  <si>
    <t>Vlach</t>
  </si>
  <si>
    <t>Vlk</t>
  </si>
  <si>
    <t>Vochoč</t>
  </si>
  <si>
    <t>Vodehnal</t>
  </si>
  <si>
    <t>Vodehnalová</t>
  </si>
  <si>
    <t>Jindra</t>
  </si>
  <si>
    <t>Vokrouhlíková</t>
  </si>
  <si>
    <t>Věra</t>
  </si>
  <si>
    <t>Vokurka</t>
  </si>
  <si>
    <t>Voldřichová</t>
  </si>
  <si>
    <t>Dagmar</t>
  </si>
  <si>
    <t>Volenec</t>
  </si>
  <si>
    <t>Voltr</t>
  </si>
  <si>
    <t>Vondrouš</t>
  </si>
  <si>
    <t>Vondráčková</t>
  </si>
  <si>
    <t>Vozka</t>
  </si>
  <si>
    <t>Šimon</t>
  </si>
  <si>
    <t>Voňka</t>
  </si>
  <si>
    <t>Voříšková</t>
  </si>
  <si>
    <t>Irena</t>
  </si>
  <si>
    <t>Vrzal</t>
  </si>
  <si>
    <t>Radomír</t>
  </si>
  <si>
    <t>Vrána</t>
  </si>
  <si>
    <t>Theodor</t>
  </si>
  <si>
    <t>Vyoral</t>
  </si>
  <si>
    <t>Hynek</t>
  </si>
  <si>
    <t>Vytiska</t>
  </si>
  <si>
    <t>Vytisková</t>
  </si>
  <si>
    <t>Vávra</t>
  </si>
  <si>
    <t>Vávrová</t>
  </si>
  <si>
    <t>Váňová</t>
  </si>
  <si>
    <t>Vérosta</t>
  </si>
  <si>
    <t>Víchová</t>
  </si>
  <si>
    <t>Watorová</t>
  </si>
  <si>
    <t>Stanislava</t>
  </si>
  <si>
    <t>Wiesner</t>
  </si>
  <si>
    <t>Wünsche</t>
  </si>
  <si>
    <t>Zapletalová</t>
  </si>
  <si>
    <t>Zdobinská</t>
  </si>
  <si>
    <t>Karolína</t>
  </si>
  <si>
    <t>Zdobinský</t>
  </si>
  <si>
    <t>Zelinka</t>
  </si>
  <si>
    <t>Zibura</t>
  </si>
  <si>
    <t>Ziegler</t>
  </si>
  <si>
    <t>Jochen</t>
  </si>
  <si>
    <t>Zikmunda</t>
  </si>
  <si>
    <t>Matěj</t>
  </si>
  <si>
    <t>Zoubek</t>
  </si>
  <si>
    <t>Henri</t>
  </si>
  <si>
    <t>Zálešák</t>
  </si>
  <si>
    <t>Zámečník</t>
  </si>
  <si>
    <t>Šatra</t>
  </si>
  <si>
    <t>Šebek</t>
  </si>
  <si>
    <t>Viktor</t>
  </si>
  <si>
    <t>Šedivý</t>
  </si>
  <si>
    <t>Ševčík</t>
  </si>
  <si>
    <t>Šimara</t>
  </si>
  <si>
    <t>Šimíček</t>
  </si>
  <si>
    <t>Šipr</t>
  </si>
  <si>
    <t>Škobrtal</t>
  </si>
  <si>
    <t>Škopek</t>
  </si>
  <si>
    <t>Šlapanský</t>
  </si>
  <si>
    <t>Šnejdr</t>
  </si>
  <si>
    <t>Šorm</t>
  </si>
  <si>
    <t>Šplechtová</t>
  </si>
  <si>
    <t>Šplíchal</t>
  </si>
  <si>
    <t>Šponer</t>
  </si>
  <si>
    <t>Šrubař</t>
  </si>
  <si>
    <t>Šrubařová</t>
  </si>
  <si>
    <t>Štefanová</t>
  </si>
  <si>
    <t>Šternberg</t>
  </si>
  <si>
    <t>Šternbergová</t>
  </si>
  <si>
    <t>Nikola</t>
  </si>
  <si>
    <t>Štolová</t>
  </si>
  <si>
    <t>Štverková</t>
  </si>
  <si>
    <t>Štěpánek</t>
  </si>
  <si>
    <t>Štěpánková</t>
  </si>
  <si>
    <t>Štěpánová</t>
  </si>
  <si>
    <t>Šugar</t>
  </si>
  <si>
    <t>Šulc</t>
  </si>
  <si>
    <t>Šuster</t>
  </si>
  <si>
    <t>Švecová</t>
  </si>
  <si>
    <t>Ludmila</t>
  </si>
  <si>
    <t>Švimberská</t>
  </si>
  <si>
    <t>Švimberský</t>
  </si>
  <si>
    <t>Šídlová</t>
  </si>
  <si>
    <t>Šíma</t>
  </si>
  <si>
    <t>Žbánek</t>
  </si>
  <si>
    <t>Žiak</t>
  </si>
  <si>
    <t>Židek</t>
  </si>
  <si>
    <t>Židková</t>
  </si>
  <si>
    <t>Žižka</t>
  </si>
  <si>
    <t>Žáková</t>
  </si>
  <si>
    <t>Naděžda</t>
  </si>
  <si>
    <t>Žárský</t>
  </si>
  <si>
    <t>Žídek</t>
  </si>
  <si>
    <t>Žídková</t>
  </si>
  <si>
    <t>Žůrek</t>
  </si>
  <si>
    <t>Čejpa</t>
  </si>
  <si>
    <t>Čejpová</t>
  </si>
  <si>
    <t>Čermák</t>
  </si>
  <si>
    <t>Černý</t>
  </si>
  <si>
    <t>Čihák</t>
  </si>
  <si>
    <t>Čiháková</t>
  </si>
  <si>
    <t>Čiviš</t>
  </si>
  <si>
    <t>Řehoř</t>
  </si>
  <si>
    <t>Řezníček</t>
  </si>
  <si>
    <t>Řezníčková</t>
  </si>
  <si>
    <t>Řeřucha</t>
  </si>
  <si>
    <t>Říha</t>
  </si>
  <si>
    <t>Shon</t>
  </si>
  <si>
    <t>Sivák</t>
  </si>
  <si>
    <t>Sjögren</t>
  </si>
  <si>
    <t>Magda</t>
  </si>
  <si>
    <t>Skokan</t>
  </si>
  <si>
    <t>Skřivan</t>
  </si>
  <si>
    <t>Slaný</t>
  </si>
  <si>
    <t>Slezák</t>
  </si>
  <si>
    <t>Club Rodamiento</t>
  </si>
  <si>
    <t>Slobodová</t>
  </si>
  <si>
    <t>Smitková</t>
  </si>
  <si>
    <t>Jaroslav st.</t>
  </si>
  <si>
    <t>Soukup</t>
  </si>
  <si>
    <t>Stacke</t>
  </si>
  <si>
    <t>Steiger</t>
  </si>
  <si>
    <t>Bohumír</t>
  </si>
  <si>
    <t>FŇÁKY BRNO</t>
  </si>
  <si>
    <t>Stoklásková</t>
  </si>
  <si>
    <t>Straková</t>
  </si>
  <si>
    <t>Strych</t>
  </si>
  <si>
    <t>ČPK Poděbrady</t>
  </si>
  <si>
    <t>Suk</t>
  </si>
  <si>
    <t>Tieku</t>
  </si>
  <si>
    <t>Tony</t>
  </si>
  <si>
    <t>PK Sokol Medlánky</t>
  </si>
  <si>
    <t>Tišer</t>
  </si>
  <si>
    <t>Tkadlecová</t>
  </si>
  <si>
    <t>Ton</t>
  </si>
  <si>
    <t>Tydlitát</t>
  </si>
  <si>
    <t>SENIOR TÝM Praha 1</t>
  </si>
  <si>
    <t>Tymeš ml.</t>
  </si>
  <si>
    <t>Tymešová</t>
  </si>
  <si>
    <t>Jitka</t>
  </si>
  <si>
    <t>Vacek</t>
  </si>
  <si>
    <t>Valenta</t>
  </si>
  <si>
    <t>Valentová</t>
  </si>
  <si>
    <t>PK Osika Plzeň</t>
  </si>
  <si>
    <t>Valášek</t>
  </si>
  <si>
    <t>Valášková</t>
  </si>
  <si>
    <t>Vaněk</t>
  </si>
  <si>
    <t>Vavrovič</t>
  </si>
  <si>
    <t>Petr ml.</t>
  </si>
  <si>
    <t>Petr st.</t>
  </si>
  <si>
    <t>Zhi Jing</t>
  </si>
  <si>
    <t>Vencl</t>
  </si>
  <si>
    <t>Aleš ml.</t>
  </si>
  <si>
    <t>Vilímová</t>
  </si>
  <si>
    <t>Vinopalová</t>
  </si>
  <si>
    <t>Vinter</t>
  </si>
  <si>
    <t>Visingerová</t>
  </si>
  <si>
    <t>Vondrová</t>
  </si>
  <si>
    <t>Vorel</t>
  </si>
  <si>
    <t>Vostradovský</t>
  </si>
  <si>
    <t>Vrbová</t>
  </si>
  <si>
    <t>Vytisková ml.</t>
  </si>
  <si>
    <t>Vápeníková</t>
  </si>
  <si>
    <t>Růženka</t>
  </si>
  <si>
    <t>Vítovcová</t>
  </si>
  <si>
    <t>Bowle 09 Klatovy</t>
  </si>
  <si>
    <t>Waclawiková</t>
  </si>
  <si>
    <t>Weinberger</t>
  </si>
  <si>
    <t>Wilhelm</t>
  </si>
  <si>
    <t>Zajdák</t>
  </si>
  <si>
    <t>Zbořilová</t>
  </si>
  <si>
    <t>Michal ml.</t>
  </si>
  <si>
    <t>Zenklová</t>
  </si>
  <si>
    <t>Znamínko</t>
  </si>
  <si>
    <t>Zábojník</t>
  </si>
  <si>
    <t>Zátka</t>
  </si>
  <si>
    <t>Zítková</t>
  </si>
  <si>
    <t>Šamšulová</t>
  </si>
  <si>
    <t>Šašek</t>
  </si>
  <si>
    <t>Šebestová</t>
  </si>
  <si>
    <t>Šeda</t>
  </si>
  <si>
    <t>Šilarová</t>
  </si>
  <si>
    <t>Šildberger</t>
  </si>
  <si>
    <t>Šimek</t>
  </si>
  <si>
    <t>Škarda</t>
  </si>
  <si>
    <t>Škarvada</t>
  </si>
  <si>
    <t>Šklíba</t>
  </si>
  <si>
    <t>Škorničková</t>
  </si>
  <si>
    <t>Luboš St.</t>
  </si>
  <si>
    <t>Šlezarová</t>
  </si>
  <si>
    <t>Šmic</t>
  </si>
  <si>
    <t>Ivan</t>
  </si>
  <si>
    <t>Šnajdrová</t>
  </si>
  <si>
    <t>Šormová</t>
  </si>
  <si>
    <t>Olga</t>
  </si>
  <si>
    <t>Španerová</t>
  </si>
  <si>
    <t>Špitálský</t>
  </si>
  <si>
    <t>Štol</t>
  </si>
  <si>
    <t>Jasmína</t>
  </si>
  <si>
    <t>Zdeńka</t>
  </si>
  <si>
    <t>Štípek</t>
  </si>
  <si>
    <t>Šuk</t>
  </si>
  <si>
    <t>Šupol</t>
  </si>
  <si>
    <t>Šupolíková</t>
  </si>
  <si>
    <t>Žipková</t>
  </si>
  <si>
    <t>Čanda</t>
  </si>
  <si>
    <t>Čapková</t>
  </si>
  <si>
    <t>Čarek</t>
  </si>
  <si>
    <t>Čermáková</t>
  </si>
  <si>
    <t>Černá</t>
  </si>
  <si>
    <t>Červenková</t>
  </si>
  <si>
    <t>Čížek</t>
  </si>
  <si>
    <t>Řezníková</t>
  </si>
  <si>
    <t>Řezáčová</t>
  </si>
  <si>
    <t>Svatava</t>
  </si>
  <si>
    <t>Říhová</t>
  </si>
  <si>
    <t xml:space="preserve"> Sem se zkopírují přihlášky z internetu</t>
  </si>
  <si>
    <t xml:space="preserve"> Odtud jdou údaje do Startovní listiny</t>
  </si>
  <si>
    <t xml:space="preserve"> tady se opravují, dokud není ve </t>
  </si>
  <si>
    <t xml:space="preserve"> Startovní listině vše v pořádku</t>
  </si>
  <si>
    <t xml:space="preserve">název týmu se odvozuje </t>
  </si>
  <si>
    <t>od názvu klubu prvního hráče</t>
  </si>
  <si>
    <t>SV</t>
  </si>
  <si>
    <t>Startovní / výsledková listina turnaje</t>
  </si>
  <si>
    <t xml:space="preserve">Kvalita turnaje: </t>
  </si>
  <si>
    <t>Nastavení kritérií "švýcara":</t>
  </si>
  <si>
    <t>Počty týmů podle výher</t>
  </si>
  <si>
    <t>Poř.č. turnaje</t>
  </si>
  <si>
    <t xml:space="preserve">Třída turnaje: </t>
  </si>
  <si>
    <t xml:space="preserve">Bonusové body: </t>
  </si>
  <si>
    <t xml:space="preserve">Počet kol švýcara: </t>
  </si>
  <si>
    <t>Datum</t>
  </si>
  <si>
    <t xml:space="preserve">Paušální body: </t>
  </si>
  <si>
    <t xml:space="preserve">Počet výher pro KO: </t>
  </si>
  <si>
    <t>Název</t>
  </si>
  <si>
    <t xml:space="preserve">Kola: </t>
  </si>
  <si>
    <t xml:space="preserve">Do KO postupuje: </t>
  </si>
  <si>
    <t xml:space="preserve"> týmů</t>
  </si>
  <si>
    <t>Místo</t>
  </si>
  <si>
    <t xml:space="preserve">Časový odhad zákl. hry.: </t>
  </si>
  <si>
    <t>hod.</t>
  </si>
  <si>
    <t xml:space="preserve"> minut / zápas</t>
  </si>
  <si>
    <t xml:space="preserve">Klasický švýcar (hra podle skóre): </t>
  </si>
  <si>
    <t>Počet hráčů / tým</t>
  </si>
  <si>
    <t xml:space="preserve">Nemá soupeře </t>
  </si>
  <si>
    <t xml:space="preserve">Časový odhad KO: </t>
  </si>
  <si>
    <t xml:space="preserve"> číslo prvního hřiště</t>
  </si>
  <si>
    <t xml:space="preserve">Bucholz: </t>
  </si>
  <si>
    <t>X</t>
  </si>
  <si>
    <t>Počet týmů</t>
  </si>
  <si>
    <t>Počet zápasů :</t>
  </si>
  <si>
    <t xml:space="preserve"> celkem</t>
  </si>
  <si>
    <t xml:space="preserve">Počet hřišť: </t>
  </si>
  <si>
    <t xml:space="preserve">Typ Bucholze: </t>
  </si>
  <si>
    <t xml:space="preserve">Zohlednit výhry proti nasazeným: </t>
  </si>
  <si>
    <t xml:space="preserve">Počet cizinců: </t>
  </si>
  <si>
    <t>Celkem</t>
  </si>
  <si>
    <t>Hráč č. 1</t>
  </si>
  <si>
    <t xml:space="preserve">      Týmy (hráči)  se vkládají nejlépe přes list Internet</t>
  </si>
  <si>
    <t>Hráč č. 2</t>
  </si>
  <si>
    <t>Hráč č. 3</t>
  </si>
  <si>
    <t xml:space="preserve"> uvést číslo nasazení v názvu týmu</t>
  </si>
  <si>
    <t>Ano</t>
  </si>
  <si>
    <t>Hráč č. 4</t>
  </si>
  <si>
    <t>náhradník</t>
  </si>
  <si>
    <t>Týmů cizinců</t>
  </si>
  <si>
    <t>Počet hráčů</t>
  </si>
  <si>
    <t>OK Tým</t>
  </si>
  <si>
    <t>Celkem Síla</t>
  </si>
  <si>
    <t>Celkem CŽ</t>
  </si>
  <si>
    <t>Min. CŽ hráče</t>
  </si>
  <si>
    <t>Klíč nasazení</t>
  </si>
  <si>
    <t>OK</t>
  </si>
  <si>
    <t>Nasazení týmu</t>
  </si>
  <si>
    <t>Licence</t>
  </si>
  <si>
    <t>Příjmení</t>
  </si>
  <si>
    <t>Jméno</t>
  </si>
  <si>
    <t>Klub</t>
  </si>
  <si>
    <t>CŽ</t>
  </si>
  <si>
    <t>Síla</t>
  </si>
  <si>
    <t>Jmeno</t>
  </si>
  <si>
    <t>Konečné pořadí</t>
  </si>
  <si>
    <t>Body</t>
  </si>
  <si>
    <t>Bonus</t>
  </si>
  <si>
    <t>Postupové body</t>
  </si>
  <si>
    <t>Název týmu</t>
  </si>
  <si>
    <t>Síla týmu</t>
  </si>
  <si>
    <t>Duplicity H1</t>
  </si>
  <si>
    <t>Duplicity H2</t>
  </si>
  <si>
    <t>Duplicity H3</t>
  </si>
  <si>
    <t>Duplicity H4</t>
  </si>
  <si>
    <t>Duplicita v týmu</t>
  </si>
  <si>
    <t>Počet cizinců</t>
  </si>
  <si>
    <t>Zápis turnaje ČAPEK</t>
  </si>
  <si>
    <t>Zapsal</t>
  </si>
  <si>
    <t>Informace o turnaji:</t>
  </si>
  <si>
    <t>Ředitel turnaje</t>
  </si>
  <si>
    <t>Delegát turnaje</t>
  </si>
  <si>
    <t>Hlavní rozhodčí turnaje</t>
  </si>
  <si>
    <t>Pomocní rozhodčí</t>
  </si>
  <si>
    <t>Seznam pořadatelů</t>
  </si>
  <si>
    <t>Výše startovného</t>
  </si>
  <si>
    <t>Ceny pro vítěze</t>
  </si>
  <si>
    <t>Začátek prezentace</t>
  </si>
  <si>
    <t>Konec prezentace</t>
  </si>
  <si>
    <t>Začátek hry</t>
  </si>
  <si>
    <t>Konec hry</t>
  </si>
  <si>
    <t>Počet použitých hřišť</t>
  </si>
  <si>
    <t>Hra s časovým limitem?</t>
  </si>
  <si>
    <t>Potřeba umělého osvětlení?</t>
  </si>
  <si>
    <t>Jaké bylo počasí</t>
  </si>
  <si>
    <t>Protesty podané na turnaji</t>
  </si>
  <si>
    <t>Negativní signály na turnaji</t>
  </si>
  <si>
    <t>Vyjádření delegáta</t>
  </si>
  <si>
    <t>Vyjádření hl.rozhodčího</t>
  </si>
  <si>
    <t>Vyjádření ředitele turnaje</t>
  </si>
  <si>
    <t>Pořadí po švýcaru</t>
  </si>
  <si>
    <t>Celkově</t>
  </si>
  <si>
    <t>Soupeři</t>
  </si>
  <si>
    <t>1.kolo</t>
  </si>
  <si>
    <t>2.kolo</t>
  </si>
  <si>
    <t>3.kolo</t>
  </si>
  <si>
    <t>4.kolo</t>
  </si>
  <si>
    <t>5.kolo</t>
  </si>
  <si>
    <t>6.kolo</t>
  </si>
  <si>
    <t>Pořadí do pavouka KO</t>
  </si>
  <si>
    <t>Nasazení v turnaji</t>
  </si>
  <si>
    <t>Počet výher</t>
  </si>
  <si>
    <t>Výhry soupeřů</t>
  </si>
  <si>
    <t>Výhry soupeřů soupeřů</t>
  </si>
  <si>
    <t>Výhry poražených</t>
  </si>
  <si>
    <t>Proti nasazeným</t>
  </si>
  <si>
    <t>Rozdíl skóre</t>
  </si>
  <si>
    <t>1. kolo</t>
  </si>
  <si>
    <t>2. kolo</t>
  </si>
  <si>
    <t>3. kolo</t>
  </si>
  <si>
    <t>4. kolo</t>
  </si>
  <si>
    <t>5. kolo</t>
  </si>
  <si>
    <t>6. kolo</t>
  </si>
  <si>
    <t>Soupeř</t>
  </si>
  <si>
    <t>Výhra</t>
  </si>
  <si>
    <t>Původní nasazení</t>
  </si>
  <si>
    <t>Klíč</t>
  </si>
  <si>
    <t>Výpočty pro zjištění konečného pořadí</t>
  </si>
  <si>
    <t>Postup do KO</t>
  </si>
  <si>
    <t>Pořadí nasazení v turnaji</t>
  </si>
  <si>
    <t>Koš</t>
  </si>
  <si>
    <t>Pořadí do pavouka</t>
  </si>
  <si>
    <t>Pořadí 1-16</t>
  </si>
  <si>
    <t>Výhry soupeřů celkem</t>
  </si>
  <si>
    <t>KVALITA turnaje</t>
  </si>
  <si>
    <t>Součet síly=</t>
  </si>
  <si>
    <t>Prijmeni</t>
  </si>
  <si>
    <t>Postup do pavouka KO</t>
  </si>
  <si>
    <t>skupin</t>
  </si>
  <si>
    <t>obrátit</t>
  </si>
  <si>
    <t>Postupuje</t>
  </si>
  <si>
    <t>Po základní části postupuje</t>
  </si>
  <si>
    <t>Výher</t>
  </si>
  <si>
    <t>Obsadil tým</t>
  </si>
  <si>
    <t>KO4</t>
  </si>
  <si>
    <t>3 - 4</t>
  </si>
  <si>
    <t>Dohra 5-8</t>
  </si>
  <si>
    <t>KO8</t>
  </si>
  <si>
    <t>Dohra 9-16</t>
  </si>
  <si>
    <t>KO16</t>
  </si>
  <si>
    <t>KO32</t>
  </si>
  <si>
    <t>KO64</t>
  </si>
  <si>
    <t>1. KOLO</t>
  </si>
  <si>
    <t>Pomocné tabulky</t>
  </si>
  <si>
    <t>Název týmu 1</t>
  </si>
  <si>
    <t>Název týmu 2</t>
  </si>
  <si>
    <t>Hřiště</t>
  </si>
  <si>
    <t xml:space="preserve"> Výsledek</t>
  </si>
  <si>
    <t>č. týmu 2</t>
  </si>
  <si>
    <t>č. týmu 1</t>
  </si>
  <si>
    <t>2. KOLO</t>
  </si>
  <si>
    <t>3. KOLO</t>
  </si>
  <si>
    <t>4. KOLO</t>
  </si>
  <si>
    <t>5. KOLO</t>
  </si>
  <si>
    <t>6. KOLO</t>
  </si>
  <si>
    <t>první hřiště</t>
  </si>
  <si>
    <t>Losování pro KO</t>
  </si>
  <si>
    <t>skupina</t>
  </si>
  <si>
    <t>pořadí</t>
  </si>
  <si>
    <t>A</t>
  </si>
  <si>
    <t>B</t>
  </si>
  <si>
    <t>C</t>
  </si>
  <si>
    <t>D</t>
  </si>
  <si>
    <t>E</t>
  </si>
  <si>
    <t>F</t>
  </si>
  <si>
    <t>G</t>
  </si>
  <si>
    <t>H</t>
  </si>
  <si>
    <t>I</t>
  </si>
  <si>
    <t>K</t>
  </si>
  <si>
    <t>L</t>
  </si>
  <si>
    <t>M</t>
  </si>
  <si>
    <t>N</t>
  </si>
  <si>
    <t>O</t>
  </si>
  <si>
    <t>P</t>
  </si>
  <si>
    <t>Q</t>
  </si>
  <si>
    <t>R</t>
  </si>
  <si>
    <t>T</t>
  </si>
  <si>
    <t>U</t>
  </si>
  <si>
    <t>W</t>
  </si>
  <si>
    <t>Y</t>
  </si>
  <si>
    <t>AA</t>
  </si>
  <si>
    <t>AB</t>
  </si>
  <si>
    <t>AC</t>
  </si>
  <si>
    <t>AD</t>
  </si>
  <si>
    <t>AE</t>
  </si>
  <si>
    <t>AF</t>
  </si>
  <si>
    <t>PAVOUK KO</t>
  </si>
  <si>
    <t>SEMIFINÁLE</t>
  </si>
  <si>
    <t>FINÁLE</t>
  </si>
  <si>
    <t>VÍTĚZ</t>
  </si>
  <si>
    <t xml:space="preserve">Hřiště </t>
  </si>
  <si>
    <t xml:space="preserve"> </t>
  </si>
  <si>
    <t>Dohrávka</t>
  </si>
  <si>
    <t>o 3 - 4. Místo</t>
  </si>
  <si>
    <t>Dohrávka 9-16</t>
  </si>
  <si>
    <t>o 9. - 10. místo</t>
  </si>
  <si>
    <t>o 11. - 12. místo</t>
  </si>
  <si>
    <t>o 13. - 16. místo</t>
  </si>
  <si>
    <t>o 13. - 14. místo</t>
  </si>
  <si>
    <t>o 15. - 16. místo</t>
  </si>
  <si>
    <t>Dohrávka 5-8</t>
  </si>
  <si>
    <t>o 5. - 6. místo</t>
  </si>
  <si>
    <t>o 7. - 8. místo</t>
  </si>
  <si>
    <t xml:space="preserve"> Jen pro informaci
 sem nezapisujte výsledky! 
 Výsledky jsou na listu Start.Listina ve sloupci AH</t>
  </si>
  <si>
    <r>
      <t xml:space="preserve">l) po skončení všech zápasů a po jejich zapsání je na listu </t>
    </r>
    <r>
      <rPr>
        <b/>
        <sz val="9"/>
        <rFont val="Comic Sans MS"/>
        <family val="4"/>
      </rPr>
      <t>Konečné pořadí_1_16</t>
    </r>
    <r>
      <rPr>
        <sz val="9"/>
        <rFont val="Comic Sans MS"/>
        <family val="4"/>
      </rPr>
      <t xml:space="preserve"> zobrazeno pořadí prvních 16-ti týmů </t>
    </r>
  </si>
  <si>
    <t>výsledky zápasů KO lze zapisovat do libovolného vhodného listu KO</t>
  </si>
  <si>
    <t>(údaje se přenášejí do navazujících KO a jsou propojeny až do konečných výsledků)</t>
  </si>
  <si>
    <t>BODY za umístění v turnaji</t>
  </si>
  <si>
    <t>Počet kol turnaje</t>
  </si>
  <si>
    <t xml:space="preserve">  Počet týmů</t>
  </si>
  <si>
    <t>Pořadí</t>
  </si>
  <si>
    <t>Postupové Body</t>
  </si>
  <si>
    <t>minus [kola]</t>
  </si>
  <si>
    <t>plus [zlomek]</t>
  </si>
  <si>
    <t>Body za turnaj</t>
  </si>
  <si>
    <t>PK =</t>
  </si>
  <si>
    <t>Tabulka BONUSOVÝCH BODŮ</t>
  </si>
  <si>
    <t>Třída turnaje</t>
  </si>
  <si>
    <t>Tabulka PAUŠÁLNÍCH BODŮ</t>
  </si>
  <si>
    <t>Paušální body</t>
  </si>
  <si>
    <t>Tabulka POČTU KOL (PK) turnaje podle počtu týmů v turnaji</t>
  </si>
  <si>
    <t>Počet týmů od</t>
  </si>
  <si>
    <t>Počet týmů do (včetně)</t>
  </si>
  <si>
    <t>Počet kol</t>
  </si>
  <si>
    <t>Počet týmů =</t>
  </si>
  <si>
    <t>Výsledková listina turnaje</t>
  </si>
  <si>
    <t xml:space="preserve">  Kvalita</t>
  </si>
  <si>
    <t>Poradi</t>
  </si>
  <si>
    <t>Počet přihlášených týmů: 57</t>
  </si>
  <si>
    <t>regionál</t>
  </si>
  <si>
    <t>Pořádá C.T.P. CLUB OŘECH</t>
  </si>
  <si>
    <t>• jednotlivci</t>
  </si>
  <si>
    <t>Č. licence</t>
  </si>
  <si>
    <t>Příjmení a jméno Odhlásit tým</t>
  </si>
  <si>
    <t>Síla: 60</t>
  </si>
  <si>
    <t>Petr Vavrovič ml.</t>
  </si>
  <si>
    <t>60.000</t>
  </si>
  <si>
    <t>Síla: 57.5</t>
  </si>
  <si>
    <t>Vojtěch Lukáš</t>
  </si>
  <si>
    <t>57.500</t>
  </si>
  <si>
    <t>Síla: 51</t>
  </si>
  <si>
    <t>Kateřina Froňková</t>
  </si>
  <si>
    <t>51.000</t>
  </si>
  <si>
    <t>Síla: 42.75</t>
  </si>
  <si>
    <t>Lubomír Srnský</t>
  </si>
  <si>
    <t>42.750</t>
  </si>
  <si>
    <t>Síla: 41.75</t>
  </si>
  <si>
    <t>Ivana Dlouhá</t>
  </si>
  <si>
    <t>41.750</t>
  </si>
  <si>
    <t>Síla: 40.375</t>
  </si>
  <si>
    <t>Josef Kamaryt</t>
  </si>
  <si>
    <t>40.375</t>
  </si>
  <si>
    <t>Síla: 40</t>
  </si>
  <si>
    <t>Maryana Khrystyna Semeniv</t>
  </si>
  <si>
    <t>40.000</t>
  </si>
  <si>
    <t>Síla: 36.125</t>
  </si>
  <si>
    <t>Michael Brandes "J"</t>
  </si>
  <si>
    <t>36.125</t>
  </si>
  <si>
    <t>Síla: 32.125</t>
  </si>
  <si>
    <t>Pavel Palas</t>
  </si>
  <si>
    <t>32.125</t>
  </si>
  <si>
    <t>Síla: 31.625</t>
  </si>
  <si>
    <t>Václav Stejskal</t>
  </si>
  <si>
    <t>31.625</t>
  </si>
  <si>
    <t>Síla: 30.625</t>
  </si>
  <si>
    <t>Aleš Klouda</t>
  </si>
  <si>
    <t>30.625</t>
  </si>
  <si>
    <t>Síla: 30.375</t>
  </si>
  <si>
    <t>Jan Heller "E"</t>
  </si>
  <si>
    <t>PC Mimo Done Nymburk</t>
  </si>
  <si>
    <t>30.375</t>
  </si>
  <si>
    <t>Síla: 30.313</t>
  </si>
  <si>
    <t>Blanka Froňková</t>
  </si>
  <si>
    <t>30.313</t>
  </si>
  <si>
    <t>Síla: 29.875</t>
  </si>
  <si>
    <t>Petr Morávek</t>
  </si>
  <si>
    <t>29.875</t>
  </si>
  <si>
    <t>Síla: 29.688</t>
  </si>
  <si>
    <t>Jaromír Vlach</t>
  </si>
  <si>
    <t>29.688</t>
  </si>
  <si>
    <t>Síla: 29.125</t>
  </si>
  <si>
    <t>Hynek Vyoral</t>
  </si>
  <si>
    <t>29.125</t>
  </si>
  <si>
    <t>Valter Brandes</t>
  </si>
  <si>
    <t>Síla: 28.25</t>
  </si>
  <si>
    <t>Barbora Kašparová</t>
  </si>
  <si>
    <t>28.250</t>
  </si>
  <si>
    <t>Síla: 24.563</t>
  </si>
  <si>
    <t>Evžen Křížek</t>
  </si>
  <si>
    <t>24.563</t>
  </si>
  <si>
    <t>Síla: 24.095</t>
  </si>
  <si>
    <t>Vladimír Marcián</t>
  </si>
  <si>
    <t>HRODE Krumsín</t>
  </si>
  <si>
    <t>24.095</t>
  </si>
  <si>
    <t>Síla: 23.876</t>
  </si>
  <si>
    <t>Jaroslav Pastorek</t>
  </si>
  <si>
    <t>SKP Řepy</t>
  </si>
  <si>
    <t>23.876</t>
  </si>
  <si>
    <t>Síla: 23.251</t>
  </si>
  <si>
    <t>Petr Pilát</t>
  </si>
  <si>
    <t>23.251</t>
  </si>
  <si>
    <t>Síla: 23.094</t>
  </si>
  <si>
    <t>Jindřich Horáček</t>
  </si>
  <si>
    <t>23.094</t>
  </si>
  <si>
    <t>Síla: 20.376</t>
  </si>
  <si>
    <t>Věra Váňová</t>
  </si>
  <si>
    <t>20.376</t>
  </si>
  <si>
    <t>Síla: 19.939</t>
  </si>
  <si>
    <t>Jindra Vodehnalová</t>
  </si>
  <si>
    <t>19.939</t>
  </si>
  <si>
    <t>Síla: 19.689</t>
  </si>
  <si>
    <t>Tomáš Klír</t>
  </si>
  <si>
    <t>19.689</t>
  </si>
  <si>
    <t>Síla: 19.439</t>
  </si>
  <si>
    <t>Jaroslav Hladík</t>
  </si>
  <si>
    <t>19.439</t>
  </si>
  <si>
    <t>Síla: 18.439</t>
  </si>
  <si>
    <t>Lukáš Hochmann</t>
  </si>
  <si>
    <t>PC SOKOL PP Hr. Králové</t>
  </si>
  <si>
    <t>18.439</t>
  </si>
  <si>
    <t>Síla: 18.063</t>
  </si>
  <si>
    <t>Martin Zikmunda</t>
  </si>
  <si>
    <t>18.063</t>
  </si>
  <si>
    <t>Síla: 18.001</t>
  </si>
  <si>
    <t>Ondřej Blaščák</t>
  </si>
  <si>
    <t>18.001</t>
  </si>
  <si>
    <t>Síla: 16.812</t>
  </si>
  <si>
    <t>Pavel Holoubek</t>
  </si>
  <si>
    <t>16.812</t>
  </si>
  <si>
    <t>Síla: 16.251</t>
  </si>
  <si>
    <t>Zdeněk Vodehnal</t>
  </si>
  <si>
    <t>16.251</t>
  </si>
  <si>
    <t>Síla: 14.937</t>
  </si>
  <si>
    <t>Jiřina Müllerová</t>
  </si>
  <si>
    <t>14.937</t>
  </si>
  <si>
    <t>Síla: 14.047</t>
  </si>
  <si>
    <t>Viktor Šebek</t>
  </si>
  <si>
    <t>14.047</t>
  </si>
  <si>
    <t>Síla: 13.063</t>
  </si>
  <si>
    <t>Eva Josífková</t>
  </si>
  <si>
    <t>13.063</t>
  </si>
  <si>
    <t>Síla: 12.251</t>
  </si>
  <si>
    <t>Jiří Ondryáš</t>
  </si>
  <si>
    <t>12.251</t>
  </si>
  <si>
    <t>Síla: 12.032</t>
  </si>
  <si>
    <t>Marta Konopová</t>
  </si>
  <si>
    <t>12.032</t>
  </si>
  <si>
    <t>Síla: 7.688</t>
  </si>
  <si>
    <t>Vladimír Glaser</t>
  </si>
  <si>
    <t>7.688</t>
  </si>
  <si>
    <t>Síla: 5.313</t>
  </si>
  <si>
    <t>Josef Šnejdr</t>
  </si>
  <si>
    <t>5.313</t>
  </si>
  <si>
    <t>Síla: 4.628</t>
  </si>
  <si>
    <t>Dana Krhovská</t>
  </si>
  <si>
    <t>4.628</t>
  </si>
  <si>
    <t>Síla: 2.375</t>
  </si>
  <si>
    <t>Petr Kovář</t>
  </si>
  <si>
    <t>2.375</t>
  </si>
  <si>
    <t>Síla: 0.688</t>
  </si>
  <si>
    <t>Leander Leiský</t>
  </si>
  <si>
    <t>0.688</t>
  </si>
  <si>
    <t>Síla: 0</t>
  </si>
  <si>
    <t>Mika, Dánsko</t>
  </si>
  <si>
    <t>  </t>
  </si>
  <si>
    <t>michael dánsko</t>
  </si>
  <si>
    <t>kim, Dánsko</t>
  </si>
  <si>
    <t>Vladimír Chládek</t>
  </si>
  <si>
    <t>Brian, Dánsko</t>
  </si>
  <si>
    <t>Tony, Dánsko</t>
  </si>
  <si>
    <t>František Kožený</t>
  </si>
  <si>
    <t>Jesper K, Dánsko</t>
  </si>
  <si>
    <t>Erik, Dánsko</t>
  </si>
  <si>
    <t>Jesper R, Dánsko</t>
  </si>
  <si>
    <t>Lars Eriksen, Dánsko</t>
  </si>
  <si>
    <t>Schwede Detlef, Chemnitz, Německo</t>
  </si>
  <si>
    <t>Bjarne, Dánsko</t>
  </si>
  <si>
    <t>Lohss, Hartmut, Německo</t>
  </si>
  <si>
    <t>Bo, Dánsko</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</si>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</sst>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
    <numFmt numFmtId="165" formatCode="0.0"/>
    <numFmt numFmtId="166" formatCode="d/m/yyyy;@"/>
  </numFmts>
  <fonts count="84" x14ac:knownFonts="1">
    <font>
      <sz val="8"/>
      <name val="Comic Sans MS"/>
      <family val="4"/>
    </font>
    <font>
      <sz val="12"/>
      <name val="Comic Sans MS"/>
      <family val="4"/>
    </font>
    <font>
      <sz val="8"/>
      <name val="Comic Sans MS"/>
      <family val="4"/>
    </font>
    <font>
      <b/>
      <sz val="12"/>
      <name val="Comic Sans MS"/>
      <family val="4"/>
    </font>
    <font>
      <b/>
      <sz val="8"/>
      <name val="Comic Sans MS"/>
      <family val="4"/>
    </font>
    <font>
      <sz val="10"/>
      <name val="Comic Sans MS"/>
      <family val="4"/>
    </font>
    <font>
      <b/>
      <u/>
      <sz val="8"/>
      <name val="Comic Sans MS"/>
      <family val="4"/>
    </font>
    <font>
      <b/>
      <sz val="8"/>
      <name val="Arial Narrow"/>
      <family val="2"/>
    </font>
    <font>
      <b/>
      <sz val="10"/>
      <name val="Comic Sans MS"/>
      <family val="4"/>
    </font>
    <font>
      <b/>
      <sz val="8"/>
      <name val="Comic Sans MS"/>
      <family val="4"/>
      <charset val="238"/>
    </font>
    <font>
      <sz val="8"/>
      <name val="Comic Sans MS"/>
      <family val="4"/>
      <charset val="238"/>
    </font>
    <font>
      <b/>
      <sz val="24"/>
      <name val="Arial CE"/>
      <family val="2"/>
      <charset val="238"/>
    </font>
    <font>
      <b/>
      <sz val="10"/>
      <name val="Arial CE"/>
      <family val="2"/>
      <charset val="238"/>
    </font>
    <font>
      <b/>
      <sz val="8"/>
      <color indexed="81"/>
      <name val="Tahoma"/>
      <family val="2"/>
      <charset val="238"/>
    </font>
    <font>
      <sz val="8"/>
      <color indexed="81"/>
      <name val="Tahoma"/>
      <family val="2"/>
      <charset val="238"/>
    </font>
    <font>
      <b/>
      <sz val="14"/>
      <name val="Arial CE"/>
      <family val="2"/>
      <charset val="238"/>
    </font>
    <font>
      <b/>
      <sz val="12"/>
      <name val="Arial CE"/>
      <family val="2"/>
      <charset val="238"/>
    </font>
    <font>
      <u/>
      <sz val="8"/>
      <color indexed="12"/>
      <name val="Comic Sans MS"/>
      <family val="4"/>
    </font>
    <font>
      <b/>
      <sz val="8"/>
      <name val="Arial CE"/>
      <family val="2"/>
      <charset val="238"/>
    </font>
    <font>
      <sz val="10"/>
      <color indexed="81"/>
      <name val="Tahoma"/>
      <family val="2"/>
    </font>
    <font>
      <b/>
      <u/>
      <sz val="10"/>
      <color indexed="81"/>
      <name val="Tahoma"/>
      <family val="2"/>
    </font>
    <font>
      <i/>
      <sz val="10"/>
      <color indexed="81"/>
      <name val="Tahoma"/>
      <family val="2"/>
    </font>
    <font>
      <sz val="9"/>
      <name val="Comic Sans MS"/>
      <family val="4"/>
    </font>
    <font>
      <b/>
      <sz val="16"/>
      <name val="Comic Sans MS"/>
      <family val="4"/>
    </font>
    <font>
      <sz val="6"/>
      <name val="Arial CE"/>
      <family val="2"/>
      <charset val="238"/>
    </font>
    <font>
      <sz val="10"/>
      <name val="Arial CE"/>
      <family val="2"/>
      <charset val="238"/>
    </font>
    <font>
      <sz val="7"/>
      <name val="Arial CE"/>
      <family val="2"/>
      <charset val="238"/>
    </font>
    <font>
      <sz val="7"/>
      <name val="Comic Sans MS"/>
      <family val="4"/>
    </font>
    <font>
      <b/>
      <sz val="9"/>
      <name val="Arial CE"/>
      <family val="2"/>
      <charset val="238"/>
    </font>
    <font>
      <sz val="20"/>
      <name val="Comic Sans MS"/>
      <family val="4"/>
    </font>
    <font>
      <sz val="9"/>
      <name val="Arial CE"/>
      <family val="2"/>
      <charset val="238"/>
    </font>
    <font>
      <sz val="6"/>
      <color indexed="9"/>
      <name val="Arial CE"/>
      <family val="2"/>
      <charset val="238"/>
    </font>
    <font>
      <i/>
      <sz val="9"/>
      <name val="Comic Sans MS"/>
      <family val="4"/>
    </font>
    <font>
      <b/>
      <sz val="10"/>
      <color indexed="81"/>
      <name val="Tahoma"/>
      <family val="2"/>
    </font>
    <font>
      <sz val="14"/>
      <color indexed="14"/>
      <name val="Comic Sans MS"/>
      <family val="4"/>
    </font>
    <font>
      <b/>
      <i/>
      <sz val="9"/>
      <name val="Comic Sans MS"/>
      <family val="4"/>
    </font>
    <font>
      <b/>
      <sz val="9"/>
      <name val="Comic Sans MS"/>
      <family val="4"/>
    </font>
    <font>
      <sz val="14"/>
      <name val="Comic Sans MS"/>
      <family val="4"/>
    </font>
    <font>
      <b/>
      <sz val="10"/>
      <name val="Arial"/>
      <family val="2"/>
      <charset val="238"/>
    </font>
    <font>
      <b/>
      <u/>
      <sz val="10"/>
      <name val="Comic Sans MS"/>
      <family val="4"/>
    </font>
    <font>
      <b/>
      <sz val="20"/>
      <name val="Arial CE"/>
      <family val="2"/>
      <charset val="238"/>
    </font>
    <font>
      <sz val="8"/>
      <name val="Arial"/>
      <family val="2"/>
    </font>
    <font>
      <sz val="6"/>
      <name val="Comic Sans MS"/>
      <family val="4"/>
    </font>
    <font>
      <b/>
      <sz val="7"/>
      <name val="Arial CE"/>
      <family val="2"/>
      <charset val="238"/>
    </font>
    <font>
      <b/>
      <sz val="7"/>
      <name val="Comic Sans MS"/>
      <family val="4"/>
      <charset val="238"/>
    </font>
    <font>
      <sz val="5"/>
      <name val="Arial CE"/>
      <family val="2"/>
      <charset val="238"/>
    </font>
    <font>
      <b/>
      <sz val="8"/>
      <color indexed="10"/>
      <name val="Comic Sans MS"/>
      <family val="4"/>
      <charset val="238"/>
    </font>
    <font>
      <sz val="8"/>
      <color indexed="10"/>
      <name val="Comic Sans MS"/>
      <family val="4"/>
      <charset val="238"/>
    </font>
    <font>
      <b/>
      <u/>
      <sz val="8"/>
      <name val="Comic Sans MS"/>
      <family val="4"/>
      <charset val="238"/>
    </font>
    <font>
      <i/>
      <sz val="8"/>
      <name val="Comic Sans MS"/>
      <family val="4"/>
      <charset val="238"/>
    </font>
    <font>
      <b/>
      <i/>
      <sz val="8"/>
      <color indexed="81"/>
      <name val="Tahoma"/>
      <family val="2"/>
      <charset val="238"/>
    </font>
    <font>
      <b/>
      <i/>
      <sz val="8"/>
      <color indexed="10"/>
      <name val="Tahoma"/>
      <family val="2"/>
      <charset val="238"/>
    </font>
    <font>
      <sz val="16"/>
      <name val="Comic Sans MS"/>
      <family val="4"/>
    </font>
    <font>
      <b/>
      <sz val="14"/>
      <name val="Comic Sans MS"/>
      <family val="4"/>
      <charset val="238"/>
    </font>
    <font>
      <i/>
      <sz val="8"/>
      <color indexed="15"/>
      <name val="Comic Sans MS"/>
      <family val="4"/>
      <charset val="238"/>
    </font>
    <font>
      <sz val="7"/>
      <name val="Arial CE"/>
      <charset val="238"/>
    </font>
    <font>
      <b/>
      <sz val="10"/>
      <name val="Comic Sans MS"/>
      <family val="4"/>
      <charset val="238"/>
    </font>
    <font>
      <b/>
      <sz val="12"/>
      <name val="Comic Sans MS"/>
      <family val="4"/>
      <charset val="238"/>
    </font>
    <font>
      <sz val="6"/>
      <color indexed="9"/>
      <name val="Comic Sans MS"/>
      <family val="4"/>
    </font>
    <font>
      <b/>
      <sz val="20"/>
      <name val="Comic Sans MS"/>
      <family val="4"/>
      <charset val="238"/>
    </font>
    <font>
      <sz val="5"/>
      <color indexed="9"/>
      <name val="Comic Sans MS"/>
      <family val="4"/>
    </font>
    <font>
      <b/>
      <u/>
      <sz val="8"/>
      <color indexed="81"/>
      <name val="Tahoma"/>
      <family val="2"/>
      <charset val="238"/>
    </font>
    <font>
      <b/>
      <u/>
      <sz val="8"/>
      <color indexed="10"/>
      <name val="Tahoma"/>
      <family val="2"/>
      <charset val="238"/>
    </font>
    <font>
      <u/>
      <sz val="8"/>
      <name val="Comic Sans MS"/>
      <family val="4"/>
    </font>
    <font>
      <b/>
      <sz val="10"/>
      <name val="Verdana"/>
      <family val="2"/>
      <charset val="238"/>
    </font>
    <font>
      <b/>
      <sz val="10"/>
      <color indexed="9"/>
      <name val="Verdana"/>
      <family val="2"/>
      <charset val="238"/>
    </font>
    <font>
      <sz val="8"/>
      <color indexed="9"/>
      <name val="Comic Sans MS"/>
      <family val="4"/>
    </font>
    <font>
      <i/>
      <sz val="7"/>
      <name val="Arial CE"/>
      <charset val="238"/>
    </font>
    <font>
      <b/>
      <sz val="10"/>
      <color indexed="10"/>
      <name val="Comic Sans MS"/>
      <family val="4"/>
    </font>
    <font>
      <b/>
      <sz val="8"/>
      <color indexed="10"/>
      <name val="Comic Sans MS"/>
      <family val="4"/>
    </font>
    <font>
      <b/>
      <sz val="10"/>
      <name val="Verdana"/>
      <family val="2"/>
    </font>
    <font>
      <sz val="14"/>
      <name val="Comic Sans MS"/>
      <family val="4"/>
      <charset val="238"/>
    </font>
    <font>
      <b/>
      <sz val="8"/>
      <color indexed="12"/>
      <name val="Comic Sans MS"/>
      <family val="4"/>
      <charset val="238"/>
    </font>
    <font>
      <b/>
      <sz val="20"/>
      <name val="Arial CE"/>
      <charset val="238"/>
    </font>
    <font>
      <b/>
      <u/>
      <sz val="12"/>
      <name val="Arial CE"/>
      <charset val="238"/>
    </font>
    <font>
      <b/>
      <sz val="12"/>
      <name val="Arial CE"/>
      <charset val="238"/>
    </font>
    <font>
      <sz val="12"/>
      <name val="Arial CE"/>
      <charset val="238"/>
    </font>
    <font>
      <b/>
      <sz val="8"/>
      <color indexed="56"/>
      <name val="Comic Sans MS"/>
      <family val="4"/>
      <charset val="238"/>
    </font>
    <font>
      <b/>
      <sz val="12"/>
      <color indexed="56"/>
      <name val="Comic Sans MS"/>
      <family val="4"/>
      <charset val="238"/>
    </font>
    <font>
      <b/>
      <sz val="8"/>
      <color rgb="FFFF0000"/>
      <name val="Comic Sans MS"/>
      <family val="4"/>
      <charset val="238"/>
    </font>
    <font>
      <b/>
      <sz val="11"/>
      <color rgb="FFFF0000"/>
      <name val="Comic Sans MS"/>
      <family val="4"/>
      <charset val="238"/>
    </font>
    <font>
      <b/>
      <sz val="11"/>
      <color rgb="FF0000FF"/>
      <name val="Comic Sans MS"/>
      <family val="4"/>
      <charset val="238"/>
    </font>
    <font>
      <sz val="9"/>
      <color rgb="FF000000"/>
      <name val="Tahoma"/>
      <family val="2"/>
      <charset val="238"/>
    </font>
    <font>
      <b/>
      <sz val="9"/>
      <color rgb="FF000000"/>
      <name val="Tahoma"/>
      <family val="2"/>
      <charset val="238"/>
    </font>
  </fonts>
  <fills count="21">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22"/>
        <bgColor indexed="64"/>
      </patternFill>
    </fill>
    <fill>
      <patternFill patternType="solid">
        <fgColor indexed="11"/>
        <bgColor indexed="64"/>
      </patternFill>
    </fill>
    <fill>
      <patternFill patternType="solid">
        <fgColor indexed="43"/>
        <bgColor indexed="64"/>
      </patternFill>
    </fill>
    <fill>
      <patternFill patternType="solid">
        <fgColor indexed="15"/>
        <bgColor indexed="64"/>
      </patternFill>
    </fill>
    <fill>
      <patternFill patternType="solid">
        <fgColor indexed="14"/>
        <bgColor indexed="64"/>
      </patternFill>
    </fill>
    <fill>
      <patternFill patternType="solid">
        <fgColor indexed="41"/>
        <bgColor indexed="64"/>
      </patternFill>
    </fill>
    <fill>
      <patternFill patternType="solid">
        <fgColor indexed="42"/>
        <bgColor indexed="64"/>
      </patternFill>
    </fill>
    <fill>
      <patternFill patternType="solid">
        <fgColor indexed="45"/>
        <bgColor indexed="64"/>
      </patternFill>
    </fill>
    <fill>
      <patternFill patternType="solid">
        <fgColor indexed="47"/>
        <bgColor indexed="64"/>
      </patternFill>
    </fill>
    <fill>
      <patternFill patternType="solid">
        <fgColor indexed="55"/>
        <bgColor indexed="64"/>
      </patternFill>
    </fill>
    <fill>
      <patternFill patternType="solid">
        <fgColor indexed="52"/>
        <bgColor indexed="64"/>
      </patternFill>
    </fill>
    <fill>
      <patternFill patternType="solid">
        <fgColor indexed="44"/>
        <bgColor indexed="64"/>
      </patternFill>
    </fill>
    <fill>
      <patternFill patternType="solid">
        <fgColor indexed="51"/>
        <bgColor indexed="64"/>
      </patternFill>
    </fill>
    <fill>
      <patternFill patternType="solid">
        <fgColor indexed="23"/>
        <bgColor indexed="64"/>
      </patternFill>
    </fill>
    <fill>
      <patternFill patternType="solid">
        <fgColor rgb="FFF1F0E4"/>
        <bgColor indexed="64"/>
      </patternFill>
    </fill>
    <fill>
      <patternFill patternType="solid">
        <fgColor rgb="FFF0F2F7"/>
        <bgColor indexed="64"/>
      </patternFill>
    </fill>
    <fill>
      <patternFill patternType="solid">
        <fgColor rgb="FFF8F9FC"/>
        <bgColor indexed="64"/>
      </patternFill>
    </fill>
  </fills>
  <borders count="11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style="thin">
        <color indexed="9"/>
      </bottom>
      <diagonal/>
    </border>
    <border>
      <left style="thin">
        <color indexed="9"/>
      </left>
      <right/>
      <top style="thin">
        <color indexed="9"/>
      </top>
      <bottom style="thin">
        <color indexed="9"/>
      </bottom>
      <diagonal/>
    </border>
    <border>
      <left/>
      <right style="thin">
        <color indexed="9"/>
      </right>
      <top style="thin">
        <color indexed="9"/>
      </top>
      <bottom/>
      <diagonal/>
    </border>
    <border>
      <left/>
      <right style="thin">
        <color indexed="9"/>
      </right>
      <top style="thin">
        <color indexed="9"/>
      </top>
      <bottom style="thick">
        <color indexed="64"/>
      </bottom>
      <diagonal/>
    </border>
    <border>
      <left/>
      <right/>
      <top style="thick">
        <color indexed="64"/>
      </top>
      <bottom/>
      <diagonal/>
    </border>
    <border>
      <left/>
      <right style="thin">
        <color indexed="9"/>
      </right>
      <top/>
      <bottom style="thin">
        <color indexed="9"/>
      </bottom>
      <diagonal/>
    </border>
    <border>
      <left style="thin">
        <color indexed="9"/>
      </left>
      <right style="thick">
        <color indexed="64"/>
      </right>
      <top style="thin">
        <color indexed="9"/>
      </top>
      <bottom style="thin">
        <color indexed="9"/>
      </bottom>
      <diagonal/>
    </border>
    <border>
      <left style="thick">
        <color indexed="64"/>
      </left>
      <right style="thin">
        <color indexed="9"/>
      </right>
      <top style="thin">
        <color indexed="9"/>
      </top>
      <bottom style="thin">
        <color indexed="9"/>
      </bottom>
      <diagonal/>
    </border>
    <border>
      <left style="thick">
        <color indexed="64"/>
      </left>
      <right style="thick">
        <color indexed="64"/>
      </right>
      <top style="thin">
        <color indexed="9"/>
      </top>
      <bottom style="thick">
        <color indexed="64"/>
      </bottom>
      <diagonal/>
    </border>
    <border>
      <left style="thin">
        <color indexed="9"/>
      </left>
      <right style="thin">
        <color indexed="9"/>
      </right>
      <top/>
      <bottom style="thin">
        <color indexed="9"/>
      </bottom>
      <diagonal/>
    </border>
    <border>
      <left style="thin">
        <color indexed="9"/>
      </left>
      <right style="thin">
        <color indexed="9"/>
      </right>
      <top style="thin">
        <color indexed="9"/>
      </top>
      <bottom/>
      <diagonal/>
    </border>
    <border>
      <left/>
      <right/>
      <top style="thin">
        <color indexed="9"/>
      </top>
      <bottom/>
      <diagonal/>
    </border>
    <border>
      <left/>
      <right style="thin">
        <color indexed="9"/>
      </right>
      <top/>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9"/>
      </left>
      <right style="thin">
        <color indexed="9"/>
      </right>
      <top/>
      <bottom/>
      <diagonal/>
    </border>
    <border>
      <left/>
      <right/>
      <top style="thin">
        <color indexed="9"/>
      </top>
      <bottom style="thin">
        <color indexed="9"/>
      </bottom>
      <diagonal/>
    </border>
    <border>
      <left style="thick">
        <color indexed="9"/>
      </left>
      <right style="thin">
        <color indexed="9"/>
      </right>
      <top style="thin">
        <color indexed="9"/>
      </top>
      <bottom style="thin">
        <color indexed="9"/>
      </bottom>
      <diagonal/>
    </border>
    <border>
      <left style="thick">
        <color indexed="9"/>
      </left>
      <right style="thin">
        <color indexed="9"/>
      </right>
      <top/>
      <bottom style="thin">
        <color indexed="9"/>
      </bottom>
      <diagonal/>
    </border>
    <border>
      <left style="thin">
        <color indexed="9"/>
      </left>
      <right/>
      <top/>
      <bottom style="thin">
        <color indexed="9"/>
      </bottom>
      <diagonal/>
    </border>
    <border>
      <left style="thick">
        <color indexed="9"/>
      </left>
      <right style="thick">
        <color indexed="9"/>
      </right>
      <top style="thick">
        <color indexed="9"/>
      </top>
      <bottom style="thick">
        <color indexed="9"/>
      </bottom>
      <diagonal/>
    </border>
    <border>
      <left style="thin">
        <color indexed="9"/>
      </left>
      <right style="thick">
        <color indexed="64"/>
      </right>
      <top style="thin">
        <color indexed="9"/>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ck">
        <color indexed="10"/>
      </left>
      <right style="thick">
        <color indexed="10"/>
      </right>
      <top style="thick">
        <color indexed="10"/>
      </top>
      <bottom style="thick">
        <color indexed="10"/>
      </bottom>
      <diagonal/>
    </border>
    <border>
      <left style="thin">
        <color indexed="64"/>
      </left>
      <right style="thin">
        <color indexed="64"/>
      </right>
      <top style="thin">
        <color indexed="64"/>
      </top>
      <bottom/>
      <diagonal/>
    </border>
    <border>
      <left style="medium">
        <color indexed="64"/>
      </left>
      <right style="double">
        <color indexed="64"/>
      </right>
      <top style="medium">
        <color indexed="64"/>
      </top>
      <bottom style="thin">
        <color indexed="9"/>
      </bottom>
      <diagonal/>
    </border>
    <border>
      <left style="medium">
        <color indexed="64"/>
      </left>
      <right style="double">
        <color indexed="64"/>
      </right>
      <top style="thin">
        <color indexed="9"/>
      </top>
      <bottom style="thin">
        <color indexed="9"/>
      </bottom>
      <diagonal/>
    </border>
    <border>
      <left style="medium">
        <color indexed="64"/>
      </left>
      <right style="double">
        <color indexed="64"/>
      </right>
      <top style="thin">
        <color indexed="9"/>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9"/>
      </bottom>
      <diagonal/>
    </border>
    <border>
      <left/>
      <right style="medium">
        <color indexed="64"/>
      </right>
      <top style="thin">
        <color indexed="9"/>
      </top>
      <bottom style="thin">
        <color indexed="9"/>
      </bottom>
      <diagonal/>
    </border>
    <border>
      <left/>
      <right style="medium">
        <color indexed="64"/>
      </right>
      <top style="thin">
        <color indexed="9"/>
      </top>
      <bottom style="medium">
        <color indexed="64"/>
      </bottom>
      <diagonal/>
    </border>
    <border>
      <left/>
      <right style="thick">
        <color indexed="64"/>
      </right>
      <top style="thin">
        <color indexed="9"/>
      </top>
      <bottom style="thin">
        <color indexed="9"/>
      </bottom>
      <diagonal/>
    </border>
    <border>
      <left style="thick">
        <color indexed="64"/>
      </left>
      <right style="thin">
        <color indexed="9"/>
      </right>
      <top style="thin">
        <color indexed="9"/>
      </top>
      <bottom style="thick">
        <color indexed="64"/>
      </bottom>
      <diagonal/>
    </border>
    <border>
      <left style="thick">
        <color indexed="64"/>
      </left>
      <right style="thin">
        <color indexed="9"/>
      </right>
      <top style="thick">
        <color indexed="64"/>
      </top>
      <bottom style="thin">
        <color indexed="9"/>
      </bottom>
      <diagonal/>
    </border>
    <border>
      <left style="thin">
        <color indexed="9"/>
      </left>
      <right style="thin">
        <color indexed="9"/>
      </right>
      <top style="thick">
        <color indexed="64"/>
      </top>
      <bottom style="thin">
        <color indexed="9"/>
      </bottom>
      <diagonal/>
    </border>
    <border>
      <left style="thick">
        <color indexed="64"/>
      </left>
      <right/>
      <top/>
      <bottom/>
      <diagonal/>
    </border>
    <border>
      <left style="thick">
        <color indexed="64"/>
      </left>
      <right/>
      <top style="thick">
        <color indexed="9"/>
      </top>
      <bottom/>
      <diagonal/>
    </border>
    <border>
      <left style="thick">
        <color indexed="64"/>
      </left>
      <right style="thin">
        <color indexed="9"/>
      </right>
      <top style="thick">
        <color indexed="9"/>
      </top>
      <bottom style="thick">
        <color indexed="9"/>
      </bottom>
      <diagonal/>
    </border>
    <border>
      <left style="thick">
        <color indexed="64"/>
      </left>
      <right/>
      <top style="thick">
        <color indexed="64"/>
      </top>
      <bottom/>
      <diagonal/>
    </border>
    <border>
      <left style="thin">
        <color indexed="9"/>
      </left>
      <right style="thin">
        <color indexed="9"/>
      </right>
      <top/>
      <bottom style="double">
        <color indexed="64"/>
      </bottom>
      <diagonal/>
    </border>
    <border>
      <left/>
      <right style="thin">
        <color indexed="9"/>
      </right>
      <top/>
      <bottom style="double">
        <color indexed="64"/>
      </bottom>
      <diagonal/>
    </border>
    <border>
      <left/>
      <right style="thin">
        <color indexed="9"/>
      </right>
      <top style="thin">
        <color indexed="9"/>
      </top>
      <bottom style="double">
        <color indexed="64"/>
      </bottom>
      <diagonal/>
    </border>
    <border>
      <left style="thin">
        <color indexed="9"/>
      </left>
      <right style="thin">
        <color indexed="9"/>
      </right>
      <top style="thin">
        <color indexed="9"/>
      </top>
      <bottom style="double">
        <color indexed="64"/>
      </bottom>
      <diagonal/>
    </border>
    <border>
      <left style="thin">
        <color indexed="64"/>
      </left>
      <right style="thin">
        <color indexed="64"/>
      </right>
      <top style="thin">
        <color indexed="64"/>
      </top>
      <bottom style="thin">
        <color indexed="9"/>
      </bottom>
      <diagonal/>
    </border>
    <border>
      <left style="thin">
        <color indexed="64"/>
      </left>
      <right style="thin">
        <color indexed="64"/>
      </right>
      <top style="thin">
        <color indexed="9"/>
      </top>
      <bottom style="thin">
        <color indexed="64"/>
      </bottom>
      <diagonal/>
    </border>
    <border>
      <left style="thick">
        <color indexed="64"/>
      </left>
      <right style="thin">
        <color indexed="9"/>
      </right>
      <top style="thick">
        <color indexed="9"/>
      </top>
      <bottom/>
      <diagonal/>
    </border>
    <border>
      <left style="thick">
        <color indexed="9"/>
      </left>
      <right style="thin">
        <color indexed="9"/>
      </right>
      <top style="thick">
        <color indexed="64"/>
      </top>
      <bottom style="thin">
        <color indexed="9"/>
      </bottom>
      <diagonal/>
    </border>
    <border>
      <left style="thin">
        <color indexed="9"/>
      </left>
      <right style="thick">
        <color indexed="64"/>
      </right>
      <top style="thin">
        <color indexed="9"/>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dotted">
        <color indexed="64"/>
      </left>
      <right style="dotted">
        <color indexed="64"/>
      </right>
      <top style="dotted">
        <color indexed="64"/>
      </top>
      <bottom style="dotted">
        <color indexed="64"/>
      </bottom>
      <diagonal/>
    </border>
    <border>
      <left/>
      <right/>
      <top/>
      <bottom style="thin">
        <color indexed="9"/>
      </bottom>
      <diagonal/>
    </border>
    <border>
      <left style="thick">
        <color indexed="64"/>
      </left>
      <right style="thick">
        <color indexed="64"/>
      </right>
      <top style="thick">
        <color indexed="64"/>
      </top>
      <bottom style="thick">
        <color indexed="64"/>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style="thick">
        <color indexed="64"/>
      </top>
      <bottom/>
      <diagonal/>
    </border>
    <border>
      <left style="dotted">
        <color indexed="64"/>
      </left>
      <right style="thick">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
      <left style="medium">
        <color indexed="64"/>
      </left>
      <right style="medium">
        <color indexed="64"/>
      </right>
      <top style="medium">
        <color indexed="64"/>
      </top>
      <bottom style="thin">
        <color indexed="64"/>
      </bottom>
      <diagonal/>
    </border>
    <border>
      <left style="double">
        <color indexed="64"/>
      </left>
      <right style="double">
        <color indexed="64"/>
      </right>
      <top style="double">
        <color indexed="64"/>
      </top>
      <bottom style="double">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thin">
        <color indexed="64"/>
      </left>
      <right/>
      <top style="medium">
        <color indexed="64"/>
      </top>
      <bottom/>
      <diagonal/>
    </border>
    <border>
      <left style="thin">
        <color indexed="64"/>
      </left>
      <right style="double">
        <color indexed="64"/>
      </right>
      <top style="medium">
        <color indexed="64"/>
      </top>
      <bottom/>
      <diagonal/>
    </border>
    <border>
      <left/>
      <right/>
      <top style="double">
        <color indexed="64"/>
      </top>
      <bottom/>
      <diagonal/>
    </border>
    <border>
      <left style="thin">
        <color indexed="64"/>
      </left>
      <right style="double">
        <color indexed="64"/>
      </right>
      <top style="thin">
        <color indexed="64"/>
      </top>
      <bottom style="thin">
        <color indexed="64"/>
      </bottom>
      <diagonal/>
    </border>
    <border>
      <left style="double">
        <color indexed="64"/>
      </left>
      <right/>
      <top/>
      <bottom/>
      <diagonal/>
    </border>
    <border>
      <left style="double">
        <color indexed="64"/>
      </left>
      <right/>
      <top/>
      <bottom style="double">
        <color indexed="64"/>
      </bottom>
      <diagonal/>
    </border>
    <border>
      <left style="thick">
        <color indexed="64"/>
      </left>
      <right style="thick">
        <color indexed="64"/>
      </right>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style="double">
        <color indexed="64"/>
      </left>
      <right style="double">
        <color indexed="64"/>
      </right>
      <top style="thin">
        <color indexed="64"/>
      </top>
      <bottom style="thin">
        <color indexed="64"/>
      </bottom>
      <diagonal/>
    </border>
    <border>
      <left style="thick">
        <color indexed="64"/>
      </left>
      <right style="thick">
        <color indexed="64"/>
      </right>
      <top style="thin">
        <color indexed="64"/>
      </top>
      <bottom style="medium">
        <color indexed="64"/>
      </bottom>
      <diagonal/>
    </border>
    <border>
      <left/>
      <right/>
      <top/>
      <bottom style="thick">
        <color indexed="64"/>
      </bottom>
      <diagonal/>
    </border>
    <border>
      <left style="medium">
        <color indexed="64"/>
      </left>
      <right/>
      <top/>
      <bottom/>
      <diagonal/>
    </border>
    <border>
      <left style="thin">
        <color indexed="64"/>
      </left>
      <right/>
      <top style="thick">
        <color indexed="64"/>
      </top>
      <bottom/>
      <diagonal/>
    </border>
    <border>
      <left/>
      <right style="thick">
        <color indexed="64"/>
      </right>
      <top style="thick">
        <color indexed="64"/>
      </top>
      <bottom/>
      <diagonal/>
    </border>
    <border>
      <left style="thin">
        <color indexed="64"/>
      </left>
      <right/>
      <top style="thick">
        <color indexed="64"/>
      </top>
      <bottom style="thin">
        <color indexed="64"/>
      </bottom>
      <diagonal/>
    </border>
    <border>
      <left/>
      <right style="thick">
        <color indexed="64"/>
      </right>
      <top style="thick">
        <color indexed="64"/>
      </top>
      <bottom style="thin">
        <color indexed="64"/>
      </bottom>
      <diagonal/>
    </border>
    <border>
      <left/>
      <right/>
      <top/>
      <bottom style="medium">
        <color rgb="FF7FAAD3"/>
      </bottom>
      <diagonal/>
    </border>
    <border>
      <left/>
      <right/>
      <top style="medium">
        <color rgb="FF7FAAD3"/>
      </top>
      <bottom/>
      <diagonal/>
    </border>
  </borders>
  <cellStyleXfs count="2">
    <xf numFmtId="0" fontId="0" fillId="0" borderId="0"/>
    <xf numFmtId="0" fontId="17" fillId="0" borderId="0" applyNumberFormat="0" applyFill="0" applyBorder="0" applyAlignment="0" applyProtection="0">
      <alignment vertical="top"/>
      <protection locked="0"/>
    </xf>
  </cellStyleXfs>
  <cellXfs count="482">
    <xf numFmtId="0" fontId="0" fillId="0" borderId="0" xfId="0"/>
    <xf numFmtId="0" fontId="0" fillId="0" borderId="0" xfId="0" applyAlignment="1">
      <alignment horizontal="center"/>
    </xf>
    <xf numFmtId="0" fontId="7" fillId="0" borderId="0" xfId="0" applyFont="1"/>
    <xf numFmtId="0" fontId="6" fillId="2" borderId="0" xfId="0" applyFont="1" applyFill="1"/>
    <xf numFmtId="0" fontId="0" fillId="3" borderId="0" xfId="0" applyFill="1"/>
    <xf numFmtId="0" fontId="11" fillId="4" borderId="1" xfId="0" applyFont="1" applyFill="1" applyBorder="1"/>
    <xf numFmtId="0" fontId="0" fillId="4" borderId="2" xfId="0" applyFill="1" applyBorder="1"/>
    <xf numFmtId="0" fontId="0" fillId="5" borderId="3" xfId="0" applyFill="1" applyBorder="1" applyAlignment="1">
      <alignment horizontal="center"/>
    </xf>
    <xf numFmtId="0" fontId="18" fillId="6" borderId="3" xfId="0" applyFont="1" applyFill="1" applyBorder="1" applyAlignment="1">
      <alignment horizontal="center" vertical="center" wrapText="1"/>
    </xf>
    <xf numFmtId="14" fontId="16" fillId="7" borderId="3" xfId="0" applyNumberFormat="1" applyFont="1" applyFill="1" applyBorder="1" applyAlignment="1">
      <alignment horizontal="left"/>
    </xf>
    <xf numFmtId="0" fontId="0" fillId="3" borderId="0" xfId="0" applyFill="1" applyAlignment="1">
      <alignment horizontal="right"/>
    </xf>
    <xf numFmtId="0" fontId="18" fillId="5" borderId="4" xfId="0" applyFont="1" applyFill="1" applyBorder="1" applyAlignment="1">
      <alignment horizontal="center" vertical="center"/>
    </xf>
    <xf numFmtId="0" fontId="18" fillId="5" borderId="5" xfId="0" applyFont="1" applyFill="1" applyBorder="1" applyAlignment="1">
      <alignment horizontal="center" vertical="center"/>
    </xf>
    <xf numFmtId="0" fontId="0" fillId="0" borderId="0" xfId="0" applyProtection="1">
      <protection locked="0"/>
    </xf>
    <xf numFmtId="0" fontId="12" fillId="7" borderId="3" xfId="0" applyFont="1" applyFill="1" applyBorder="1" applyAlignment="1">
      <alignment horizontal="center" vertical="center" wrapText="1"/>
    </xf>
    <xf numFmtId="0" fontId="0" fillId="0" borderId="6" xfId="0" applyBorder="1"/>
    <xf numFmtId="0" fontId="0" fillId="0" borderId="7" xfId="0" applyBorder="1"/>
    <xf numFmtId="0" fontId="0" fillId="0" borderId="8" xfId="0" applyBorder="1"/>
    <xf numFmtId="0" fontId="0" fillId="0" borderId="9" xfId="0" applyBorder="1"/>
    <xf numFmtId="0" fontId="0" fillId="0" borderId="10" xfId="0" applyBorder="1"/>
    <xf numFmtId="0" fontId="0" fillId="0" borderId="11" xfId="0" applyBorder="1"/>
    <xf numFmtId="0" fontId="24" fillId="0" borderId="12" xfId="0" applyFont="1" applyBorder="1" applyAlignment="1">
      <alignment horizontal="center"/>
    </xf>
    <xf numFmtId="0" fontId="26" fillId="0" borderId="6" xfId="0" applyFont="1" applyBorder="1" applyAlignment="1">
      <alignment horizontal="center"/>
    </xf>
    <xf numFmtId="0" fontId="0" fillId="0" borderId="13" xfId="0" applyBorder="1"/>
    <xf numFmtId="0" fontId="15" fillId="0" borderId="6" xfId="0" applyFont="1" applyBorder="1" applyAlignment="1">
      <alignment horizontal="center"/>
    </xf>
    <xf numFmtId="0" fontId="0" fillId="0" borderId="14" xfId="0" applyBorder="1"/>
    <xf numFmtId="0" fontId="0" fillId="0" borderId="15" xfId="0" applyBorder="1"/>
    <xf numFmtId="0" fontId="0" fillId="0" borderId="16" xfId="0" applyBorder="1"/>
    <xf numFmtId="0" fontId="0" fillId="0" borderId="17" xfId="0" applyBorder="1"/>
    <xf numFmtId="0" fontId="26" fillId="0" borderId="12" xfId="0" applyFont="1" applyBorder="1" applyAlignment="1">
      <alignment horizontal="center"/>
    </xf>
    <xf numFmtId="0" fontId="0" fillId="0" borderId="18" xfId="0" applyBorder="1"/>
    <xf numFmtId="0" fontId="27" fillId="0" borderId="19" xfId="0" applyFont="1" applyBorder="1"/>
    <xf numFmtId="0" fontId="0" fillId="0" borderId="8" xfId="0" applyBorder="1" applyAlignment="1">
      <alignment shrinkToFit="1"/>
    </xf>
    <xf numFmtId="0" fontId="0" fillId="0" borderId="7" xfId="0" applyBorder="1" applyAlignment="1">
      <alignment shrinkToFit="1"/>
    </xf>
    <xf numFmtId="0" fontId="0" fillId="0" borderId="6" xfId="0" applyBorder="1" applyAlignment="1">
      <alignment shrinkToFit="1"/>
    </xf>
    <xf numFmtId="0" fontId="0" fillId="0" borderId="18" xfId="0" applyBorder="1" applyAlignment="1">
      <alignment shrinkToFit="1"/>
    </xf>
    <xf numFmtId="0" fontId="0" fillId="0" borderId="16" xfId="0" applyBorder="1" applyAlignment="1">
      <alignment shrinkToFit="1"/>
    </xf>
    <xf numFmtId="0" fontId="12" fillId="0" borderId="20" xfId="0" applyFont="1" applyBorder="1" applyAlignment="1">
      <alignment horizontal="center"/>
    </xf>
    <xf numFmtId="0" fontId="15" fillId="0" borderId="21" xfId="0" applyFont="1" applyBorder="1" applyAlignment="1">
      <alignment horizontal="center"/>
    </xf>
    <xf numFmtId="0" fontId="0" fillId="0" borderId="7" xfId="0" applyBorder="1" applyAlignment="1">
      <alignment horizontal="center"/>
    </xf>
    <xf numFmtId="0" fontId="2" fillId="0" borderId="6" xfId="0" applyFont="1" applyBorder="1"/>
    <xf numFmtId="0" fontId="0" fillId="0" borderId="16" xfId="0" applyBorder="1" applyAlignment="1">
      <alignment horizontal="center"/>
    </xf>
    <xf numFmtId="0" fontId="0" fillId="0" borderId="0" xfId="0" applyAlignment="1">
      <alignment shrinkToFit="1"/>
    </xf>
    <xf numFmtId="0" fontId="0" fillId="0" borderId="0" xfId="0" applyAlignment="1">
      <alignment horizontal="center" shrinkToFit="1"/>
    </xf>
    <xf numFmtId="0" fontId="23" fillId="0" borderId="0" xfId="0" applyFont="1" applyAlignment="1">
      <alignment horizontal="left"/>
    </xf>
    <xf numFmtId="0" fontId="0" fillId="0" borderId="8" xfId="0" applyBorder="1" applyAlignment="1">
      <alignment horizontal="center" shrinkToFit="1"/>
    </xf>
    <xf numFmtId="0" fontId="0" fillId="0" borderId="7" xfId="0" applyBorder="1" applyAlignment="1">
      <alignment horizontal="center" shrinkToFit="1"/>
    </xf>
    <xf numFmtId="0" fontId="0" fillId="0" borderId="18" xfId="0" applyBorder="1" applyAlignment="1">
      <alignment horizontal="center" shrinkToFit="1"/>
    </xf>
    <xf numFmtId="0" fontId="25" fillId="0" borderId="8" xfId="0" applyFont="1" applyBorder="1" applyAlignment="1">
      <alignment horizontal="center" shrinkToFit="1"/>
    </xf>
    <xf numFmtId="0" fontId="25" fillId="0" borderId="7" xfId="0" applyFont="1" applyBorder="1" applyAlignment="1">
      <alignment horizontal="center" shrinkToFit="1"/>
    </xf>
    <xf numFmtId="0" fontId="0" fillId="0" borderId="7" xfId="0" applyBorder="1" applyAlignment="1">
      <alignment horizontal="left"/>
    </xf>
    <xf numFmtId="0" fontId="22" fillId="0" borderId="7" xfId="0" applyFont="1" applyBorder="1"/>
    <xf numFmtId="0" fontId="22" fillId="0" borderId="8" xfId="0" applyFont="1" applyBorder="1"/>
    <xf numFmtId="0" fontId="22" fillId="0" borderId="6" xfId="0" applyFont="1" applyBorder="1"/>
    <xf numFmtId="0" fontId="0" fillId="0" borderId="22" xfId="0" applyBorder="1"/>
    <xf numFmtId="0" fontId="27" fillId="0" borderId="23" xfId="0" applyFont="1" applyBorder="1"/>
    <xf numFmtId="0" fontId="0" fillId="0" borderId="24" xfId="0" applyBorder="1"/>
    <xf numFmtId="0" fontId="32" fillId="3" borderId="7" xfId="0" applyFont="1" applyFill="1" applyBorder="1" applyAlignment="1">
      <alignment horizontal="center" vertical="center"/>
    </xf>
    <xf numFmtId="0" fontId="0" fillId="0" borderId="17" xfId="0" applyBorder="1" applyAlignment="1">
      <alignment horizontal="center" shrinkToFit="1"/>
    </xf>
    <xf numFmtId="0" fontId="0" fillId="0" borderId="25" xfId="0" applyBorder="1"/>
    <xf numFmtId="0" fontId="0" fillId="0" borderId="26" xfId="0" applyBorder="1"/>
    <xf numFmtId="0" fontId="31" fillId="0" borderId="27" xfId="0" applyFont="1" applyBorder="1" applyAlignment="1">
      <alignment horizontal="center"/>
    </xf>
    <xf numFmtId="0" fontId="26" fillId="0" borderId="27" xfId="0" applyFont="1" applyBorder="1" applyAlignment="1">
      <alignment horizontal="center"/>
    </xf>
    <xf numFmtId="0" fontId="26" fillId="0" borderId="7" xfId="0" applyFont="1" applyBorder="1" applyAlignment="1">
      <alignment horizontal="center"/>
    </xf>
    <xf numFmtId="0" fontId="27" fillId="0" borderId="7" xfId="0" applyFont="1" applyBorder="1"/>
    <xf numFmtId="0" fontId="24" fillId="0" borderId="28" xfId="0" applyFont="1" applyBorder="1" applyAlignment="1">
      <alignment horizontal="center"/>
    </xf>
    <xf numFmtId="0" fontId="27" fillId="0" borderId="13" xfId="0" applyFont="1" applyBorder="1"/>
    <xf numFmtId="0" fontId="0" fillId="4" borderId="29" xfId="0" applyFill="1" applyBorder="1"/>
    <xf numFmtId="0" fontId="0" fillId="4" borderId="30" xfId="0" applyFill="1" applyBorder="1"/>
    <xf numFmtId="0" fontId="16" fillId="7" borderId="31" xfId="0" applyFont="1" applyFill="1" applyBorder="1" applyAlignment="1">
      <alignment horizontal="left"/>
    </xf>
    <xf numFmtId="0" fontId="16" fillId="7" borderId="1" xfId="0" applyFont="1" applyFill="1" applyBorder="1"/>
    <xf numFmtId="0" fontId="0" fillId="7" borderId="2" xfId="0" applyFill="1" applyBorder="1"/>
    <xf numFmtId="0" fontId="0" fillId="7" borderId="32" xfId="0" applyFill="1" applyBorder="1"/>
    <xf numFmtId="0" fontId="12" fillId="6" borderId="33" xfId="0" applyFont="1" applyFill="1" applyBorder="1"/>
    <xf numFmtId="0" fontId="12" fillId="6" borderId="33" xfId="0" applyFont="1" applyFill="1" applyBorder="1" applyAlignment="1">
      <alignment horizontal="center"/>
    </xf>
    <xf numFmtId="0" fontId="0" fillId="0" borderId="7" xfId="0" applyBorder="1" applyAlignment="1">
      <alignment horizontal="center" vertical="center"/>
    </xf>
    <xf numFmtId="0" fontId="0" fillId="0" borderId="16" xfId="0" applyBorder="1" applyAlignment="1">
      <alignment horizontal="center" vertical="center"/>
    </xf>
    <xf numFmtId="0" fontId="18" fillId="5" borderId="34" xfId="0" applyFont="1" applyFill="1" applyBorder="1" applyAlignment="1">
      <alignment horizontal="center" vertical="center"/>
    </xf>
    <xf numFmtId="0" fontId="12" fillId="0" borderId="35" xfId="0" applyFont="1" applyBorder="1" applyAlignment="1">
      <alignment horizontal="center"/>
    </xf>
    <xf numFmtId="0" fontId="28" fillId="0" borderId="31" xfId="0" applyFont="1" applyBorder="1" applyAlignment="1">
      <alignment horizontal="center" shrinkToFit="1"/>
    </xf>
    <xf numFmtId="0" fontId="12" fillId="0" borderId="36" xfId="0" applyFont="1" applyBorder="1" applyAlignment="1">
      <alignment horizontal="center"/>
    </xf>
    <xf numFmtId="0" fontId="28" fillId="0" borderId="37" xfId="0" applyFont="1" applyBorder="1" applyAlignment="1">
      <alignment horizontal="center" shrinkToFit="1"/>
    </xf>
    <xf numFmtId="0" fontId="23" fillId="8" borderId="38" xfId="0" applyFont="1" applyFill="1" applyBorder="1" applyAlignment="1">
      <alignment horizontal="center" vertical="center"/>
    </xf>
    <xf numFmtId="0" fontId="16" fillId="7" borderId="1" xfId="0" applyFont="1" applyFill="1" applyBorder="1" applyAlignment="1">
      <alignment vertical="center"/>
    </xf>
    <xf numFmtId="0" fontId="0" fillId="7" borderId="2" xfId="0" applyFill="1" applyBorder="1" applyAlignment="1">
      <alignment vertical="center"/>
    </xf>
    <xf numFmtId="0" fontId="16" fillId="7" borderId="38" xfId="0" applyFont="1" applyFill="1" applyBorder="1" applyAlignment="1">
      <alignment horizontal="left" vertical="center" indent="1"/>
    </xf>
    <xf numFmtId="0" fontId="2" fillId="9" borderId="3" xfId="0" applyFont="1" applyFill="1" applyBorder="1" applyAlignment="1">
      <alignment horizontal="center" vertical="center"/>
    </xf>
    <xf numFmtId="0" fontId="0" fillId="6" borderId="1" xfId="0" applyFill="1" applyBorder="1"/>
    <xf numFmtId="0" fontId="0" fillId="6" borderId="32" xfId="0" applyFill="1" applyBorder="1"/>
    <xf numFmtId="164" fontId="0" fillId="0" borderId="0" xfId="0" applyNumberFormat="1"/>
    <xf numFmtId="0" fontId="34" fillId="3" borderId="0" xfId="0" applyFont="1" applyFill="1" applyAlignment="1">
      <alignment horizontal="right" vertical="center"/>
    </xf>
    <xf numFmtId="0" fontId="0" fillId="3" borderId="0" xfId="0" applyFill="1" applyAlignment="1">
      <alignment horizontal="right" vertical="center"/>
    </xf>
    <xf numFmtId="0" fontId="0" fillId="3" borderId="0" xfId="0" applyFill="1" applyAlignment="1">
      <alignment vertical="center"/>
    </xf>
    <xf numFmtId="0" fontId="35" fillId="3" borderId="7" xfId="0" applyFont="1" applyFill="1" applyBorder="1" applyAlignment="1">
      <alignment horizontal="center" vertical="center"/>
    </xf>
    <xf numFmtId="0" fontId="36" fillId="0" borderId="7" xfId="0" applyFont="1" applyBorder="1"/>
    <xf numFmtId="0" fontId="36" fillId="0" borderId="8" xfId="0" applyFont="1" applyBorder="1"/>
    <xf numFmtId="0" fontId="36" fillId="0" borderId="6" xfId="0" applyFont="1" applyBorder="1"/>
    <xf numFmtId="0" fontId="15" fillId="3" borderId="21" xfId="0" applyFont="1" applyFill="1" applyBorder="1" applyAlignment="1">
      <alignment horizontal="center"/>
    </xf>
    <xf numFmtId="0" fontId="28" fillId="10" borderId="31" xfId="0" applyFont="1" applyFill="1" applyBorder="1" applyAlignment="1">
      <alignment horizontal="center" shrinkToFit="1"/>
    </xf>
    <xf numFmtId="0" fontId="24" fillId="0" borderId="19" xfId="0" applyFont="1" applyBorder="1" applyAlignment="1">
      <alignment horizontal="center"/>
    </xf>
    <xf numFmtId="0" fontId="30" fillId="7" borderId="39" xfId="0" applyFont="1" applyFill="1" applyBorder="1" applyAlignment="1">
      <alignment horizontal="center" shrinkToFit="1"/>
    </xf>
    <xf numFmtId="0" fontId="0" fillId="0" borderId="23" xfId="0" applyBorder="1"/>
    <xf numFmtId="0" fontId="12" fillId="6" borderId="40" xfId="0" applyFont="1" applyFill="1" applyBorder="1" applyAlignment="1">
      <alignment horizontal="center" vertical="center" wrapText="1"/>
    </xf>
    <xf numFmtId="0" fontId="37" fillId="0" borderId="41" xfId="0" applyFont="1" applyBorder="1" applyAlignment="1">
      <alignment horizontal="center"/>
    </xf>
    <xf numFmtId="0" fontId="37" fillId="0" borderId="42" xfId="0" applyFont="1" applyBorder="1" applyAlignment="1">
      <alignment horizontal="center"/>
    </xf>
    <xf numFmtId="0" fontId="37" fillId="0" borderId="43" xfId="0" applyFont="1" applyBorder="1" applyAlignment="1">
      <alignment horizontal="center"/>
    </xf>
    <xf numFmtId="0" fontId="11" fillId="7" borderId="1" xfId="0" applyFont="1" applyFill="1" applyBorder="1"/>
    <xf numFmtId="0" fontId="12" fillId="0" borderId="0" xfId="0" applyFont="1" applyAlignment="1">
      <alignment horizontal="center"/>
    </xf>
    <xf numFmtId="14" fontId="0" fillId="7" borderId="2" xfId="0" applyNumberFormat="1" applyFill="1" applyBorder="1"/>
    <xf numFmtId="14" fontId="4" fillId="7" borderId="2" xfId="0" applyNumberFormat="1" applyFont="1" applyFill="1" applyBorder="1" applyAlignment="1">
      <alignment horizontal="right" vertical="center"/>
    </xf>
    <xf numFmtId="0" fontId="0" fillId="9" borderId="44" xfId="0" applyFill="1" applyBorder="1"/>
    <xf numFmtId="0" fontId="0" fillId="9" borderId="29" xfId="0" applyFill="1" applyBorder="1" applyAlignment="1">
      <alignment horizontal="center"/>
    </xf>
    <xf numFmtId="0" fontId="0" fillId="9" borderId="30" xfId="0" applyFill="1" applyBorder="1" applyAlignment="1">
      <alignment horizontal="center"/>
    </xf>
    <xf numFmtId="0" fontId="0" fillId="9" borderId="45" xfId="0" applyFill="1" applyBorder="1"/>
    <xf numFmtId="0" fontId="0" fillId="9" borderId="46" xfId="0" applyFill="1" applyBorder="1" applyAlignment="1">
      <alignment horizontal="center"/>
    </xf>
    <xf numFmtId="0" fontId="0" fillId="9" borderId="47" xfId="0" applyFill="1" applyBorder="1"/>
    <xf numFmtId="49" fontId="38" fillId="0" borderId="48" xfId="0" applyNumberFormat="1" applyFont="1" applyBorder="1" applyAlignment="1">
      <alignment horizontal="center" vertical="center"/>
    </xf>
    <xf numFmtId="49" fontId="38" fillId="0" borderId="48" xfId="0" applyNumberFormat="1" applyFont="1" applyBorder="1" applyAlignment="1">
      <alignment horizontal="left" vertical="center"/>
    </xf>
    <xf numFmtId="0" fontId="16" fillId="0" borderId="0" xfId="0" applyFont="1" applyAlignment="1">
      <alignment horizontal="center"/>
    </xf>
    <xf numFmtId="49" fontId="38" fillId="0" borderId="3" xfId="0" applyNumberFormat="1" applyFont="1" applyBorder="1" applyAlignment="1">
      <alignment horizontal="center" vertical="center"/>
    </xf>
    <xf numFmtId="49" fontId="38" fillId="0" borderId="3" xfId="0" applyNumberFormat="1" applyFont="1" applyBorder="1" applyAlignment="1">
      <alignment horizontal="left" vertical="center"/>
    </xf>
    <xf numFmtId="49" fontId="12" fillId="0" borderId="3" xfId="0" applyNumberFormat="1" applyFont="1" applyBorder="1" applyAlignment="1">
      <alignment horizontal="left" vertical="center"/>
    </xf>
    <xf numFmtId="49" fontId="38" fillId="3" borderId="3" xfId="0" applyNumberFormat="1" applyFont="1" applyFill="1" applyBorder="1" applyAlignment="1">
      <alignment horizontal="center" vertical="center"/>
    </xf>
    <xf numFmtId="49" fontId="38" fillId="3" borderId="3" xfId="0" applyNumberFormat="1" applyFont="1" applyFill="1" applyBorder="1" applyAlignment="1">
      <alignment horizontal="left" vertical="center"/>
    </xf>
    <xf numFmtId="0" fontId="11" fillId="7" borderId="1" xfId="0" applyFont="1" applyFill="1" applyBorder="1" applyAlignment="1">
      <alignment horizontal="left" vertical="center"/>
    </xf>
    <xf numFmtId="0" fontId="0" fillId="7" borderId="2" xfId="0" applyFill="1" applyBorder="1" applyAlignment="1">
      <alignment horizontal="left" vertical="center"/>
    </xf>
    <xf numFmtId="0" fontId="0" fillId="7" borderId="32" xfId="0" applyFill="1" applyBorder="1" applyAlignment="1">
      <alignment horizontal="left" vertical="center"/>
    </xf>
    <xf numFmtId="0" fontId="12" fillId="0" borderId="0" xfId="0" applyFont="1"/>
    <xf numFmtId="0" fontId="25" fillId="0" borderId="0" xfId="0" applyFont="1" applyAlignment="1">
      <alignment horizontal="center"/>
    </xf>
    <xf numFmtId="0" fontId="15" fillId="2" borderId="49" xfId="0" applyFont="1" applyFill="1" applyBorder="1" applyAlignment="1" applyProtection="1">
      <alignment horizontal="center"/>
      <protection locked="0"/>
    </xf>
    <xf numFmtId="0" fontId="15" fillId="2" borderId="50" xfId="0" applyFont="1" applyFill="1" applyBorder="1" applyAlignment="1" applyProtection="1">
      <alignment horizontal="center"/>
      <protection locked="0"/>
    </xf>
    <xf numFmtId="0" fontId="29" fillId="6" borderId="38" xfId="0" applyFont="1" applyFill="1" applyBorder="1" applyAlignment="1">
      <alignment horizontal="center"/>
    </xf>
    <xf numFmtId="0" fontId="29" fillId="5" borderId="38" xfId="0" applyFont="1" applyFill="1" applyBorder="1" applyAlignment="1">
      <alignment horizontal="center"/>
    </xf>
    <xf numFmtId="0" fontId="0" fillId="0" borderId="0" xfId="0" applyAlignment="1">
      <alignment horizontal="right"/>
    </xf>
    <xf numFmtId="0" fontId="5" fillId="11" borderId="38" xfId="0" applyFont="1" applyFill="1" applyBorder="1" applyAlignment="1">
      <alignment horizontal="center" vertical="center"/>
    </xf>
    <xf numFmtId="0" fontId="0" fillId="2" borderId="0" xfId="0" applyFill="1"/>
    <xf numFmtId="0" fontId="9" fillId="4" borderId="0" xfId="0" applyFont="1" applyFill="1"/>
    <xf numFmtId="0" fontId="0" fillId="4" borderId="0" xfId="0" applyFill="1"/>
    <xf numFmtId="0" fontId="10" fillId="4" borderId="0" xfId="0" applyFont="1" applyFill="1"/>
    <xf numFmtId="0" fontId="0" fillId="5" borderId="0" xfId="0" applyFill="1"/>
    <xf numFmtId="0" fontId="0" fillId="7" borderId="0" xfId="0" applyFill="1"/>
    <xf numFmtId="0" fontId="40" fillId="6" borderId="40" xfId="0" applyFont="1" applyFill="1" applyBorder="1" applyAlignment="1">
      <alignment horizontal="center" vertical="center" wrapText="1"/>
    </xf>
    <xf numFmtId="0" fontId="1" fillId="0" borderId="51" xfId="0" applyFont="1" applyBorder="1" applyAlignment="1">
      <alignment horizontal="left" indent="1"/>
    </xf>
    <xf numFmtId="0" fontId="1" fillId="0" borderId="52" xfId="0" applyFont="1" applyBorder="1" applyAlignment="1">
      <alignment horizontal="left" indent="1"/>
    </xf>
    <xf numFmtId="0" fontId="1" fillId="0" borderId="53" xfId="0" applyFont="1" applyBorder="1" applyAlignment="1">
      <alignment horizontal="left" indent="1"/>
    </xf>
    <xf numFmtId="0" fontId="4" fillId="4" borderId="0" xfId="0" applyFont="1" applyFill="1"/>
    <xf numFmtId="0" fontId="29" fillId="2" borderId="38" xfId="0" applyFont="1" applyFill="1" applyBorder="1" applyAlignment="1">
      <alignment horizontal="center"/>
    </xf>
    <xf numFmtId="0" fontId="27" fillId="0" borderId="54" xfId="0" applyFont="1" applyBorder="1" applyAlignment="1">
      <alignment horizontal="center" vertical="center"/>
    </xf>
    <xf numFmtId="0" fontId="2" fillId="0" borderId="10" xfId="0" applyFont="1" applyBorder="1"/>
    <xf numFmtId="0" fontId="2" fillId="0" borderId="7" xfId="0" applyFont="1" applyBorder="1"/>
    <xf numFmtId="0" fontId="2" fillId="0" borderId="16" xfId="0" applyFont="1" applyBorder="1"/>
    <xf numFmtId="0" fontId="2" fillId="0" borderId="11" xfId="0" applyFont="1" applyBorder="1"/>
    <xf numFmtId="0" fontId="2" fillId="0" borderId="55" xfId="0" applyFont="1" applyBorder="1"/>
    <xf numFmtId="0" fontId="2" fillId="0" borderId="9" xfId="0" applyFont="1" applyBorder="1"/>
    <xf numFmtId="0" fontId="2" fillId="0" borderId="7" xfId="0" applyFont="1" applyBorder="1" applyAlignment="1">
      <alignment shrinkToFit="1"/>
    </xf>
    <xf numFmtId="0" fontId="24" fillId="0" borderId="12" xfId="0" applyFont="1" applyBorder="1" applyAlignment="1">
      <alignment horizontal="center" vertical="center"/>
    </xf>
    <xf numFmtId="0" fontId="25" fillId="0" borderId="6" xfId="0" applyFont="1" applyBorder="1" applyAlignment="1">
      <alignment horizontal="center" vertical="center" shrinkToFit="1"/>
    </xf>
    <xf numFmtId="0" fontId="2" fillId="0" borderId="13" xfId="0" applyFont="1" applyBorder="1"/>
    <xf numFmtId="0" fontId="2" fillId="0" borderId="8" xfId="0" applyFont="1" applyBorder="1"/>
    <xf numFmtId="0" fontId="27" fillId="0" borderId="19" xfId="0" applyFont="1" applyBorder="1" applyAlignment="1">
      <alignment horizontal="center" vertical="center"/>
    </xf>
    <xf numFmtId="0" fontId="15" fillId="0" borderId="6" xfId="0" applyFont="1" applyBorder="1" applyAlignment="1">
      <alignment horizontal="center" vertical="center"/>
    </xf>
    <xf numFmtId="0" fontId="2" fillId="0" borderId="14" xfId="0" applyFont="1" applyBorder="1"/>
    <xf numFmtId="0" fontId="2" fillId="0" borderId="6" xfId="0" applyFont="1" applyBorder="1" applyAlignment="1">
      <alignment shrinkToFit="1"/>
    </xf>
    <xf numFmtId="0" fontId="2" fillId="0" borderId="15" xfId="0" applyFont="1" applyBorder="1"/>
    <xf numFmtId="0" fontId="24" fillId="0" borderId="6" xfId="0" applyFont="1" applyBorder="1" applyAlignment="1">
      <alignment horizontal="center"/>
    </xf>
    <xf numFmtId="0" fontId="26" fillId="0" borderId="23"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9" xfId="0" applyFont="1" applyBorder="1" applyAlignment="1">
      <alignment shrinkToFit="1"/>
    </xf>
    <xf numFmtId="0" fontId="2" fillId="0" borderId="17" xfId="0" applyFont="1" applyBorder="1"/>
    <xf numFmtId="0" fontId="2" fillId="0" borderId="7" xfId="0" applyFont="1" applyBorder="1" applyAlignment="1">
      <alignment horizontal="center" vertical="center" shrinkToFit="1"/>
    </xf>
    <xf numFmtId="0" fontId="24" fillId="0" borderId="56" xfId="0" applyFont="1" applyBorder="1" applyAlignment="1">
      <alignment horizontal="center"/>
    </xf>
    <xf numFmtId="0" fontId="26" fillId="0" borderId="57" xfId="0" applyFont="1" applyBorder="1" applyAlignment="1">
      <alignment horizontal="center" vertical="center" shrinkToFit="1"/>
    </xf>
    <xf numFmtId="0" fontId="2" fillId="0" borderId="58" xfId="0" applyFont="1" applyBorder="1"/>
    <xf numFmtId="0" fontId="2" fillId="0" borderId="59" xfId="0" applyFont="1" applyBorder="1"/>
    <xf numFmtId="0" fontId="2" fillId="0" borderId="56" xfId="0" applyFont="1" applyBorder="1"/>
    <xf numFmtId="0" fontId="2" fillId="0" borderId="18" xfId="0" applyFont="1" applyBorder="1" applyAlignment="1">
      <alignment horizontal="center" vertical="center" shrinkToFit="1"/>
    </xf>
    <xf numFmtId="0" fontId="25" fillId="0" borderId="8" xfId="0" applyFont="1" applyBorder="1" applyAlignment="1">
      <alignment horizontal="center" vertical="center" shrinkToFit="1"/>
    </xf>
    <xf numFmtId="0" fontId="2" fillId="0" borderId="60" xfId="0" applyFont="1" applyBorder="1"/>
    <xf numFmtId="0" fontId="2" fillId="0" borderId="61" xfId="0" applyFont="1" applyBorder="1"/>
    <xf numFmtId="0" fontId="25" fillId="0" borderId="23" xfId="0" applyFont="1" applyBorder="1" applyAlignment="1">
      <alignment horizontal="center" vertical="center" shrinkToFit="1"/>
    </xf>
    <xf numFmtId="0" fontId="2" fillId="0" borderId="6" xfId="0" applyFont="1" applyBorder="1" applyAlignment="1">
      <alignment horizontal="center" vertical="center" shrinkToFit="1"/>
    </xf>
    <xf numFmtId="0" fontId="2" fillId="0" borderId="28" xfId="0" applyFont="1" applyBorder="1"/>
    <xf numFmtId="0" fontId="25" fillId="0" borderId="7" xfId="0" applyFont="1" applyBorder="1" applyAlignment="1">
      <alignment horizontal="center" vertical="center" shrinkToFit="1"/>
    </xf>
    <xf numFmtId="0" fontId="26" fillId="0" borderId="57" xfId="0" applyFont="1" applyBorder="1" applyAlignment="1">
      <alignment horizontal="center" shrinkToFit="1"/>
    </xf>
    <xf numFmtId="0" fontId="26" fillId="0" borderId="57" xfId="0" applyFont="1" applyBorder="1" applyAlignment="1">
      <alignment horizontal="center"/>
    </xf>
    <xf numFmtId="0" fontId="2" fillId="0" borderId="8" xfId="0" applyFont="1" applyBorder="1" applyAlignment="1">
      <alignment shrinkToFit="1"/>
    </xf>
    <xf numFmtId="0" fontId="2" fillId="0" borderId="18" xfId="0" applyFont="1" applyBorder="1" applyAlignment="1">
      <alignment shrinkToFit="1"/>
    </xf>
    <xf numFmtId="0" fontId="1" fillId="0" borderId="7" xfId="0" applyFont="1" applyBorder="1" applyAlignment="1">
      <alignment horizontal="center" vertical="center"/>
    </xf>
    <xf numFmtId="0" fontId="15" fillId="0" borderId="12" xfId="0" applyFont="1" applyBorder="1" applyAlignment="1">
      <alignment horizontal="center" vertical="center"/>
    </xf>
    <xf numFmtId="0" fontId="0" fillId="0" borderId="62" xfId="0" applyBorder="1" applyAlignment="1">
      <alignment horizontal="center" vertical="center"/>
    </xf>
    <xf numFmtId="0" fontId="24" fillId="0" borderId="63" xfId="0" applyFont="1" applyBorder="1" applyAlignment="1">
      <alignment horizontal="center"/>
    </xf>
    <xf numFmtId="0" fontId="24" fillId="0" borderId="63" xfId="0" applyFont="1" applyBorder="1" applyAlignment="1">
      <alignment horizontal="center" vertical="center"/>
    </xf>
    <xf numFmtId="0" fontId="25" fillId="0" borderId="64" xfId="0" applyFont="1" applyBorder="1" applyAlignment="1">
      <alignment horizontal="center" vertical="center" shrinkToFit="1"/>
    </xf>
    <xf numFmtId="0" fontId="24" fillId="0" borderId="64" xfId="0" applyFont="1" applyBorder="1" applyAlignment="1">
      <alignment horizontal="center"/>
    </xf>
    <xf numFmtId="0" fontId="2" fillId="0" borderId="65" xfId="0" applyFont="1" applyBorder="1"/>
    <xf numFmtId="4" fontId="0" fillId="0" borderId="0" xfId="0" applyNumberFormat="1" applyProtection="1">
      <protection locked="0"/>
    </xf>
    <xf numFmtId="0" fontId="26" fillId="0" borderId="6" xfId="0" applyFont="1" applyBorder="1" applyAlignment="1" applyProtection="1">
      <alignment horizontal="center"/>
      <protection locked="0"/>
    </xf>
    <xf numFmtId="0" fontId="2" fillId="0" borderId="6" xfId="0" applyFont="1" applyBorder="1" applyProtection="1">
      <protection locked="0"/>
    </xf>
    <xf numFmtId="0" fontId="26" fillId="0" borderId="64" xfId="0" applyFont="1" applyBorder="1" applyAlignment="1" applyProtection="1">
      <alignment horizontal="center"/>
      <protection locked="0"/>
    </xf>
    <xf numFmtId="0" fontId="2" fillId="0" borderId="7" xfId="0" applyFont="1" applyBorder="1" applyProtection="1">
      <protection locked="0"/>
    </xf>
    <xf numFmtId="0" fontId="2" fillId="0" borderId="8" xfId="0" applyFont="1" applyBorder="1" applyProtection="1">
      <protection locked="0"/>
    </xf>
    <xf numFmtId="0" fontId="26" fillId="0" borderId="12" xfId="0" applyFont="1" applyBorder="1" applyAlignment="1" applyProtection="1">
      <alignment horizontal="center"/>
      <protection locked="0"/>
    </xf>
    <xf numFmtId="0" fontId="26" fillId="0" borderId="23" xfId="0" applyFont="1" applyBorder="1" applyAlignment="1" applyProtection="1">
      <alignment horizontal="center"/>
      <protection locked="0"/>
    </xf>
    <xf numFmtId="0" fontId="2" fillId="0" borderId="65" xfId="0" applyFont="1" applyBorder="1" applyProtection="1">
      <protection locked="0"/>
    </xf>
    <xf numFmtId="0" fontId="2" fillId="0" borderId="16" xfId="0" applyFont="1" applyBorder="1" applyProtection="1">
      <protection locked="0"/>
    </xf>
    <xf numFmtId="0" fontId="0" fillId="0" borderId="7" xfId="0" applyBorder="1" applyProtection="1">
      <protection locked="0"/>
    </xf>
    <xf numFmtId="0" fontId="0" fillId="0" borderId="6" xfId="0" applyBorder="1" applyProtection="1">
      <protection locked="0"/>
    </xf>
    <xf numFmtId="0" fontId="0" fillId="0" borderId="8" xfId="0" applyBorder="1" applyProtection="1">
      <protection locked="0"/>
    </xf>
    <xf numFmtId="0" fontId="0" fillId="0" borderId="8" xfId="0" applyBorder="1" applyAlignment="1" applyProtection="1">
      <alignment horizontal="center" shrinkToFit="1"/>
      <protection locked="0"/>
    </xf>
    <xf numFmtId="0" fontId="25" fillId="0" borderId="8" xfId="0" applyFont="1" applyBorder="1" applyAlignment="1" applyProtection="1">
      <alignment horizontal="center" shrinkToFit="1"/>
      <protection locked="0"/>
    </xf>
    <xf numFmtId="0" fontId="8" fillId="11" borderId="66" xfId="0" applyFont="1" applyFill="1" applyBorder="1" applyAlignment="1">
      <alignment horizontal="center" vertical="center" shrinkToFit="1"/>
    </xf>
    <xf numFmtId="0" fontId="8" fillId="11" borderId="67" xfId="0" applyFont="1" applyFill="1" applyBorder="1" applyAlignment="1">
      <alignment horizontal="center" vertical="center" shrinkToFit="1"/>
    </xf>
    <xf numFmtId="0" fontId="5" fillId="11" borderId="38" xfId="0" applyFont="1" applyFill="1" applyBorder="1" applyAlignment="1">
      <alignment horizontal="center"/>
    </xf>
    <xf numFmtId="0" fontId="0" fillId="0" borderId="19" xfId="0" applyBorder="1"/>
    <xf numFmtId="0" fontId="26" fillId="0" borderId="23" xfId="0" applyFont="1" applyBorder="1" applyAlignment="1">
      <alignment horizontal="center"/>
    </xf>
    <xf numFmtId="0" fontId="0" fillId="0" borderId="17" xfId="0" applyBorder="1" applyAlignment="1">
      <alignment shrinkToFit="1"/>
    </xf>
    <xf numFmtId="0" fontId="4" fillId="0" borderId="7" xfId="0" applyFont="1" applyBorder="1"/>
    <xf numFmtId="0" fontId="0" fillId="0" borderId="16" xfId="0" applyBorder="1" applyAlignment="1">
      <alignment horizontal="center" shrinkToFit="1"/>
    </xf>
    <xf numFmtId="0" fontId="0" fillId="0" borderId="60" xfId="0" applyBorder="1"/>
    <xf numFmtId="0" fontId="0" fillId="0" borderId="9" xfId="0" applyBorder="1" applyAlignment="1">
      <alignment shrinkToFit="1"/>
    </xf>
    <xf numFmtId="0" fontId="0" fillId="0" borderId="68" xfId="0" applyBorder="1"/>
    <xf numFmtId="0" fontId="31" fillId="0" borderId="69" xfId="0" applyFont="1" applyBorder="1" applyAlignment="1">
      <alignment horizontal="center"/>
    </xf>
    <xf numFmtId="0" fontId="2" fillId="0" borderId="16" xfId="0" applyFont="1" applyBorder="1" applyAlignment="1">
      <alignment horizontal="center" vertical="center" shrinkToFit="1"/>
    </xf>
    <xf numFmtId="0" fontId="25" fillId="0" borderId="16" xfId="0" applyFont="1" applyBorder="1" applyAlignment="1">
      <alignment horizontal="center" vertical="center" shrinkToFit="1"/>
    </xf>
    <xf numFmtId="0" fontId="26" fillId="0" borderId="64" xfId="0" applyFont="1" applyBorder="1" applyAlignment="1">
      <alignment horizontal="center"/>
    </xf>
    <xf numFmtId="0" fontId="2" fillId="0" borderId="65" xfId="0" applyFont="1" applyBorder="1" applyAlignment="1">
      <alignment horizontal="center" vertical="center" shrinkToFit="1"/>
    </xf>
    <xf numFmtId="0" fontId="25" fillId="0" borderId="65" xfId="0" applyFont="1" applyBorder="1" applyAlignment="1">
      <alignment horizontal="center" vertical="center" shrinkToFit="1"/>
    </xf>
    <xf numFmtId="0" fontId="2" fillId="0" borderId="70" xfId="0" applyFont="1" applyBorder="1"/>
    <xf numFmtId="0" fontId="0" fillId="7" borderId="71" xfId="0" applyFill="1" applyBorder="1" applyAlignment="1">
      <alignment horizontal="center" vertical="center" wrapText="1"/>
    </xf>
    <xf numFmtId="0" fontId="0" fillId="7" borderId="33" xfId="0" applyFill="1" applyBorder="1" applyAlignment="1">
      <alignment horizontal="center" vertical="center" wrapText="1"/>
    </xf>
    <xf numFmtId="0" fontId="0" fillId="7" borderId="72" xfId="0" applyFill="1" applyBorder="1" applyAlignment="1">
      <alignment horizontal="center" vertical="center"/>
    </xf>
    <xf numFmtId="0" fontId="0" fillId="0" borderId="0" xfId="0" applyAlignment="1">
      <alignment horizontal="right" vertical="center"/>
    </xf>
    <xf numFmtId="0" fontId="15" fillId="8" borderId="21" xfId="0" applyFont="1" applyFill="1" applyBorder="1" applyAlignment="1">
      <alignment horizontal="center" vertical="center"/>
    </xf>
    <xf numFmtId="0" fontId="0" fillId="0" borderId="0" xfId="0" applyAlignment="1">
      <alignment horizontal="left" vertical="center"/>
    </xf>
    <xf numFmtId="0" fontId="3" fillId="8" borderId="1" xfId="0" applyFont="1" applyFill="1" applyBorder="1" applyAlignment="1">
      <alignment horizontal="right" vertical="center"/>
    </xf>
    <xf numFmtId="0" fontId="3" fillId="8" borderId="32" xfId="0" applyFont="1" applyFill="1" applyBorder="1" applyAlignment="1">
      <alignment horizontal="left" vertical="center"/>
    </xf>
    <xf numFmtId="0" fontId="0" fillId="7" borderId="72" xfId="0" applyFill="1" applyBorder="1" applyAlignment="1">
      <alignment horizontal="center" vertical="center" wrapText="1"/>
    </xf>
    <xf numFmtId="164" fontId="0" fillId="3" borderId="0" xfId="0" applyNumberFormat="1" applyFill="1" applyAlignment="1">
      <alignment vertical="center"/>
    </xf>
    <xf numFmtId="0" fontId="0" fillId="7" borderId="2" xfId="0" applyFill="1" applyBorder="1" applyAlignment="1">
      <alignment horizontal="center" vertical="center" wrapText="1"/>
    </xf>
    <xf numFmtId="0" fontId="0" fillId="7" borderId="73" xfId="0" applyFill="1" applyBorder="1" applyAlignment="1">
      <alignment horizontal="center" vertical="center" wrapText="1"/>
    </xf>
    <xf numFmtId="0" fontId="0" fillId="4" borderId="74" xfId="0" applyFill="1" applyBorder="1" applyAlignment="1">
      <alignment horizontal="center"/>
    </xf>
    <xf numFmtId="0" fontId="3" fillId="11" borderId="38" xfId="0" applyFont="1" applyFill="1" applyBorder="1" applyAlignment="1">
      <alignment horizontal="center" vertical="center"/>
    </xf>
    <xf numFmtId="164" fontId="3" fillId="8" borderId="38" xfId="0" applyNumberFormat="1" applyFont="1" applyFill="1" applyBorder="1" applyAlignment="1">
      <alignment horizontal="center" vertical="center"/>
    </xf>
    <xf numFmtId="0" fontId="42" fillId="0" borderId="0" xfId="0" applyFont="1" applyAlignment="1">
      <alignment horizontal="center"/>
    </xf>
    <xf numFmtId="0" fontId="12" fillId="6" borderId="33" xfId="0" applyFont="1" applyFill="1" applyBorder="1" applyAlignment="1">
      <alignment horizontal="center" vertical="center"/>
    </xf>
    <xf numFmtId="0" fontId="12" fillId="6" borderId="71" xfId="0" applyFont="1" applyFill="1" applyBorder="1" applyAlignment="1">
      <alignment horizontal="center" vertical="center"/>
    </xf>
    <xf numFmtId="0" fontId="18" fillId="6" borderId="33" xfId="0" applyFont="1" applyFill="1" applyBorder="1" applyAlignment="1">
      <alignment horizontal="center" vertical="center" wrapText="1"/>
    </xf>
    <xf numFmtId="0" fontId="9" fillId="7" borderId="1" xfId="0" applyFont="1" applyFill="1" applyBorder="1" applyAlignment="1">
      <alignment horizontal="center" textRotation="90"/>
    </xf>
    <xf numFmtId="0" fontId="42" fillId="0" borderId="0" xfId="0" applyFont="1" applyAlignment="1">
      <alignment horizontal="center" vertical="center"/>
    </xf>
    <xf numFmtId="0" fontId="44" fillId="7" borderId="1" xfId="0" applyFont="1" applyFill="1" applyBorder="1" applyAlignment="1">
      <alignment horizontal="center" textRotation="90"/>
    </xf>
    <xf numFmtId="0" fontId="42" fillId="0" borderId="0" xfId="0" applyFont="1"/>
    <xf numFmtId="0" fontId="24" fillId="0" borderId="75" xfId="0" applyFont="1" applyBorder="1" applyAlignment="1">
      <alignment horizontal="center"/>
    </xf>
    <xf numFmtId="0" fontId="3" fillId="5" borderId="38" xfId="0" applyFont="1" applyFill="1" applyBorder="1" applyAlignment="1">
      <alignment horizontal="center"/>
    </xf>
    <xf numFmtId="0" fontId="28" fillId="6" borderId="31" xfId="0" applyFont="1" applyFill="1" applyBorder="1" applyAlignment="1" applyProtection="1">
      <alignment horizontal="center" shrinkToFit="1"/>
      <protection locked="0"/>
    </xf>
    <xf numFmtId="0" fontId="28" fillId="6" borderId="37" xfId="0" applyFont="1" applyFill="1" applyBorder="1" applyAlignment="1" applyProtection="1">
      <alignment horizontal="center" shrinkToFit="1"/>
      <protection locked="0"/>
    </xf>
    <xf numFmtId="0" fontId="0" fillId="0" borderId="6" xfId="0" applyBorder="1" applyAlignment="1">
      <alignment horizontal="center" shrinkToFit="1"/>
    </xf>
    <xf numFmtId="0" fontId="15" fillId="3" borderId="76" xfId="0" applyFont="1" applyFill="1" applyBorder="1" applyAlignment="1">
      <alignment horizontal="center"/>
    </xf>
    <xf numFmtId="0" fontId="0" fillId="6" borderId="0" xfId="0" applyFill="1" applyProtection="1">
      <protection locked="0"/>
    </xf>
    <xf numFmtId="0" fontId="22" fillId="0" borderId="26" xfId="0" applyFont="1" applyBorder="1"/>
    <xf numFmtId="0" fontId="45" fillId="0" borderId="6" xfId="0" applyFont="1" applyBorder="1" applyAlignment="1">
      <alignment horizontal="center"/>
    </xf>
    <xf numFmtId="0" fontId="0" fillId="0" borderId="3" xfId="0" applyBorder="1" applyProtection="1">
      <protection locked="0"/>
    </xf>
    <xf numFmtId="14" fontId="23" fillId="7" borderId="29" xfId="0" applyNumberFormat="1" applyFont="1" applyFill="1" applyBorder="1" applyAlignment="1">
      <alignment horizontal="center" vertical="center"/>
    </xf>
    <xf numFmtId="0" fontId="9" fillId="0" borderId="0" xfId="0" applyFont="1" applyAlignment="1">
      <alignment horizontal="center"/>
    </xf>
    <xf numFmtId="0" fontId="46" fillId="4" borderId="0" xfId="0" applyFont="1" applyFill="1"/>
    <xf numFmtId="0" fontId="47" fillId="4" borderId="0" xfId="0" applyFont="1" applyFill="1"/>
    <xf numFmtId="0" fontId="48" fillId="7" borderId="0" xfId="0" applyFont="1" applyFill="1"/>
    <xf numFmtId="0" fontId="9" fillId="7" borderId="0" xfId="0" applyFont="1" applyFill="1"/>
    <xf numFmtId="0" fontId="9" fillId="0" borderId="0" xfId="0" applyFont="1"/>
    <xf numFmtId="0" fontId="46" fillId="0" borderId="0" xfId="0" applyFont="1"/>
    <xf numFmtId="0" fontId="10" fillId="0" borderId="0" xfId="0" applyFont="1"/>
    <xf numFmtId="0" fontId="48" fillId="0" borderId="0" xfId="0" applyFont="1"/>
    <xf numFmtId="0" fontId="27" fillId="0" borderId="0" xfId="0" applyFont="1"/>
    <xf numFmtId="0" fontId="53" fillId="2" borderId="77" xfId="0" applyFont="1" applyFill="1" applyBorder="1" applyAlignment="1" applyProtection="1">
      <alignment horizontal="center" vertical="center"/>
      <protection locked="0"/>
    </xf>
    <xf numFmtId="0" fontId="26" fillId="0" borderId="78" xfId="0" applyFont="1" applyBorder="1" applyAlignment="1">
      <alignment horizontal="center" vertical="center" wrapText="1"/>
    </xf>
    <xf numFmtId="0" fontId="53" fillId="2" borderId="79" xfId="0" applyFont="1" applyFill="1" applyBorder="1" applyAlignment="1" applyProtection="1">
      <alignment horizontal="center" vertical="center"/>
      <protection locked="0"/>
    </xf>
    <xf numFmtId="0" fontId="10" fillId="0" borderId="80" xfId="0" applyFont="1" applyBorder="1" applyAlignment="1">
      <alignment horizontal="center" vertical="center"/>
    </xf>
    <xf numFmtId="0" fontId="10" fillId="0" borderId="3" xfId="0" applyFont="1" applyBorder="1" applyAlignment="1">
      <alignment horizontal="left" vertical="center" indent="1"/>
    </xf>
    <xf numFmtId="0" fontId="16" fillId="7" borderId="81" xfId="0" applyFont="1" applyFill="1" applyBorder="1" applyAlignment="1">
      <alignment horizontal="center" vertical="center"/>
    </xf>
    <xf numFmtId="0" fontId="0" fillId="0" borderId="0" xfId="0" applyAlignment="1">
      <alignment horizontal="center" vertical="center"/>
    </xf>
    <xf numFmtId="0" fontId="26" fillId="0" borderId="71" xfId="0" applyFont="1" applyBorder="1" applyAlignment="1">
      <alignment horizontal="center" vertical="center" wrapText="1"/>
    </xf>
    <xf numFmtId="0" fontId="26" fillId="0" borderId="33" xfId="0" applyFont="1" applyBorder="1" applyAlignment="1">
      <alignment horizontal="center" vertical="center" wrapText="1"/>
    </xf>
    <xf numFmtId="0" fontId="10" fillId="0" borderId="31" xfId="0" applyFont="1" applyBorder="1" applyAlignment="1">
      <alignment horizontal="center" vertical="center"/>
    </xf>
    <xf numFmtId="0" fontId="10" fillId="0" borderId="3" xfId="0" applyFont="1" applyBorder="1" applyAlignment="1">
      <alignment horizontal="center" vertical="center"/>
    </xf>
    <xf numFmtId="0" fontId="0" fillId="5" borderId="0" xfId="0" applyFill="1" applyAlignment="1">
      <alignment horizontal="center" vertical="center"/>
    </xf>
    <xf numFmtId="0" fontId="59" fillId="0" borderId="0" xfId="0" applyFont="1" applyAlignment="1">
      <alignment horizontal="center" vertical="center"/>
    </xf>
    <xf numFmtId="0" fontId="0" fillId="0" borderId="0" xfId="0" applyAlignment="1">
      <alignment wrapText="1"/>
    </xf>
    <xf numFmtId="0" fontId="63" fillId="0" borderId="0" xfId="0" applyFont="1"/>
    <xf numFmtId="0" fontId="0" fillId="0" borderId="0" xfId="0" applyAlignment="1">
      <alignment horizontal="center" vertical="center" textRotation="90"/>
    </xf>
    <xf numFmtId="0" fontId="64" fillId="13" borderId="0" xfId="0" applyFont="1" applyFill="1" applyAlignment="1">
      <alignment wrapText="1"/>
    </xf>
    <xf numFmtId="0" fontId="65" fillId="13" borderId="0" xfId="0" applyFont="1" applyFill="1" applyAlignment="1">
      <alignment wrapText="1"/>
    </xf>
    <xf numFmtId="0" fontId="0" fillId="3" borderId="0" xfId="0" applyFill="1" applyAlignment="1">
      <alignment wrapText="1"/>
    </xf>
    <xf numFmtId="0" fontId="17" fillId="3" borderId="0" xfId="1" applyFill="1" applyAlignment="1" applyProtection="1">
      <alignment wrapText="1"/>
    </xf>
    <xf numFmtId="0" fontId="46" fillId="5" borderId="0" xfId="0" applyFont="1" applyFill="1"/>
    <xf numFmtId="0" fontId="0" fillId="14" borderId="0" xfId="0" applyFill="1"/>
    <xf numFmtId="1" fontId="0" fillId="4" borderId="3" xfId="0" applyNumberFormat="1" applyFill="1" applyBorder="1"/>
    <xf numFmtId="0" fontId="0" fillId="4" borderId="3" xfId="0" applyFill="1" applyBorder="1"/>
    <xf numFmtId="0" fontId="67" fillId="0" borderId="23" xfId="0" applyFont="1" applyBorder="1" applyAlignment="1">
      <alignment horizontal="right"/>
    </xf>
    <xf numFmtId="0" fontId="22" fillId="4" borderId="38" xfId="0" applyFont="1" applyFill="1" applyBorder="1" applyAlignment="1" applyProtection="1">
      <alignment horizontal="center"/>
      <protection locked="0"/>
    </xf>
    <xf numFmtId="0" fontId="4" fillId="6" borderId="0" xfId="0" applyFont="1" applyFill="1" applyAlignment="1">
      <alignment wrapText="1"/>
    </xf>
    <xf numFmtId="0" fontId="4" fillId="0" borderId="0" xfId="0" applyFont="1" applyProtection="1">
      <protection locked="0"/>
    </xf>
    <xf numFmtId="0" fontId="9" fillId="5" borderId="0" xfId="0" applyFont="1" applyFill="1"/>
    <xf numFmtId="0" fontId="68" fillId="0" borderId="0" xfId="0" applyFont="1" applyProtection="1">
      <protection locked="0"/>
    </xf>
    <xf numFmtId="0" fontId="0" fillId="3" borderId="0" xfId="0" applyFill="1" applyProtection="1">
      <protection hidden="1"/>
    </xf>
    <xf numFmtId="0" fontId="29" fillId="0" borderId="0" xfId="0" applyFont="1" applyAlignment="1" applyProtection="1">
      <alignment horizontal="center" vertical="center"/>
      <protection hidden="1"/>
    </xf>
    <xf numFmtId="0" fontId="11" fillId="4" borderId="1" xfId="0" applyFont="1" applyFill="1" applyBorder="1" applyProtection="1">
      <protection hidden="1"/>
    </xf>
    <xf numFmtId="0" fontId="0" fillId="4" borderId="2" xfId="0" applyFill="1" applyBorder="1" applyProtection="1">
      <protection hidden="1"/>
    </xf>
    <xf numFmtId="0" fontId="11" fillId="4" borderId="2" xfId="0" applyFont="1" applyFill="1" applyBorder="1" applyProtection="1">
      <protection hidden="1"/>
    </xf>
    <xf numFmtId="0" fontId="0" fillId="3" borderId="0" xfId="0" applyFill="1" applyAlignment="1" applyProtection="1">
      <alignment horizontal="right" vertical="center"/>
      <protection hidden="1"/>
    </xf>
    <xf numFmtId="164" fontId="27" fillId="3" borderId="0" xfId="0" applyNumberFormat="1" applyFont="1" applyFill="1" applyAlignment="1" applyProtection="1">
      <alignment vertical="center"/>
      <protection hidden="1"/>
    </xf>
    <xf numFmtId="0" fontId="0" fillId="3" borderId="0" xfId="0" applyFill="1" applyAlignment="1" applyProtection="1">
      <alignment vertical="center"/>
      <protection hidden="1"/>
    </xf>
    <xf numFmtId="0" fontId="48" fillId="3" borderId="0" xfId="0" applyFont="1" applyFill="1" applyAlignment="1" applyProtection="1">
      <alignment horizontal="right" vertical="center"/>
      <protection hidden="1"/>
    </xf>
    <xf numFmtId="164" fontId="0" fillId="3" borderId="0" xfId="0" applyNumberFormat="1" applyFill="1" applyAlignment="1" applyProtection="1">
      <alignment horizontal="left" vertical="center"/>
      <protection hidden="1"/>
    </xf>
    <xf numFmtId="0" fontId="42" fillId="3" borderId="0" xfId="0" applyFont="1" applyFill="1" applyAlignment="1" applyProtection="1">
      <alignment horizontal="center" wrapText="1"/>
      <protection hidden="1"/>
    </xf>
    <xf numFmtId="0" fontId="0" fillId="3" borderId="0" xfId="0" applyFill="1" applyAlignment="1" applyProtection="1">
      <alignment horizontal="center" vertical="center"/>
      <protection hidden="1"/>
    </xf>
    <xf numFmtId="0" fontId="42" fillId="3" borderId="0" xfId="0" applyFont="1" applyFill="1" applyAlignment="1" applyProtection="1">
      <alignment horizontal="right" wrapText="1"/>
      <protection hidden="1"/>
    </xf>
    <xf numFmtId="0" fontId="5" fillId="15" borderId="3" xfId="0" applyFont="1" applyFill="1" applyBorder="1" applyAlignment="1" applyProtection="1">
      <alignment horizontal="center" vertical="center"/>
      <protection hidden="1"/>
    </xf>
    <xf numFmtId="0" fontId="0" fillId="3" borderId="0" xfId="0" applyFill="1" applyAlignment="1" applyProtection="1">
      <alignment horizontal="right"/>
      <protection hidden="1"/>
    </xf>
    <xf numFmtId="0" fontId="0" fillId="0" borderId="3" xfId="0" applyBorder="1" applyAlignment="1" applyProtection="1">
      <alignment horizontal="center"/>
      <protection hidden="1"/>
    </xf>
    <xf numFmtId="0" fontId="0" fillId="0" borderId="0" xfId="0" applyAlignment="1" applyProtection="1">
      <alignment horizontal="center"/>
      <protection hidden="1"/>
    </xf>
    <xf numFmtId="0" fontId="0" fillId="0" borderId="0" xfId="0" applyProtection="1">
      <protection hidden="1"/>
    </xf>
    <xf numFmtId="0" fontId="15" fillId="3" borderId="0" xfId="0" applyFont="1" applyFill="1" applyAlignment="1" applyProtection="1">
      <alignment horizontal="center"/>
      <protection hidden="1"/>
    </xf>
    <xf numFmtId="1" fontId="12" fillId="4" borderId="80" xfId="0" applyNumberFormat="1" applyFont="1" applyFill="1" applyBorder="1" applyAlignment="1" applyProtection="1">
      <alignment horizontal="left"/>
      <protection hidden="1"/>
    </xf>
    <xf numFmtId="14" fontId="12" fillId="4" borderId="82" xfId="0" applyNumberFormat="1" applyFont="1" applyFill="1" applyBorder="1" applyAlignment="1" applyProtection="1">
      <alignment horizontal="center"/>
      <protection hidden="1"/>
    </xf>
    <xf numFmtId="0" fontId="16" fillId="2" borderId="31" xfId="0" applyFont="1" applyFill="1" applyBorder="1" applyAlignment="1" applyProtection="1">
      <alignment horizontal="left"/>
      <protection locked="0" hidden="1"/>
    </xf>
    <xf numFmtId="0" fontId="16" fillId="2" borderId="31" xfId="0" applyFont="1" applyFill="1" applyBorder="1" applyAlignment="1" applyProtection="1">
      <alignment horizontal="center"/>
      <protection locked="0" hidden="1"/>
    </xf>
    <xf numFmtId="0" fontId="56" fillId="2" borderId="38" xfId="0" applyFont="1" applyFill="1" applyBorder="1" applyAlignment="1" applyProtection="1">
      <alignment horizontal="center" vertical="center"/>
      <protection locked="0" hidden="1"/>
    </xf>
    <xf numFmtId="0" fontId="12" fillId="4" borderId="80" xfId="0" applyFont="1" applyFill="1" applyBorder="1" applyAlignment="1" applyProtection="1">
      <alignment horizontal="left"/>
      <protection hidden="1"/>
    </xf>
    <xf numFmtId="14" fontId="16" fillId="7" borderId="3" xfId="0" applyNumberFormat="1" applyFont="1" applyFill="1" applyBorder="1" applyAlignment="1" applyProtection="1">
      <alignment horizontal="left"/>
      <protection hidden="1"/>
    </xf>
    <xf numFmtId="0" fontId="12" fillId="4" borderId="81" xfId="0" applyFont="1" applyFill="1" applyBorder="1" applyAlignment="1" applyProtection="1">
      <alignment horizontal="left" vertical="center"/>
      <protection hidden="1"/>
    </xf>
    <xf numFmtId="14" fontId="12" fillId="4" borderId="83" xfId="0" applyNumberFormat="1" applyFont="1" applyFill="1" applyBorder="1" applyAlignment="1" applyProtection="1">
      <alignment horizontal="center" vertical="center"/>
      <protection hidden="1"/>
    </xf>
    <xf numFmtId="0" fontId="16" fillId="7" borderId="81" xfId="0" applyFont="1" applyFill="1" applyBorder="1" applyAlignment="1" applyProtection="1">
      <alignment vertical="center"/>
      <protection hidden="1"/>
    </xf>
    <xf numFmtId="0" fontId="0" fillId="7" borderId="84" xfId="0" applyFill="1" applyBorder="1" applyAlignment="1" applyProtection="1">
      <alignment vertical="center"/>
      <protection hidden="1"/>
    </xf>
    <xf numFmtId="0" fontId="0" fillId="7" borderId="82" xfId="0" applyFill="1" applyBorder="1" applyAlignment="1" applyProtection="1">
      <alignment vertical="center"/>
      <protection hidden="1"/>
    </xf>
    <xf numFmtId="0" fontId="9" fillId="3" borderId="0" xfId="0" applyFont="1" applyFill="1" applyAlignment="1" applyProtection="1">
      <alignment horizontal="center"/>
      <protection hidden="1"/>
    </xf>
    <xf numFmtId="0" fontId="56" fillId="2" borderId="3" xfId="0" applyFont="1" applyFill="1" applyBorder="1" applyAlignment="1" applyProtection="1">
      <alignment horizontal="center" vertical="center"/>
      <protection locked="0" hidden="1"/>
    </xf>
    <xf numFmtId="0" fontId="0" fillId="3" borderId="0" xfId="0" applyFill="1" applyAlignment="1" applyProtection="1">
      <alignment horizontal="center" wrapText="1"/>
      <protection hidden="1"/>
    </xf>
    <xf numFmtId="4" fontId="12" fillId="4" borderId="82" xfId="0" applyNumberFormat="1" applyFont="1" applyFill="1" applyBorder="1" applyAlignment="1" applyProtection="1">
      <alignment horizontal="center"/>
      <protection hidden="1"/>
    </xf>
    <xf numFmtId="0" fontId="16" fillId="7" borderId="80" xfId="0" applyFont="1" applyFill="1" applyBorder="1" applyProtection="1">
      <protection hidden="1"/>
    </xf>
    <xf numFmtId="0" fontId="0" fillId="7" borderId="84" xfId="0" applyFill="1" applyBorder="1" applyProtection="1">
      <protection hidden="1"/>
    </xf>
    <xf numFmtId="0" fontId="0" fillId="7" borderId="85" xfId="0" applyFill="1" applyBorder="1" applyAlignment="1" applyProtection="1">
      <alignment vertical="center"/>
      <protection hidden="1"/>
    </xf>
    <xf numFmtId="165" fontId="0" fillId="3" borderId="0" xfId="0" applyNumberFormat="1" applyFill="1" applyAlignment="1" applyProtection="1">
      <alignment vertical="center"/>
      <protection hidden="1"/>
    </xf>
    <xf numFmtId="0" fontId="66" fillId="3" borderId="0" xfId="0" applyFont="1" applyFill="1" applyAlignment="1" applyProtection="1">
      <alignment horizontal="right" vertical="center"/>
      <protection hidden="1"/>
    </xf>
    <xf numFmtId="0" fontId="56" fillId="2" borderId="38" xfId="0" applyFont="1" applyFill="1" applyBorder="1" applyAlignment="1" applyProtection="1">
      <alignment horizontal="center" vertical="center"/>
      <protection hidden="1"/>
    </xf>
    <xf numFmtId="0" fontId="41" fillId="3" borderId="0" xfId="0" applyFont="1" applyFill="1" applyProtection="1">
      <protection hidden="1"/>
    </xf>
    <xf numFmtId="0" fontId="16" fillId="7" borderId="3" xfId="0" applyFont="1" applyFill="1" applyBorder="1" applyAlignment="1" applyProtection="1">
      <alignment horizontal="center"/>
      <protection hidden="1"/>
    </xf>
    <xf numFmtId="0" fontId="49" fillId="3" borderId="0" xfId="0" applyFont="1" applyFill="1" applyAlignment="1" applyProtection="1">
      <alignment horizontal="right"/>
      <protection hidden="1"/>
    </xf>
    <xf numFmtId="0" fontId="54" fillId="7" borderId="86" xfId="0" applyFont="1" applyFill="1" applyBorder="1" applyAlignment="1" applyProtection="1">
      <alignment horizontal="left"/>
      <protection hidden="1"/>
    </xf>
    <xf numFmtId="0" fontId="16" fillId="7" borderId="82" xfId="0" applyFont="1" applyFill="1" applyBorder="1" applyAlignment="1" applyProtection="1">
      <alignment horizontal="center"/>
      <protection hidden="1"/>
    </xf>
    <xf numFmtId="0" fontId="0" fillId="2" borderId="38" xfId="0" applyFill="1" applyBorder="1" applyAlignment="1" applyProtection="1">
      <alignment horizontal="center" vertical="center"/>
      <protection locked="0" hidden="1"/>
    </xf>
    <xf numFmtId="0" fontId="16" fillId="7" borderId="87" xfId="0" applyFont="1" applyFill="1" applyBorder="1" applyAlignment="1" applyProtection="1">
      <alignment horizontal="center"/>
      <protection hidden="1"/>
    </xf>
    <xf numFmtId="0" fontId="0" fillId="0" borderId="40" xfId="0" applyBorder="1" applyAlignment="1" applyProtection="1">
      <alignment horizontal="center"/>
      <protection hidden="1"/>
    </xf>
    <xf numFmtId="4" fontId="49" fillId="3" borderId="0" xfId="0" applyNumberFormat="1" applyFont="1" applyFill="1" applyAlignment="1" applyProtection="1">
      <alignment horizontal="right"/>
      <protection hidden="1"/>
    </xf>
    <xf numFmtId="0" fontId="0" fillId="0" borderId="75" xfId="0" applyBorder="1" applyAlignment="1" applyProtection="1">
      <alignment horizontal="right" vertical="center"/>
      <protection hidden="1"/>
    </xf>
    <xf numFmtId="0" fontId="0" fillId="0" borderId="88" xfId="0" applyBorder="1" applyAlignment="1" applyProtection="1">
      <alignment horizontal="center"/>
      <protection hidden="1"/>
    </xf>
    <xf numFmtId="0" fontId="0" fillId="0" borderId="89" xfId="0" applyBorder="1" applyAlignment="1" applyProtection="1">
      <alignment horizontal="center"/>
      <protection hidden="1"/>
    </xf>
    <xf numFmtId="0" fontId="0" fillId="0" borderId="90" xfId="0" applyBorder="1" applyAlignment="1" applyProtection="1">
      <alignment horizontal="center"/>
      <protection hidden="1"/>
    </xf>
    <xf numFmtId="0" fontId="60" fillId="3" borderId="0" xfId="0" applyFont="1" applyFill="1" applyAlignment="1" applyProtection="1">
      <alignment horizontal="center"/>
      <protection hidden="1"/>
    </xf>
    <xf numFmtId="0" fontId="0" fillId="9" borderId="3" xfId="0" applyFill="1" applyBorder="1" applyAlignment="1" applyProtection="1">
      <alignment horizontal="center"/>
      <protection hidden="1"/>
    </xf>
    <xf numFmtId="4" fontId="0" fillId="3" borderId="0" xfId="0" applyNumberFormat="1" applyFill="1" applyProtection="1">
      <protection hidden="1"/>
    </xf>
    <xf numFmtId="0" fontId="0" fillId="3" borderId="0" xfId="0" applyFill="1" applyAlignment="1" applyProtection="1">
      <alignment horizontal="center"/>
      <protection hidden="1"/>
    </xf>
    <xf numFmtId="0" fontId="0" fillId="12" borderId="3" xfId="0" applyFill="1" applyBorder="1" applyAlignment="1" applyProtection="1">
      <alignment horizontal="center"/>
      <protection hidden="1"/>
    </xf>
    <xf numFmtId="0" fontId="0" fillId="16" borderId="3" xfId="0" applyFill="1" applyBorder="1" applyAlignment="1" applyProtection="1">
      <alignment horizontal="center"/>
      <protection hidden="1"/>
    </xf>
    <xf numFmtId="0" fontId="18" fillId="13" borderId="4" xfId="0" applyFont="1" applyFill="1" applyBorder="1" applyAlignment="1" applyProtection="1">
      <alignment horizontal="center" vertical="center"/>
      <protection hidden="1"/>
    </xf>
    <xf numFmtId="0" fontId="18" fillId="13" borderId="44" xfId="0" applyFont="1" applyFill="1" applyBorder="1" applyAlignment="1" applyProtection="1">
      <alignment horizontal="center" vertical="center" wrapText="1"/>
      <protection hidden="1"/>
    </xf>
    <xf numFmtId="0" fontId="18" fillId="9" borderId="40" xfId="0" applyFont="1" applyFill="1" applyBorder="1" applyAlignment="1" applyProtection="1">
      <alignment horizontal="center" vertical="center" wrapText="1"/>
      <protection hidden="1"/>
    </xf>
    <xf numFmtId="4" fontId="18" fillId="9" borderId="4" xfId="0" applyNumberFormat="1" applyFont="1" applyFill="1" applyBorder="1" applyAlignment="1" applyProtection="1">
      <alignment horizontal="center" vertical="center"/>
      <protection hidden="1"/>
    </xf>
    <xf numFmtId="0" fontId="18" fillId="9" borderId="5" xfId="0" applyFont="1" applyFill="1" applyBorder="1" applyAlignment="1" applyProtection="1">
      <alignment horizontal="center" vertical="center"/>
      <protection hidden="1"/>
    </xf>
    <xf numFmtId="0" fontId="18" fillId="9" borderId="91" xfId="0" applyFont="1" applyFill="1" applyBorder="1" applyAlignment="1" applyProtection="1">
      <alignment horizontal="center" vertical="center"/>
      <protection hidden="1"/>
    </xf>
    <xf numFmtId="0" fontId="18" fillId="12" borderId="40" xfId="0" applyFont="1" applyFill="1" applyBorder="1" applyAlignment="1" applyProtection="1">
      <alignment horizontal="center" vertical="center"/>
      <protection hidden="1"/>
    </xf>
    <xf numFmtId="0" fontId="18" fillId="12" borderId="5" xfId="0" applyFont="1" applyFill="1" applyBorder="1" applyAlignment="1" applyProtection="1">
      <alignment horizontal="center" vertical="center"/>
      <protection hidden="1"/>
    </xf>
    <xf numFmtId="0" fontId="18" fillId="12" borderId="91" xfId="0" applyFont="1" applyFill="1" applyBorder="1" applyAlignment="1" applyProtection="1">
      <alignment horizontal="center" vertical="center"/>
      <protection hidden="1"/>
    </xf>
    <xf numFmtId="0" fontId="18" fillId="16" borderId="40" xfId="0" applyFont="1" applyFill="1" applyBorder="1" applyAlignment="1" applyProtection="1">
      <alignment horizontal="center" vertical="center"/>
      <protection hidden="1"/>
    </xf>
    <xf numFmtId="0" fontId="18" fillId="16" borderId="4" xfId="0" applyFont="1" applyFill="1" applyBorder="1" applyAlignment="1" applyProtection="1">
      <alignment horizontal="center" vertical="center"/>
      <protection hidden="1"/>
    </xf>
    <xf numFmtId="0" fontId="18" fillId="16" borderId="5" xfId="0" applyFont="1" applyFill="1" applyBorder="1" applyAlignment="1" applyProtection="1">
      <alignment horizontal="center" vertical="center"/>
      <protection hidden="1"/>
    </xf>
    <xf numFmtId="0" fontId="18" fillId="16" borderId="92" xfId="0" applyFont="1" applyFill="1" applyBorder="1" applyAlignment="1" applyProtection="1">
      <alignment horizontal="center" vertical="center"/>
      <protection hidden="1"/>
    </xf>
    <xf numFmtId="0" fontId="18" fillId="4" borderId="33" xfId="0" applyFont="1" applyFill="1" applyBorder="1" applyAlignment="1" applyProtection="1">
      <alignment horizontal="center" vertical="center"/>
      <protection hidden="1"/>
    </xf>
    <xf numFmtId="0" fontId="43" fillId="4" borderId="33" xfId="0" applyFont="1" applyFill="1" applyBorder="1" applyAlignment="1" applyProtection="1">
      <alignment horizontal="center" vertical="center" wrapText="1"/>
      <protection hidden="1"/>
    </xf>
    <xf numFmtId="0" fontId="18" fillId="4" borderId="5" xfId="0" applyFont="1" applyFill="1" applyBorder="1" applyAlignment="1" applyProtection="1">
      <alignment horizontal="center" vertical="center"/>
      <protection hidden="1"/>
    </xf>
    <xf numFmtId="0" fontId="18" fillId="4" borderId="0" xfId="0" applyFont="1" applyFill="1" applyAlignment="1" applyProtection="1">
      <alignment horizontal="center" vertical="center"/>
      <protection hidden="1"/>
    </xf>
    <xf numFmtId="0" fontId="0" fillId="0" borderId="0" xfId="0" applyAlignment="1" applyProtection="1">
      <alignment horizontal="center" wrapText="1"/>
      <protection hidden="1"/>
    </xf>
    <xf numFmtId="0" fontId="0" fillId="3" borderId="93" xfId="0" applyFill="1" applyBorder="1" applyProtection="1">
      <protection hidden="1"/>
    </xf>
    <xf numFmtId="0" fontId="0" fillId="3" borderId="0" xfId="0" applyFill="1" applyAlignment="1" applyProtection="1">
      <alignment shrinkToFit="1"/>
      <protection hidden="1"/>
    </xf>
    <xf numFmtId="0" fontId="0" fillId="0" borderId="94" xfId="0" applyBorder="1" applyProtection="1">
      <protection hidden="1"/>
    </xf>
    <xf numFmtId="0" fontId="0" fillId="0" borderId="95" xfId="0" applyBorder="1" applyProtection="1">
      <protection locked="0" hidden="1"/>
    </xf>
    <xf numFmtId="4" fontId="0" fillId="0" borderId="0" xfId="0" applyNumberFormat="1" applyProtection="1">
      <protection locked="0" hidden="1"/>
    </xf>
    <xf numFmtId="0" fontId="0" fillId="0" borderId="0" xfId="0" applyProtection="1">
      <protection locked="0" hidden="1"/>
    </xf>
    <xf numFmtId="164" fontId="0" fillId="0" borderId="0" xfId="0" applyNumberFormat="1" applyProtection="1">
      <protection locked="0" hidden="1"/>
    </xf>
    <xf numFmtId="164" fontId="4" fillId="3" borderId="0" xfId="0" applyNumberFormat="1" applyFont="1" applyFill="1" applyAlignment="1" applyProtection="1">
      <alignment horizontal="center"/>
      <protection locked="0" hidden="1"/>
    </xf>
    <xf numFmtId="1" fontId="4" fillId="3" borderId="0" xfId="0" applyNumberFormat="1" applyFont="1" applyFill="1" applyAlignment="1" applyProtection="1">
      <alignment horizontal="center"/>
      <protection locked="0" hidden="1"/>
    </xf>
    <xf numFmtId="0" fontId="0" fillId="2" borderId="3" xfId="0" applyFill="1" applyBorder="1" applyProtection="1">
      <protection locked="0" hidden="1"/>
    </xf>
    <xf numFmtId="164" fontId="0" fillId="0" borderId="0" xfId="0" applyNumberFormat="1" applyProtection="1">
      <protection hidden="1"/>
    </xf>
    <xf numFmtId="0" fontId="0" fillId="0" borderId="95" xfId="0" applyBorder="1"/>
    <xf numFmtId="0" fontId="0" fillId="0" borderId="96" xfId="0" applyBorder="1"/>
    <xf numFmtId="0" fontId="1" fillId="7" borderId="38" xfId="0" applyFont="1" applyFill="1" applyBorder="1" applyProtection="1">
      <protection hidden="1"/>
    </xf>
    <xf numFmtId="14" fontId="0" fillId="0" borderId="0" xfId="0" applyNumberFormat="1" applyAlignment="1" applyProtection="1">
      <alignment horizontal="center"/>
      <protection hidden="1"/>
    </xf>
    <xf numFmtId="14" fontId="0" fillId="7" borderId="38" xfId="0" applyNumberFormat="1" applyFill="1" applyBorder="1" applyProtection="1">
      <protection hidden="1"/>
    </xf>
    <xf numFmtId="0" fontId="66" fillId="0" borderId="0" xfId="0" applyFont="1" applyProtection="1">
      <protection hidden="1"/>
    </xf>
    <xf numFmtId="0" fontId="0" fillId="13" borderId="0" xfId="0" applyFill="1" applyAlignment="1" applyProtection="1">
      <alignment horizontal="center"/>
      <protection hidden="1"/>
    </xf>
    <xf numFmtId="0" fontId="9" fillId="13" borderId="0" xfId="0" applyFont="1" applyFill="1" applyProtection="1">
      <protection hidden="1"/>
    </xf>
    <xf numFmtId="0" fontId="0" fillId="13" borderId="0" xfId="0" applyFill="1" applyProtection="1">
      <protection hidden="1"/>
    </xf>
    <xf numFmtId="0" fontId="0" fillId="0" borderId="46" xfId="0" applyBorder="1" applyAlignment="1" applyProtection="1">
      <alignment horizontal="center"/>
      <protection hidden="1"/>
    </xf>
    <xf numFmtId="0" fontId="18" fillId="6" borderId="3" xfId="0" applyFont="1" applyFill="1" applyBorder="1" applyAlignment="1" applyProtection="1">
      <alignment horizontal="center" vertical="center" wrapText="1"/>
      <protection hidden="1"/>
    </xf>
    <xf numFmtId="0" fontId="18" fillId="6" borderId="48" xfId="0" applyFont="1" applyFill="1" applyBorder="1" applyAlignment="1" applyProtection="1">
      <alignment horizontal="center" vertical="center" wrapText="1"/>
      <protection hidden="1"/>
    </xf>
    <xf numFmtId="0" fontId="55" fillId="4" borderId="76" xfId="0" applyFont="1" applyFill="1" applyBorder="1" applyAlignment="1" applyProtection="1">
      <alignment horizontal="center" vertical="center" wrapText="1"/>
      <protection hidden="1"/>
    </xf>
    <xf numFmtId="0" fontId="18" fillId="6" borderId="9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55" fillId="4" borderId="98" xfId="0" applyFont="1" applyFill="1" applyBorder="1" applyAlignment="1" applyProtection="1">
      <alignment horizontal="center" vertical="center" wrapText="1"/>
      <protection hidden="1"/>
    </xf>
    <xf numFmtId="0" fontId="55" fillId="4" borderId="99" xfId="0" applyFont="1" applyFill="1" applyBorder="1" applyAlignment="1" applyProtection="1">
      <alignment horizontal="center" vertical="center" wrapText="1"/>
      <protection hidden="1"/>
    </xf>
    <xf numFmtId="0" fontId="55" fillId="4" borderId="100" xfId="0" applyFont="1" applyFill="1" applyBorder="1" applyAlignment="1" applyProtection="1">
      <alignment horizontal="center" vertical="center" wrapText="1"/>
      <protection hidden="1"/>
    </xf>
    <xf numFmtId="0" fontId="55" fillId="13" borderId="98" xfId="0" applyFont="1" applyFill="1" applyBorder="1" applyAlignment="1" applyProtection="1">
      <alignment horizontal="center" vertical="center" wrapText="1"/>
      <protection hidden="1"/>
    </xf>
    <xf numFmtId="0" fontId="26" fillId="13" borderId="101" xfId="0" applyFont="1" applyFill="1" applyBorder="1" applyAlignment="1" applyProtection="1">
      <alignment horizontal="center" vertical="center" wrapText="1"/>
      <protection hidden="1"/>
    </xf>
    <xf numFmtId="0" fontId="26" fillId="13" borderId="102" xfId="0" applyFont="1" applyFill="1" applyBorder="1" applyAlignment="1" applyProtection="1">
      <alignment horizontal="center" vertical="center" wrapText="1"/>
      <protection hidden="1"/>
    </xf>
    <xf numFmtId="0" fontId="26" fillId="13" borderId="100" xfId="0" applyFont="1" applyFill="1" applyBorder="1" applyAlignment="1" applyProtection="1">
      <alignment horizontal="center" vertical="center" wrapText="1"/>
      <protection hidden="1"/>
    </xf>
    <xf numFmtId="0" fontId="26" fillId="13" borderId="72" xfId="0" applyFont="1" applyFill="1" applyBorder="1" applyAlignment="1" applyProtection="1">
      <alignment horizontal="center" vertical="center" wrapText="1"/>
      <protection hidden="1"/>
    </xf>
    <xf numFmtId="0" fontId="26" fillId="4" borderId="20" xfId="0" applyFont="1" applyFill="1" applyBorder="1" applyAlignment="1" applyProtection="1">
      <alignment horizontal="center" vertical="center" wrapText="1"/>
      <protection hidden="1"/>
    </xf>
    <xf numFmtId="0" fontId="26" fillId="4" borderId="99" xfId="0" applyFont="1" applyFill="1" applyBorder="1" applyAlignment="1" applyProtection="1">
      <alignment horizontal="center" vertical="center" wrapText="1"/>
      <protection hidden="1"/>
    </xf>
    <xf numFmtId="0" fontId="26" fillId="4" borderId="100" xfId="0" applyFont="1" applyFill="1" applyBorder="1" applyAlignment="1" applyProtection="1">
      <alignment horizontal="center" vertical="center" wrapText="1"/>
      <protection hidden="1"/>
    </xf>
    <xf numFmtId="0" fontId="26" fillId="0" borderId="71" xfId="0" applyFont="1" applyBorder="1" applyAlignment="1" applyProtection="1">
      <alignment horizontal="center" vertical="center" wrapText="1"/>
      <protection hidden="1"/>
    </xf>
    <xf numFmtId="0" fontId="26" fillId="0" borderId="33" xfId="0" applyFont="1" applyBorder="1" applyAlignment="1" applyProtection="1">
      <alignment horizontal="center" vertical="center" wrapText="1"/>
      <protection hidden="1"/>
    </xf>
    <xf numFmtId="0" fontId="26" fillId="0" borderId="72" xfId="0" applyFont="1" applyBorder="1" applyAlignment="1" applyProtection="1">
      <alignment horizontal="center" vertical="center" wrapText="1"/>
      <protection hidden="1"/>
    </xf>
    <xf numFmtId="0" fontId="26" fillId="5" borderId="72" xfId="0" applyFont="1" applyFill="1" applyBorder="1" applyAlignment="1" applyProtection="1">
      <alignment horizontal="center" vertical="center" wrapText="1"/>
      <protection hidden="1"/>
    </xf>
    <xf numFmtId="0" fontId="0" fillId="0" borderId="0" xfId="0" applyAlignment="1" applyProtection="1">
      <alignment horizontal="left" indent="1"/>
      <protection hidden="1"/>
    </xf>
    <xf numFmtId="0" fontId="0" fillId="0" borderId="0" xfId="0" applyAlignment="1" applyProtection="1">
      <alignment horizontal="center"/>
      <protection locked="0" hidden="1"/>
    </xf>
    <xf numFmtId="0" fontId="42" fillId="13" borderId="0" xfId="0" applyFont="1" applyFill="1" applyAlignment="1" applyProtection="1">
      <alignment horizontal="center"/>
      <protection hidden="1"/>
    </xf>
    <xf numFmtId="0" fontId="42" fillId="0" borderId="0" xfId="0" applyFont="1" applyAlignment="1" applyProtection="1">
      <alignment horizontal="center"/>
      <protection hidden="1"/>
    </xf>
    <xf numFmtId="0" fontId="58" fillId="17" borderId="0" xfId="0" applyFont="1" applyFill="1" applyAlignment="1" applyProtection="1">
      <alignment horizontal="center"/>
      <protection hidden="1"/>
    </xf>
    <xf numFmtId="14" fontId="0" fillId="0" borderId="0" xfId="0" applyNumberFormat="1"/>
    <xf numFmtId="0" fontId="4" fillId="8" borderId="103" xfId="0" applyFont="1" applyFill="1" applyBorder="1" applyAlignment="1" applyProtection="1">
      <alignment horizontal="center"/>
      <protection locked="0" hidden="1"/>
    </xf>
    <xf numFmtId="0" fontId="69" fillId="4" borderId="38" xfId="0" applyFont="1" applyFill="1" applyBorder="1" applyAlignment="1" applyProtection="1">
      <alignment horizontal="center" vertical="center" wrapText="1"/>
      <protection hidden="1"/>
    </xf>
    <xf numFmtId="0" fontId="2" fillId="3" borderId="0" xfId="1" applyFont="1" applyFill="1" applyAlignment="1" applyProtection="1">
      <alignment wrapText="1"/>
    </xf>
    <xf numFmtId="0" fontId="70" fillId="13" borderId="0" xfId="0" applyFont="1" applyFill="1" applyAlignment="1">
      <alignment horizontal="center" wrapText="1"/>
    </xf>
    <xf numFmtId="14" fontId="12" fillId="7" borderId="32" xfId="0" applyNumberFormat="1" applyFont="1" applyFill="1" applyBorder="1" applyAlignment="1">
      <alignment horizontal="center" vertical="center"/>
    </xf>
    <xf numFmtId="0" fontId="55" fillId="4" borderId="104" xfId="0" applyFont="1" applyFill="1" applyBorder="1" applyAlignment="1" applyProtection="1">
      <alignment horizontal="center" vertical="center" wrapText="1"/>
      <protection hidden="1"/>
    </xf>
    <xf numFmtId="0" fontId="71" fillId="2" borderId="0" xfId="0" applyFont="1" applyFill="1" applyAlignment="1" applyProtection="1">
      <alignment horizontal="center" vertical="center"/>
      <protection hidden="1"/>
    </xf>
    <xf numFmtId="0" fontId="18" fillId="2" borderId="37" xfId="0" applyFont="1" applyFill="1" applyBorder="1" applyAlignment="1" applyProtection="1">
      <alignment horizontal="center" vertical="center" wrapText="1"/>
      <protection hidden="1"/>
    </xf>
    <xf numFmtId="0" fontId="12" fillId="2" borderId="40" xfId="0" applyFont="1" applyFill="1" applyBorder="1" applyAlignment="1">
      <alignment horizontal="center" vertical="center" wrapText="1"/>
    </xf>
    <xf numFmtId="0" fontId="40" fillId="2" borderId="40" xfId="0" applyFont="1" applyFill="1" applyBorder="1" applyAlignment="1">
      <alignment horizontal="center" vertical="center" wrapText="1"/>
    </xf>
    <xf numFmtId="0" fontId="46" fillId="0" borderId="0" xfId="0" applyFont="1" applyAlignment="1">
      <alignment vertical="center" wrapText="1"/>
    </xf>
    <xf numFmtId="0" fontId="72" fillId="5" borderId="0" xfId="0" applyFont="1" applyFill="1"/>
    <xf numFmtId="0" fontId="10" fillId="0" borderId="80" xfId="0" applyFont="1" applyBorder="1" applyAlignment="1" applyProtection="1">
      <alignment horizontal="center" vertical="center"/>
      <protection locked="0"/>
    </xf>
    <xf numFmtId="0" fontId="79" fillId="5" borderId="0" xfId="0" applyFont="1" applyFill="1"/>
    <xf numFmtId="0" fontId="73" fillId="9" borderId="1" xfId="0" applyFont="1" applyFill="1" applyBorder="1"/>
    <xf numFmtId="0" fontId="0" fillId="9" borderId="2" xfId="0" applyFill="1" applyBorder="1"/>
    <xf numFmtId="0" fontId="0" fillId="9" borderId="32" xfId="0" applyFill="1" applyBorder="1"/>
    <xf numFmtId="0" fontId="74" fillId="0" borderId="0" xfId="0" applyFont="1"/>
    <xf numFmtId="0" fontId="0" fillId="0" borderId="0" xfId="0" applyAlignment="1">
      <alignment horizontal="left"/>
    </xf>
    <xf numFmtId="166" fontId="75" fillId="0" borderId="0" xfId="0" applyNumberFormat="1" applyFont="1" applyAlignment="1">
      <alignment horizontal="left"/>
    </xf>
    <xf numFmtId="0" fontId="75" fillId="0" borderId="0" xfId="0" applyFont="1" applyAlignment="1">
      <alignment horizontal="left"/>
    </xf>
    <xf numFmtId="0" fontId="76" fillId="0" borderId="0" xfId="0" applyFont="1" applyAlignment="1">
      <alignment horizontal="left"/>
    </xf>
    <xf numFmtId="0" fontId="0" fillId="3" borderId="0" xfId="0" applyFill="1" applyProtection="1">
      <protection locked="0"/>
    </xf>
    <xf numFmtId="0" fontId="22" fillId="0" borderId="0" xfId="0" applyFont="1"/>
    <xf numFmtId="0" fontId="22" fillId="0" borderId="0" xfId="0" applyFont="1" applyAlignment="1">
      <alignment horizontal="right"/>
    </xf>
    <xf numFmtId="0" fontId="22" fillId="4" borderId="0" xfId="0" applyFont="1" applyFill="1"/>
    <xf numFmtId="0" fontId="82" fillId="18" borderId="0" xfId="0" applyFont="1" applyFill="1" applyAlignment="1">
      <alignment vertical="center" wrapText="1"/>
    </xf>
    <xf numFmtId="0" fontId="82" fillId="18" borderId="0" xfId="0" applyFont="1" applyFill="1" applyAlignment="1">
      <alignment horizontal="right" vertical="center" wrapText="1"/>
    </xf>
    <xf numFmtId="0" fontId="83" fillId="18" borderId="0" xfId="0" applyFont="1" applyFill="1" applyAlignment="1">
      <alignment vertical="center" wrapText="1"/>
    </xf>
    <xf numFmtId="0" fontId="83" fillId="18" borderId="111" xfId="0" applyFont="1" applyFill="1" applyBorder="1" applyAlignment="1">
      <alignment vertical="center" wrapText="1"/>
    </xf>
    <xf numFmtId="0" fontId="17" fillId="18" borderId="111" xfId="1" applyFill="1" applyBorder="1" applyAlignment="1" applyProtection="1">
      <alignment vertical="center" wrapText="1"/>
    </xf>
    <xf numFmtId="14" fontId="83" fillId="18" borderId="111" xfId="0" applyNumberFormat="1" applyFont="1" applyFill="1" applyBorder="1" applyAlignment="1">
      <alignment vertical="center" wrapText="1"/>
    </xf>
    <xf numFmtId="0" fontId="83" fillId="18" borderId="111" xfId="0" applyFont="1" applyFill="1" applyBorder="1" applyAlignment="1">
      <alignment horizontal="right" vertical="center" wrapText="1"/>
    </xf>
    <xf numFmtId="0" fontId="83" fillId="19" borderId="112" xfId="0" applyFont="1" applyFill="1" applyBorder="1" applyAlignment="1">
      <alignment horizontal="right" vertical="center" wrapText="1"/>
    </xf>
    <xf numFmtId="0" fontId="83" fillId="19" borderId="112" xfId="0" applyFont="1" applyFill="1" applyBorder="1" applyAlignment="1">
      <alignment vertical="center" wrapText="1"/>
    </xf>
    <xf numFmtId="0" fontId="17" fillId="19" borderId="112" xfId="1" applyFill="1" applyBorder="1" applyAlignment="1" applyProtection="1">
      <alignment vertical="center" wrapText="1"/>
    </xf>
    <xf numFmtId="0" fontId="82" fillId="20" borderId="112" xfId="0" applyFont="1" applyFill="1" applyBorder="1" applyAlignment="1">
      <alignment horizontal="right" vertical="center" wrapText="1"/>
    </xf>
    <xf numFmtId="0" fontId="82" fillId="20" borderId="112" xfId="0" applyFont="1" applyFill="1" applyBorder="1" applyAlignment="1">
      <alignment vertical="center" wrapText="1"/>
    </xf>
    <xf numFmtId="0" fontId="39" fillId="7" borderId="1" xfId="0" applyFont="1" applyFill="1" applyBorder="1" applyAlignment="1">
      <alignment horizontal="center"/>
    </xf>
    <xf numFmtId="0" fontId="39" fillId="7" borderId="2" xfId="0" applyFont="1" applyFill="1" applyBorder="1" applyAlignment="1">
      <alignment horizontal="center"/>
    </xf>
    <xf numFmtId="0" fontId="39" fillId="7" borderId="32" xfId="0" applyFont="1" applyFill="1" applyBorder="1" applyAlignment="1">
      <alignment horizontal="center"/>
    </xf>
    <xf numFmtId="0" fontId="52" fillId="0" borderId="29" xfId="0" applyFont="1" applyBorder="1" applyAlignment="1">
      <alignment horizontal="center"/>
    </xf>
    <xf numFmtId="0" fontId="0" fillId="0" borderId="29" xfId="0" applyBorder="1" applyAlignment="1">
      <alignment horizontal="center"/>
    </xf>
    <xf numFmtId="0" fontId="57" fillId="16" borderId="46" xfId="0" applyFont="1" applyFill="1" applyBorder="1" applyAlignment="1" applyProtection="1">
      <alignment horizontal="center"/>
      <protection hidden="1"/>
    </xf>
    <xf numFmtId="0" fontId="0" fillId="0" borderId="105" xfId="0" applyBorder="1" applyAlignment="1" applyProtection="1">
      <alignment horizontal="center"/>
      <protection hidden="1"/>
    </xf>
    <xf numFmtId="0" fontId="0" fillId="9" borderId="106" xfId="0" applyFill="1" applyBorder="1" applyAlignment="1" applyProtection="1">
      <alignment horizontal="center" vertical="center"/>
      <protection hidden="1"/>
    </xf>
    <xf numFmtId="0" fontId="0" fillId="0" borderId="0" xfId="0" applyAlignment="1" applyProtection="1">
      <alignment horizontal="center"/>
      <protection hidden="1"/>
    </xf>
    <xf numFmtId="0" fontId="26" fillId="0" borderId="107" xfId="0" applyFont="1" applyBorder="1" applyAlignment="1">
      <alignment horizontal="center" vertical="center"/>
    </xf>
    <xf numFmtId="0" fontId="0" fillId="0" borderId="108" xfId="0" applyBorder="1" applyAlignment="1">
      <alignment horizontal="center"/>
    </xf>
    <xf numFmtId="166" fontId="5" fillId="0" borderId="105" xfId="0" applyNumberFormat="1" applyFont="1" applyBorder="1" applyAlignment="1">
      <alignment horizontal="center" vertical="center"/>
    </xf>
    <xf numFmtId="0" fontId="5" fillId="0" borderId="105" xfId="0" applyFont="1" applyBorder="1" applyAlignment="1">
      <alignment horizontal="center"/>
    </xf>
    <xf numFmtId="0" fontId="26" fillId="0" borderId="109" xfId="0" applyFont="1" applyBorder="1" applyAlignment="1">
      <alignment horizontal="center" vertical="center"/>
    </xf>
    <xf numFmtId="0" fontId="26" fillId="0" borderId="110" xfId="0" applyFont="1" applyBorder="1" applyAlignment="1">
      <alignment horizontal="center" vertical="center"/>
    </xf>
    <xf numFmtId="0" fontId="0" fillId="4" borderId="0" xfId="0" applyFill="1" applyAlignment="1">
      <alignment horizontal="center"/>
    </xf>
    <xf numFmtId="0" fontId="0" fillId="0" borderId="0" xfId="0"/>
  </cellXfs>
  <cellStyles count="2">
    <cellStyle name="Hypertextový odkaz" xfId="1" builtinId="8"/>
    <cellStyle name="Normální" xfId="0" builtinId="0"/>
  </cellStyles>
  <dxfs count="123">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color auto="1"/>
      </font>
      <fill>
        <patternFill>
          <bgColor indexed="11"/>
        </patternFill>
      </fill>
      <border>
        <left style="hair">
          <color indexed="64"/>
        </left>
        <right style="hair">
          <color indexed="64"/>
        </right>
        <top style="hair">
          <color indexed="64"/>
        </top>
        <bottom style="hair">
          <color indexed="64"/>
        </bottom>
      </border>
    </dxf>
    <dxf>
      <font>
        <condense val="0"/>
        <extend val="0"/>
        <color indexed="11"/>
      </font>
      <fill>
        <patternFill>
          <bgColor indexed="11"/>
        </patternFill>
      </fill>
      <border>
        <left style="dashed">
          <color indexed="64"/>
        </left>
        <right style="dashed">
          <color indexed="64"/>
        </right>
        <top style="dashed">
          <color indexed="64"/>
        </top>
        <bottom style="dash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font>
      <fill>
        <patternFill>
          <bgColor indexed="11"/>
        </patternFill>
      </fill>
      <border>
        <left style="dotted">
          <color indexed="64"/>
        </left>
        <right style="dotted">
          <color indexed="64"/>
        </right>
        <top style="dotted">
          <color indexed="64"/>
        </top>
        <bottom style="dotted">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font>
      <fill>
        <patternFill>
          <bgColor indexed="11"/>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color auto="1"/>
      </font>
      <fill>
        <patternFill>
          <bgColor indexed="11"/>
        </patternFill>
      </fill>
      <border>
        <left style="hair">
          <color indexed="64"/>
        </left>
        <right style="hair">
          <color indexed="64"/>
        </right>
        <top style="hair">
          <color indexed="64"/>
        </top>
        <bottom style="hair">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i val="0"/>
        <condense val="0"/>
        <extend val="0"/>
      </font>
      <fill>
        <patternFill>
          <bgColor indexed="10"/>
        </patternFill>
      </fill>
      <border>
        <left style="dotted">
          <color indexed="64"/>
        </left>
        <right style="dotted">
          <color indexed="64"/>
        </right>
        <top style="dotted">
          <color indexed="64"/>
        </top>
        <bottom style="dott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ont>
        <condense val="0"/>
        <extend val="0"/>
        <color indexed="9"/>
      </font>
    </dxf>
    <dxf>
      <font>
        <b/>
        <i val="0"/>
        <condense val="0"/>
        <extend val="0"/>
      </font>
      <fill>
        <patternFill>
          <bgColor indexed="15"/>
        </patternFill>
      </fill>
      <border>
        <left style="hair">
          <color indexed="64"/>
        </left>
        <right style="hair">
          <color indexed="64"/>
        </right>
        <top style="hair">
          <color indexed="64"/>
        </top>
        <bottom style="hair">
          <color indexed="64"/>
        </bottom>
      </border>
    </dxf>
    <dxf>
      <font>
        <b/>
        <i val="0"/>
        <condense val="0"/>
        <extend val="0"/>
      </font>
      <fill>
        <patternFill>
          <bgColor indexed="13"/>
        </patternFill>
      </fill>
      <border>
        <left style="hair">
          <color indexed="64"/>
        </left>
        <right style="hair">
          <color indexed="64"/>
        </right>
        <top style="hair">
          <color indexed="64"/>
        </top>
        <bottom style="hair">
          <color indexed="64"/>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 Id="rId8" Type="http://schemas.openxmlformats.org/officeDocument/2006/relationships/worksheet" Target="worksheets/sheet8.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Button" lockText="1"/>
</file>

<file path=xl/ctrlProps/ctrlProp17.xml><?xml version="1.0" encoding="utf-8"?>
<formControlPr xmlns="http://schemas.microsoft.com/office/spreadsheetml/2009/9/main" objectType="Button" lockText="1"/>
</file>

<file path=xl/ctrlProps/ctrlProp18.xml><?xml version="1.0" encoding="utf-8"?>
<formControlPr xmlns="http://schemas.microsoft.com/office/spreadsheetml/2009/9/main" objectType="Button" lockText="1"/>
</file>

<file path=xl/ctrlProps/ctrlProp19.xml><?xml version="1.0" encoding="utf-8"?>
<formControlPr xmlns="http://schemas.microsoft.com/office/spreadsheetml/2009/9/main" objectType="Button" lockText="1"/>
</file>

<file path=xl/ctrlProps/ctrlProp20.xml><?xml version="1.0" encoding="utf-8"?>
<formControlPr xmlns="http://schemas.microsoft.com/office/spreadsheetml/2009/9/main" objectType="Button" lockText="1"/>
</file>

<file path=xl/ctrlProps/ctrlProp21.xml><?xml version="1.0" encoding="utf-8"?>
<formControlPr xmlns="http://schemas.microsoft.com/office/spreadsheetml/2009/9/main" objectType="Button" lockText="1"/>
</file>

<file path=xl/ctrlProps/ctrlProp22.xml><?xml version="1.0" encoding="utf-8"?>
<formControlPr xmlns="http://schemas.microsoft.com/office/spreadsheetml/2009/9/main" objectType="Button" lockText="1"/>
</file>

<file path=xl/ctrlProps/ctrlProp23.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315686</xdr:colOff>
          <xdr:row>2</xdr:row>
          <xdr:rowOff>27214</xdr:rowOff>
        </xdr:from>
        <xdr:to>
          <xdr:col>16</xdr:col>
          <xdr:colOff>0</xdr:colOff>
          <xdr:row>5</xdr:row>
          <xdr:rowOff>179614</xdr:rowOff>
        </xdr:to>
        <xdr:sp macro="" textlink="">
          <xdr:nvSpPr>
            <xdr:cNvPr id="3150" name="Button 78" hidden="1">
              <a:extLst>
                <a:ext uri="{63B3BB69-23CF-44E3-9099-C40C66FF867C}">
                  <a14:compatExt spid="_x0000_s3150"/>
                </a:ext>
                <a:ext uri="{FF2B5EF4-FFF2-40B4-BE49-F238E27FC236}">
                  <a16:creationId xmlns:a16="http://schemas.microsoft.com/office/drawing/2014/main" id="{00000000-0008-0000-0500-00004E0C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Nasadit  týmy  do turnaje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10886</xdr:colOff>
          <xdr:row>6</xdr:row>
          <xdr:rowOff>0</xdr:rowOff>
        </xdr:from>
        <xdr:to>
          <xdr:col>17</xdr:col>
          <xdr:colOff>277586</xdr:colOff>
          <xdr:row>8</xdr:row>
          <xdr:rowOff>103414</xdr:rowOff>
        </xdr:to>
        <xdr:sp macro="" textlink="">
          <xdr:nvSpPr>
            <xdr:cNvPr id="3235" name="Button 163" descr="Zálohování souboru" hidden="1">
              <a:extLst>
                <a:ext uri="{63B3BB69-23CF-44E3-9099-C40C66FF867C}">
                  <a14:compatExt spid="_x0000_s3235"/>
                </a:ext>
                <a:ext uri="{FF2B5EF4-FFF2-40B4-BE49-F238E27FC236}">
                  <a16:creationId xmlns:a16="http://schemas.microsoft.com/office/drawing/2014/main" id="{00000000-0008-0000-0500-0000A30C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Zálohování souboru</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85</xdr:col>
          <xdr:colOff>10886</xdr:colOff>
          <xdr:row>0</xdr:row>
          <xdr:rowOff>0</xdr:rowOff>
        </xdr:from>
        <xdr:to>
          <xdr:col>86</xdr:col>
          <xdr:colOff>217714</xdr:colOff>
          <xdr:row>2</xdr:row>
          <xdr:rowOff>0</xdr:rowOff>
        </xdr:to>
        <xdr:sp macro="" textlink="">
          <xdr:nvSpPr>
            <xdr:cNvPr id="18452" name="Button 20" hidden="1">
              <a:extLst>
                <a:ext uri="{63B3BB69-23CF-44E3-9099-C40C66FF867C}">
                  <a14:compatExt spid="_x0000_s18452"/>
                </a:ext>
                <a:ext uri="{FF2B5EF4-FFF2-40B4-BE49-F238E27FC236}">
                  <a16:creationId xmlns:a16="http://schemas.microsoft.com/office/drawing/2014/main" id="{00000000-0008-0000-0800-00001448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Zrušit všechna losování </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65314</xdr:colOff>
          <xdr:row>0</xdr:row>
          <xdr:rowOff>114300</xdr:rowOff>
        </xdr:from>
        <xdr:to>
          <xdr:col>6</xdr:col>
          <xdr:colOff>1132114</xdr:colOff>
          <xdr:row>1</xdr:row>
          <xdr:rowOff>419100</xdr:rowOff>
        </xdr:to>
        <xdr:sp macro="" textlink="">
          <xdr:nvSpPr>
            <xdr:cNvPr id="6156" name="Button 12" hidden="1">
              <a:extLst>
                <a:ext uri="{63B3BB69-23CF-44E3-9099-C40C66FF867C}">
                  <a14:compatExt spid="_x0000_s6156"/>
                </a:ext>
                <a:ext uri="{FF2B5EF4-FFF2-40B4-BE49-F238E27FC236}">
                  <a16:creationId xmlns:a16="http://schemas.microsoft.com/office/drawing/2014/main" id="{00000000-0008-0000-0900-00000C18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Zjistit</a:t>
              </a:r>
            </a:p>
            <a:p>
              <a:pPr algn="ctr" rtl="0">
                <a:defRPr sz="1000"/>
              </a:pPr>
              <a:r>
                <a:rPr lang="cs-CZ" sz="1100" b="1" i="0" u="none" strike="noStrike" baseline="0">
                  <a:solidFill>
                    <a:srgbClr val="FF0000"/>
                  </a:solidFill>
                  <a:latin typeface="Comic Sans MS"/>
                </a:rPr>
                <a:t> KVALITU turnaje</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48986</xdr:colOff>
          <xdr:row>0</xdr:row>
          <xdr:rowOff>136071</xdr:rowOff>
        </xdr:from>
        <xdr:to>
          <xdr:col>9</xdr:col>
          <xdr:colOff>1017814</xdr:colOff>
          <xdr:row>1</xdr:row>
          <xdr:rowOff>440871</xdr:rowOff>
        </xdr:to>
        <xdr:sp macro="" textlink="">
          <xdr:nvSpPr>
            <xdr:cNvPr id="19457" name="Button 1" hidden="1">
              <a:extLst>
                <a:ext uri="{63B3BB69-23CF-44E3-9099-C40C66FF867C}">
                  <a14:compatExt spid="_x0000_s19457"/>
                </a:ext>
                <a:ext uri="{FF2B5EF4-FFF2-40B4-BE49-F238E27FC236}">
                  <a16:creationId xmlns:a16="http://schemas.microsoft.com/office/drawing/2014/main" id="{00000000-0008-0000-0C00-0000014C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48986</xdr:colOff>
          <xdr:row>0</xdr:row>
          <xdr:rowOff>136071</xdr:rowOff>
        </xdr:from>
        <xdr:to>
          <xdr:col>9</xdr:col>
          <xdr:colOff>941614</xdr:colOff>
          <xdr:row>1</xdr:row>
          <xdr:rowOff>381000</xdr:rowOff>
        </xdr:to>
        <xdr:sp macro="" textlink="">
          <xdr:nvSpPr>
            <xdr:cNvPr id="20482" name="Button 2" hidden="1">
              <a:extLst>
                <a:ext uri="{63B3BB69-23CF-44E3-9099-C40C66FF867C}">
                  <a14:compatExt spid="_x0000_s20482"/>
                </a:ext>
                <a:ext uri="{FF2B5EF4-FFF2-40B4-BE49-F238E27FC236}">
                  <a16:creationId xmlns:a16="http://schemas.microsoft.com/office/drawing/2014/main" id="{00000000-0008-0000-0D00-00000250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48986</xdr:colOff>
          <xdr:row>2</xdr:row>
          <xdr:rowOff>48986</xdr:rowOff>
        </xdr:from>
        <xdr:to>
          <xdr:col>9</xdr:col>
          <xdr:colOff>941614</xdr:colOff>
          <xdr:row>4</xdr:row>
          <xdr:rowOff>141514</xdr:rowOff>
        </xdr:to>
        <xdr:sp macro="" textlink="">
          <xdr:nvSpPr>
            <xdr:cNvPr id="20483" name="Button 3" hidden="1">
              <a:extLst>
                <a:ext uri="{63B3BB69-23CF-44E3-9099-C40C66FF867C}">
                  <a14:compatExt spid="_x0000_s20483"/>
                </a:ext>
                <a:ext uri="{FF2B5EF4-FFF2-40B4-BE49-F238E27FC236}">
                  <a16:creationId xmlns:a16="http://schemas.microsoft.com/office/drawing/2014/main" id="{00000000-0008-0000-0D00-00000350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38100</xdr:colOff>
          <xdr:row>0</xdr:row>
          <xdr:rowOff>136071</xdr:rowOff>
        </xdr:from>
        <xdr:to>
          <xdr:col>9</xdr:col>
          <xdr:colOff>936171</xdr:colOff>
          <xdr:row>1</xdr:row>
          <xdr:rowOff>381000</xdr:rowOff>
        </xdr:to>
        <xdr:sp macro="" textlink="">
          <xdr:nvSpPr>
            <xdr:cNvPr id="21506" name="Button 2" hidden="1">
              <a:extLst>
                <a:ext uri="{63B3BB69-23CF-44E3-9099-C40C66FF867C}">
                  <a14:compatExt spid="_x0000_s21506"/>
                </a:ext>
                <a:ext uri="{FF2B5EF4-FFF2-40B4-BE49-F238E27FC236}">
                  <a16:creationId xmlns:a16="http://schemas.microsoft.com/office/drawing/2014/main" id="{00000000-0008-0000-0E00-00000254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xdr:row>
          <xdr:rowOff>48986</xdr:rowOff>
        </xdr:from>
        <xdr:to>
          <xdr:col>9</xdr:col>
          <xdr:colOff>936171</xdr:colOff>
          <xdr:row>4</xdr:row>
          <xdr:rowOff>141514</xdr:rowOff>
        </xdr:to>
        <xdr:sp macro="" textlink="">
          <xdr:nvSpPr>
            <xdr:cNvPr id="21507" name="Button 3" hidden="1">
              <a:extLst>
                <a:ext uri="{63B3BB69-23CF-44E3-9099-C40C66FF867C}">
                  <a14:compatExt spid="_x0000_s21507"/>
                </a:ext>
                <a:ext uri="{FF2B5EF4-FFF2-40B4-BE49-F238E27FC236}">
                  <a16:creationId xmlns:a16="http://schemas.microsoft.com/office/drawing/2014/main" id="{00000000-0008-0000-0E00-00000354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38100</xdr:colOff>
          <xdr:row>0</xdr:row>
          <xdr:rowOff>136071</xdr:rowOff>
        </xdr:from>
        <xdr:to>
          <xdr:col>9</xdr:col>
          <xdr:colOff>936171</xdr:colOff>
          <xdr:row>1</xdr:row>
          <xdr:rowOff>381000</xdr:rowOff>
        </xdr:to>
        <xdr:sp macro="" textlink="">
          <xdr:nvSpPr>
            <xdr:cNvPr id="22530" name="Button 2" hidden="1">
              <a:extLst>
                <a:ext uri="{63B3BB69-23CF-44E3-9099-C40C66FF867C}">
                  <a14:compatExt spid="_x0000_s22530"/>
                </a:ext>
                <a:ext uri="{FF2B5EF4-FFF2-40B4-BE49-F238E27FC236}">
                  <a16:creationId xmlns:a16="http://schemas.microsoft.com/office/drawing/2014/main" id="{00000000-0008-0000-0F00-00000258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xdr:row>
          <xdr:rowOff>48986</xdr:rowOff>
        </xdr:from>
        <xdr:to>
          <xdr:col>9</xdr:col>
          <xdr:colOff>936171</xdr:colOff>
          <xdr:row>4</xdr:row>
          <xdr:rowOff>141514</xdr:rowOff>
        </xdr:to>
        <xdr:sp macro="" textlink="">
          <xdr:nvSpPr>
            <xdr:cNvPr id="22531" name="Button 3" hidden="1">
              <a:extLst>
                <a:ext uri="{63B3BB69-23CF-44E3-9099-C40C66FF867C}">
                  <a14:compatExt spid="_x0000_s22531"/>
                </a:ext>
                <a:ext uri="{FF2B5EF4-FFF2-40B4-BE49-F238E27FC236}">
                  <a16:creationId xmlns:a16="http://schemas.microsoft.com/office/drawing/2014/main" id="{00000000-0008-0000-0F00-00000358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48986</xdr:colOff>
          <xdr:row>0</xdr:row>
          <xdr:rowOff>136071</xdr:rowOff>
        </xdr:from>
        <xdr:to>
          <xdr:col>9</xdr:col>
          <xdr:colOff>1017814</xdr:colOff>
          <xdr:row>1</xdr:row>
          <xdr:rowOff>440871</xdr:rowOff>
        </xdr:to>
        <xdr:sp macro="" textlink="">
          <xdr:nvSpPr>
            <xdr:cNvPr id="23554" name="Button 2" hidden="1">
              <a:extLst>
                <a:ext uri="{63B3BB69-23CF-44E3-9099-C40C66FF867C}">
                  <a14:compatExt spid="_x0000_s23554"/>
                </a:ext>
                <a:ext uri="{FF2B5EF4-FFF2-40B4-BE49-F238E27FC236}">
                  <a16:creationId xmlns:a16="http://schemas.microsoft.com/office/drawing/2014/main" id="{00000000-0008-0000-1000-0000025C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48986</xdr:colOff>
          <xdr:row>2</xdr:row>
          <xdr:rowOff>114300</xdr:rowOff>
        </xdr:from>
        <xdr:to>
          <xdr:col>9</xdr:col>
          <xdr:colOff>1017814</xdr:colOff>
          <xdr:row>5</xdr:row>
          <xdr:rowOff>0</xdr:rowOff>
        </xdr:to>
        <xdr:sp macro="" textlink="">
          <xdr:nvSpPr>
            <xdr:cNvPr id="23555" name="Button 3" hidden="1">
              <a:extLst>
                <a:ext uri="{63B3BB69-23CF-44E3-9099-C40C66FF867C}">
                  <a14:compatExt spid="_x0000_s23555"/>
                </a:ext>
                <a:ext uri="{FF2B5EF4-FFF2-40B4-BE49-F238E27FC236}">
                  <a16:creationId xmlns:a16="http://schemas.microsoft.com/office/drawing/2014/main" id="{00000000-0008-0000-1000-0000035C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250371</xdr:colOff>
          <xdr:row>4</xdr:row>
          <xdr:rowOff>27214</xdr:rowOff>
        </xdr:from>
        <xdr:to>
          <xdr:col>11</xdr:col>
          <xdr:colOff>1447800</xdr:colOff>
          <xdr:row>6</xdr:row>
          <xdr:rowOff>97971</xdr:rowOff>
        </xdr:to>
        <xdr:sp macro="" textlink="">
          <xdr:nvSpPr>
            <xdr:cNvPr id="25601" name="Button 1" hidden="1">
              <a:extLst>
                <a:ext uri="{63B3BB69-23CF-44E3-9099-C40C66FF867C}">
                  <a14:compatExt spid="_x0000_s25601"/>
                </a:ext>
                <a:ext uri="{FF2B5EF4-FFF2-40B4-BE49-F238E27FC236}">
                  <a16:creationId xmlns:a16="http://schemas.microsoft.com/office/drawing/2014/main" id="{00000000-0008-0000-1200-00000164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250371</xdr:colOff>
          <xdr:row>2</xdr:row>
          <xdr:rowOff>103414</xdr:rowOff>
        </xdr:from>
        <xdr:to>
          <xdr:col>7</xdr:col>
          <xdr:colOff>1447800</xdr:colOff>
          <xdr:row>4</xdr:row>
          <xdr:rowOff>59871</xdr:rowOff>
        </xdr:to>
        <xdr:sp macro="" textlink="">
          <xdr:nvSpPr>
            <xdr:cNvPr id="25603" name="Button 3" hidden="1">
              <a:extLst>
                <a:ext uri="{63B3BB69-23CF-44E3-9099-C40C66FF867C}">
                  <a14:compatExt spid="_x0000_s25603"/>
                </a:ext>
                <a:ext uri="{FF2B5EF4-FFF2-40B4-BE49-F238E27FC236}">
                  <a16:creationId xmlns:a16="http://schemas.microsoft.com/office/drawing/2014/main" id="{00000000-0008-0000-1200-00000364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Losovat hřiště   1-32 pro KO      </a:t>
              </a:r>
            </a:p>
          </xdr:txBody>
        </xdr:sp>
        <xdr:clientData fPrintsWithSheet="0"/>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250371</xdr:colOff>
          <xdr:row>4</xdr:row>
          <xdr:rowOff>27214</xdr:rowOff>
        </xdr:from>
        <xdr:to>
          <xdr:col>11</xdr:col>
          <xdr:colOff>1447800</xdr:colOff>
          <xdr:row>6</xdr:row>
          <xdr:rowOff>97971</xdr:rowOff>
        </xdr:to>
        <xdr:sp macro="" textlink="">
          <xdr:nvSpPr>
            <xdr:cNvPr id="26625" name="Button 1" hidden="1">
              <a:extLst>
                <a:ext uri="{63B3BB69-23CF-44E3-9099-C40C66FF867C}">
                  <a14:compatExt spid="_x0000_s26625"/>
                </a:ext>
                <a:ext uri="{FF2B5EF4-FFF2-40B4-BE49-F238E27FC236}">
                  <a16:creationId xmlns:a16="http://schemas.microsoft.com/office/drawing/2014/main" id="{00000000-0008-0000-1300-00000168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250371</xdr:colOff>
          <xdr:row>2</xdr:row>
          <xdr:rowOff>103414</xdr:rowOff>
        </xdr:from>
        <xdr:to>
          <xdr:col>7</xdr:col>
          <xdr:colOff>1447800</xdr:colOff>
          <xdr:row>4</xdr:row>
          <xdr:rowOff>59871</xdr:rowOff>
        </xdr:to>
        <xdr:sp macro="" textlink="">
          <xdr:nvSpPr>
            <xdr:cNvPr id="26626" name="Button 2" hidden="1">
              <a:extLst>
                <a:ext uri="{63B3BB69-23CF-44E3-9099-C40C66FF867C}">
                  <a14:compatExt spid="_x0000_s26626"/>
                </a:ext>
                <a:ext uri="{FF2B5EF4-FFF2-40B4-BE49-F238E27FC236}">
                  <a16:creationId xmlns:a16="http://schemas.microsoft.com/office/drawing/2014/main" id="{00000000-0008-0000-1300-00000268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Losovat hřiště       1-16 pro KO      </a:t>
              </a:r>
            </a:p>
          </xdr:txBody>
        </xdr:sp>
        <xdr:clientData fPrintsWithSheet="0"/>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250371</xdr:colOff>
          <xdr:row>4</xdr:row>
          <xdr:rowOff>27214</xdr:rowOff>
        </xdr:from>
        <xdr:to>
          <xdr:col>11</xdr:col>
          <xdr:colOff>1447800</xdr:colOff>
          <xdr:row>6</xdr:row>
          <xdr:rowOff>97971</xdr:rowOff>
        </xdr:to>
        <xdr:sp macro="" textlink="">
          <xdr:nvSpPr>
            <xdr:cNvPr id="27650" name="Button 2" hidden="1">
              <a:extLst>
                <a:ext uri="{63B3BB69-23CF-44E3-9099-C40C66FF867C}">
                  <a14:compatExt spid="_x0000_s27650"/>
                </a:ext>
                <a:ext uri="{FF2B5EF4-FFF2-40B4-BE49-F238E27FC236}">
                  <a16:creationId xmlns:a16="http://schemas.microsoft.com/office/drawing/2014/main" id="{00000000-0008-0000-1400-0000026C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250371</xdr:colOff>
          <xdr:row>2</xdr:row>
          <xdr:rowOff>103414</xdr:rowOff>
        </xdr:from>
        <xdr:to>
          <xdr:col>7</xdr:col>
          <xdr:colOff>1447800</xdr:colOff>
          <xdr:row>4</xdr:row>
          <xdr:rowOff>59871</xdr:rowOff>
        </xdr:to>
        <xdr:sp macro="" textlink="">
          <xdr:nvSpPr>
            <xdr:cNvPr id="27651" name="Button 3" hidden="1">
              <a:extLst>
                <a:ext uri="{63B3BB69-23CF-44E3-9099-C40C66FF867C}">
                  <a14:compatExt spid="_x0000_s27651"/>
                </a:ext>
                <a:ext uri="{FF2B5EF4-FFF2-40B4-BE49-F238E27FC236}">
                  <a16:creationId xmlns:a16="http://schemas.microsoft.com/office/drawing/2014/main" id="{00000000-0008-0000-1400-0000036C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Losovat hřitě    1-8 pro KO      </a:t>
              </a:r>
            </a:p>
          </xdr:txBody>
        </xdr:sp>
        <xdr:clientData fPrintsWithSheet="0"/>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342900</xdr:colOff>
          <xdr:row>1</xdr:row>
          <xdr:rowOff>103414</xdr:rowOff>
        </xdr:from>
        <xdr:to>
          <xdr:col>11</xdr:col>
          <xdr:colOff>1545771</xdr:colOff>
          <xdr:row>2</xdr:row>
          <xdr:rowOff>239486</xdr:rowOff>
        </xdr:to>
        <xdr:sp macro="" textlink="">
          <xdr:nvSpPr>
            <xdr:cNvPr id="8197" name="Button 5" hidden="1">
              <a:extLst>
                <a:ext uri="{63B3BB69-23CF-44E3-9099-C40C66FF867C}">
                  <a14:compatExt spid="_x0000_s8197"/>
                </a:ext>
                <a:ext uri="{FF2B5EF4-FFF2-40B4-BE49-F238E27FC236}">
                  <a16:creationId xmlns:a16="http://schemas.microsoft.com/office/drawing/2014/main" id="{00000000-0008-0000-1500-00000520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250371</xdr:colOff>
          <xdr:row>4</xdr:row>
          <xdr:rowOff>27214</xdr:rowOff>
        </xdr:from>
        <xdr:to>
          <xdr:col>11</xdr:col>
          <xdr:colOff>1447800</xdr:colOff>
          <xdr:row>6</xdr:row>
          <xdr:rowOff>97971</xdr:rowOff>
        </xdr:to>
        <xdr:sp macro="" textlink="">
          <xdr:nvSpPr>
            <xdr:cNvPr id="28673" name="Button 1" hidden="1">
              <a:extLst>
                <a:ext uri="{63B3BB69-23CF-44E3-9099-C40C66FF867C}">
                  <a14:compatExt spid="_x0000_s28673"/>
                </a:ext>
                <a:ext uri="{FF2B5EF4-FFF2-40B4-BE49-F238E27FC236}">
                  <a16:creationId xmlns:a16="http://schemas.microsoft.com/office/drawing/2014/main" id="{00000000-0008-0000-1600-00000170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250371</xdr:colOff>
          <xdr:row>2</xdr:row>
          <xdr:rowOff>103414</xdr:rowOff>
        </xdr:from>
        <xdr:to>
          <xdr:col>7</xdr:col>
          <xdr:colOff>1551214</xdr:colOff>
          <xdr:row>4</xdr:row>
          <xdr:rowOff>59871</xdr:rowOff>
        </xdr:to>
        <xdr:sp macro="" textlink="">
          <xdr:nvSpPr>
            <xdr:cNvPr id="28674" name="Button 2" hidden="1">
              <a:extLst>
                <a:ext uri="{63B3BB69-23CF-44E3-9099-C40C66FF867C}">
                  <a14:compatExt spid="_x0000_s28674"/>
                </a:ext>
                <a:ext uri="{FF2B5EF4-FFF2-40B4-BE49-F238E27FC236}">
                  <a16:creationId xmlns:a16="http://schemas.microsoft.com/office/drawing/2014/main" id="{00000000-0008-0000-1600-00000270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Losovat hřiště         1-4 pro KO      </a:t>
              </a:r>
            </a:p>
          </xdr:txBody>
        </xdr:sp>
        <xdr:clientData fPrintsWithSheet="0"/>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353786</xdr:colOff>
          <xdr:row>1</xdr:row>
          <xdr:rowOff>125186</xdr:rowOff>
        </xdr:from>
        <xdr:to>
          <xdr:col>11</xdr:col>
          <xdr:colOff>1551214</xdr:colOff>
          <xdr:row>2</xdr:row>
          <xdr:rowOff>250371</xdr:rowOff>
        </xdr:to>
        <xdr:sp macro="" textlink="">
          <xdr:nvSpPr>
            <xdr:cNvPr id="29697" name="Button 1" hidden="1">
              <a:extLst>
                <a:ext uri="{63B3BB69-23CF-44E3-9099-C40C66FF867C}">
                  <a14:compatExt spid="_x0000_s29697"/>
                </a:ext>
                <a:ext uri="{FF2B5EF4-FFF2-40B4-BE49-F238E27FC236}">
                  <a16:creationId xmlns:a16="http://schemas.microsoft.com/office/drawing/2014/main" id="{00000000-0008-0000-1700-00000174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3" Type="http://schemas.openxmlformats.org/officeDocument/2006/relationships/hyperlink" Target="https://czechpetanque.cz/odhlasit.html?pr=57788" TargetMode="External"/><Relationship Id="rId18" Type="http://schemas.openxmlformats.org/officeDocument/2006/relationships/hyperlink" Target="https://czechpetanque.cz/odhlasit.html?pr=57849" TargetMode="External"/><Relationship Id="rId26" Type="http://schemas.openxmlformats.org/officeDocument/2006/relationships/hyperlink" Target="https://czechpetanque.cz/odhlasit.html?pr=57771" TargetMode="External"/><Relationship Id="rId39" Type="http://schemas.openxmlformats.org/officeDocument/2006/relationships/hyperlink" Target="https://czechpetanque.cz/odhlasit.html?pr=57709" TargetMode="External"/><Relationship Id="rId21" Type="http://schemas.openxmlformats.org/officeDocument/2006/relationships/hyperlink" Target="https://czechpetanque.cz/odhlasit.html?pr=57768" TargetMode="External"/><Relationship Id="rId34" Type="http://schemas.openxmlformats.org/officeDocument/2006/relationships/hyperlink" Target="https://czechpetanque.cz/odhlasit.html?pr=57775" TargetMode="External"/><Relationship Id="rId42" Type="http://schemas.openxmlformats.org/officeDocument/2006/relationships/hyperlink" Target="https://czechpetanque.cz/odhlasit.html?pr=58040" TargetMode="External"/><Relationship Id="rId47" Type="http://schemas.openxmlformats.org/officeDocument/2006/relationships/hyperlink" Target="https://czechpetanque.cz/odhlasit.html?pr=57816" TargetMode="External"/><Relationship Id="rId50" Type="http://schemas.openxmlformats.org/officeDocument/2006/relationships/hyperlink" Target="https://czechpetanque.cz/odhlasit.html?pr=57778" TargetMode="External"/><Relationship Id="rId55" Type="http://schemas.openxmlformats.org/officeDocument/2006/relationships/hyperlink" Target="https://czechpetanque.cz/odhlasit.html?pr=57719" TargetMode="External"/><Relationship Id="rId7" Type="http://schemas.openxmlformats.org/officeDocument/2006/relationships/hyperlink" Target="https://czechpetanque.cz/odhlasit.html?pr=57812" TargetMode="External"/><Relationship Id="rId2" Type="http://schemas.openxmlformats.org/officeDocument/2006/relationships/hyperlink" Target="https://czechpetanque.cz/odhlasit.html?pr=58373" TargetMode="External"/><Relationship Id="rId16" Type="http://schemas.openxmlformats.org/officeDocument/2006/relationships/hyperlink" Target="https://czechpetanque.cz/odhlasit.html?pr=57806" TargetMode="External"/><Relationship Id="rId29" Type="http://schemas.openxmlformats.org/officeDocument/2006/relationships/hyperlink" Target="https://czechpetanque.cz/odhlasit.html?pr=57801" TargetMode="External"/><Relationship Id="rId11" Type="http://schemas.openxmlformats.org/officeDocument/2006/relationships/hyperlink" Target="https://czechpetanque.cz/odhlasit.html?pr=58345" TargetMode="External"/><Relationship Id="rId24" Type="http://schemas.openxmlformats.org/officeDocument/2006/relationships/hyperlink" Target="https://czechpetanque.cz/odhlasit.html?pr=57784" TargetMode="External"/><Relationship Id="rId32" Type="http://schemas.openxmlformats.org/officeDocument/2006/relationships/hyperlink" Target="https://czechpetanque.cz/odhlasit.html?pr=58406" TargetMode="External"/><Relationship Id="rId37" Type="http://schemas.openxmlformats.org/officeDocument/2006/relationships/hyperlink" Target="https://czechpetanque.cz/odhlasit.html?pr=58322" TargetMode="External"/><Relationship Id="rId40" Type="http://schemas.openxmlformats.org/officeDocument/2006/relationships/hyperlink" Target="https://czechpetanque.cz/odhlasit.html?pr=57783" TargetMode="External"/><Relationship Id="rId45" Type="http://schemas.openxmlformats.org/officeDocument/2006/relationships/hyperlink" Target="https://czechpetanque.cz/odhlasit.html?pr=57726" TargetMode="External"/><Relationship Id="rId53" Type="http://schemas.openxmlformats.org/officeDocument/2006/relationships/hyperlink" Target="https://czechpetanque.cz/odhlasit.html?pr=57716" TargetMode="External"/><Relationship Id="rId58" Type="http://schemas.openxmlformats.org/officeDocument/2006/relationships/hyperlink" Target="https://czechpetanque.cz/odhlasit.html?pr=57722" TargetMode="External"/><Relationship Id="rId5" Type="http://schemas.openxmlformats.org/officeDocument/2006/relationships/hyperlink" Target="https://czechpetanque.cz/odhlasit.html?pr=57766" TargetMode="External"/><Relationship Id="rId19" Type="http://schemas.openxmlformats.org/officeDocument/2006/relationships/hyperlink" Target="https://czechpetanque.cz/odhlasit.html?pr=58419" TargetMode="External"/><Relationship Id="rId4" Type="http://schemas.openxmlformats.org/officeDocument/2006/relationships/hyperlink" Target="https://czechpetanque.cz/odhlasit.html?pr=58374" TargetMode="External"/><Relationship Id="rId9" Type="http://schemas.openxmlformats.org/officeDocument/2006/relationships/hyperlink" Target="https://czechpetanque.cz/odhlasit.html?pr=57848" TargetMode="External"/><Relationship Id="rId14" Type="http://schemas.openxmlformats.org/officeDocument/2006/relationships/hyperlink" Target="https://czechpetanque.cz/odhlasit.html?pr=58350" TargetMode="External"/><Relationship Id="rId22" Type="http://schemas.openxmlformats.org/officeDocument/2006/relationships/hyperlink" Target="https://czechpetanque.cz/odhlasit.html?pr=57786" TargetMode="External"/><Relationship Id="rId27" Type="http://schemas.openxmlformats.org/officeDocument/2006/relationships/hyperlink" Target="https://czechpetanque.cz/odhlasit.html?pr=57791" TargetMode="External"/><Relationship Id="rId30" Type="http://schemas.openxmlformats.org/officeDocument/2006/relationships/hyperlink" Target="https://czechpetanque.cz/odhlasit.html?pr=57813" TargetMode="External"/><Relationship Id="rId35" Type="http://schemas.openxmlformats.org/officeDocument/2006/relationships/hyperlink" Target="https://czechpetanque.cz/odhlasit.html?pr=57767" TargetMode="External"/><Relationship Id="rId43" Type="http://schemas.openxmlformats.org/officeDocument/2006/relationships/hyperlink" Target="https://czechpetanque.cz/odhlasit.html?pr=57712" TargetMode="External"/><Relationship Id="rId48" Type="http://schemas.openxmlformats.org/officeDocument/2006/relationships/hyperlink" Target="https://czechpetanque.cz/odhlasit.html?pr=57723" TargetMode="External"/><Relationship Id="rId56" Type="http://schemas.openxmlformats.org/officeDocument/2006/relationships/hyperlink" Target="https://czechpetanque.cz/odhlasit.html?pr=57721" TargetMode="External"/><Relationship Id="rId8" Type="http://schemas.openxmlformats.org/officeDocument/2006/relationships/hyperlink" Target="https://czechpetanque.cz/odhlasit.html?pr=57789" TargetMode="External"/><Relationship Id="rId51" Type="http://schemas.openxmlformats.org/officeDocument/2006/relationships/hyperlink" Target="https://czechpetanque.cz/odhlasit.html?pr=57715" TargetMode="External"/><Relationship Id="rId3" Type="http://schemas.openxmlformats.org/officeDocument/2006/relationships/hyperlink" Target="https://czechpetanque.cz/odhlasit.html?pr=57769" TargetMode="External"/><Relationship Id="rId12" Type="http://schemas.openxmlformats.org/officeDocument/2006/relationships/hyperlink" Target="https://czechpetanque.cz/odhlasit.html?pr=58405" TargetMode="External"/><Relationship Id="rId17" Type="http://schemas.openxmlformats.org/officeDocument/2006/relationships/hyperlink" Target="https://czechpetanque.cz/odhlasit.html?pr=58305" TargetMode="External"/><Relationship Id="rId25" Type="http://schemas.openxmlformats.org/officeDocument/2006/relationships/hyperlink" Target="https://czechpetanque.cz/odhlasit.html?pr=58109" TargetMode="External"/><Relationship Id="rId33" Type="http://schemas.openxmlformats.org/officeDocument/2006/relationships/hyperlink" Target="https://czechpetanque.cz/odhlasit.html?pr=57772" TargetMode="External"/><Relationship Id="rId38" Type="http://schemas.openxmlformats.org/officeDocument/2006/relationships/hyperlink" Target="https://czechpetanque.cz/odhlasit.html?pr=57774" TargetMode="External"/><Relationship Id="rId46" Type="http://schemas.openxmlformats.org/officeDocument/2006/relationships/hyperlink" Target="https://czechpetanque.cz/odhlasit.html?pr=57724" TargetMode="External"/><Relationship Id="rId59" Type="http://schemas.openxmlformats.org/officeDocument/2006/relationships/printerSettings" Target="../printerSettings/printerSettings4.bin"/><Relationship Id="rId20" Type="http://schemas.openxmlformats.org/officeDocument/2006/relationships/hyperlink" Target="https://czechpetanque.cz/odhlasit.html?pr=58430" TargetMode="External"/><Relationship Id="rId41" Type="http://schemas.openxmlformats.org/officeDocument/2006/relationships/hyperlink" Target="https://czechpetanque.cz/odhlasit.html?pr=58411" TargetMode="External"/><Relationship Id="rId54" Type="http://schemas.openxmlformats.org/officeDocument/2006/relationships/hyperlink" Target="https://czechpetanque.cz/odhlasit.html?pr=57718" TargetMode="External"/><Relationship Id="rId1" Type="http://schemas.openxmlformats.org/officeDocument/2006/relationships/hyperlink" Target="https://czechpetanque.cz/klub.html?id=5" TargetMode="External"/><Relationship Id="rId6" Type="http://schemas.openxmlformats.org/officeDocument/2006/relationships/hyperlink" Target="https://czechpetanque.cz/odhlasit.html?pr=57811" TargetMode="External"/><Relationship Id="rId15" Type="http://schemas.openxmlformats.org/officeDocument/2006/relationships/hyperlink" Target="https://czechpetanque.cz/odhlasit.html?pr=58378" TargetMode="External"/><Relationship Id="rId23" Type="http://schemas.openxmlformats.org/officeDocument/2006/relationships/hyperlink" Target="https://czechpetanque.cz/odhlasit.html?pr=57807" TargetMode="External"/><Relationship Id="rId28" Type="http://schemas.openxmlformats.org/officeDocument/2006/relationships/hyperlink" Target="https://czechpetanque.cz/odhlasit.html?pr=57776" TargetMode="External"/><Relationship Id="rId36" Type="http://schemas.openxmlformats.org/officeDocument/2006/relationships/hyperlink" Target="https://czechpetanque.cz/odhlasit.html?pr=57796" TargetMode="External"/><Relationship Id="rId49" Type="http://schemas.openxmlformats.org/officeDocument/2006/relationships/hyperlink" Target="https://czechpetanque.cz/odhlasit.html?pr=57794" TargetMode="External"/><Relationship Id="rId57" Type="http://schemas.openxmlformats.org/officeDocument/2006/relationships/hyperlink" Target="https://czechpetanque.cz/odhlasit.html?pr=57720" TargetMode="External"/><Relationship Id="rId10" Type="http://schemas.openxmlformats.org/officeDocument/2006/relationships/hyperlink" Target="https://czechpetanque.cz/odhlasit.html?pr=57782" TargetMode="External"/><Relationship Id="rId31" Type="http://schemas.openxmlformats.org/officeDocument/2006/relationships/hyperlink" Target="https://czechpetanque.cz/odhlasit.html?pr=57787" TargetMode="External"/><Relationship Id="rId44" Type="http://schemas.openxmlformats.org/officeDocument/2006/relationships/hyperlink" Target="https://czechpetanque.cz/odhlasit.html?pr=57725" TargetMode="External"/><Relationship Id="rId52" Type="http://schemas.openxmlformats.org/officeDocument/2006/relationships/hyperlink" Target="https://czechpetanque.cz/odhlasit.html?pr=57717"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comments" Target="../comments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7.bin"/><Relationship Id="rId5" Type="http://schemas.openxmlformats.org/officeDocument/2006/relationships/comments" Target="../comments4.xml"/><Relationship Id="rId4" Type="http://schemas.openxmlformats.org/officeDocument/2006/relationships/ctrlProp" Target="../ctrlProps/ctrlProp3.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8.bin"/><Relationship Id="rId5" Type="http://schemas.openxmlformats.org/officeDocument/2006/relationships/comments" Target="../comments5.xml"/><Relationship Id="rId4" Type="http://schemas.openxmlformats.org/officeDocument/2006/relationships/ctrlProp" Target="../ctrlProps/ctrlProp4.xml"/></Relationships>
</file>

<file path=xl/worksheets/_rels/sheet11.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4.xml"/><Relationship Id="rId1" Type="http://schemas.openxmlformats.org/officeDocument/2006/relationships/printerSettings" Target="../printerSettings/printerSettings10.bin"/><Relationship Id="rId4" Type="http://schemas.openxmlformats.org/officeDocument/2006/relationships/ctrlProp" Target="../ctrlProps/ctrlProp5.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5.xml"/><Relationship Id="rId1" Type="http://schemas.openxmlformats.org/officeDocument/2006/relationships/printerSettings" Target="../printerSettings/printerSettings11.bin"/><Relationship Id="rId5" Type="http://schemas.openxmlformats.org/officeDocument/2006/relationships/ctrlProp" Target="../ctrlProps/ctrlProp7.xml"/><Relationship Id="rId4" Type="http://schemas.openxmlformats.org/officeDocument/2006/relationships/ctrlProp" Target="../ctrlProps/ctrlProp6.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6.xml"/><Relationship Id="rId1" Type="http://schemas.openxmlformats.org/officeDocument/2006/relationships/printerSettings" Target="../printerSettings/printerSettings12.bin"/><Relationship Id="rId5" Type="http://schemas.openxmlformats.org/officeDocument/2006/relationships/ctrlProp" Target="../ctrlProps/ctrlProp9.xml"/><Relationship Id="rId4" Type="http://schemas.openxmlformats.org/officeDocument/2006/relationships/ctrlProp" Target="../ctrlProps/ctrlProp8.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7.xml"/><Relationship Id="rId1" Type="http://schemas.openxmlformats.org/officeDocument/2006/relationships/printerSettings" Target="../printerSettings/printerSettings13.bin"/><Relationship Id="rId5" Type="http://schemas.openxmlformats.org/officeDocument/2006/relationships/ctrlProp" Target="../ctrlProps/ctrlProp11.xml"/><Relationship Id="rId4" Type="http://schemas.openxmlformats.org/officeDocument/2006/relationships/ctrlProp" Target="../ctrlProps/ctrlProp10.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8.xml"/><Relationship Id="rId1" Type="http://schemas.openxmlformats.org/officeDocument/2006/relationships/printerSettings" Target="../printerSettings/printerSettings14.bin"/><Relationship Id="rId5" Type="http://schemas.openxmlformats.org/officeDocument/2006/relationships/ctrlProp" Target="../ctrlProps/ctrlProp13.xml"/><Relationship Id="rId4" Type="http://schemas.openxmlformats.org/officeDocument/2006/relationships/ctrlProp" Target="../ctrlProps/ctrlProp12.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9.xml"/><Relationship Id="rId1" Type="http://schemas.openxmlformats.org/officeDocument/2006/relationships/printerSettings" Target="../printerSettings/printerSettings15.bin"/><Relationship Id="rId5" Type="http://schemas.openxmlformats.org/officeDocument/2006/relationships/ctrlProp" Target="../ctrlProps/ctrlProp15.xml"/><Relationship Id="rId4" Type="http://schemas.openxmlformats.org/officeDocument/2006/relationships/ctrlProp" Target="../ctrlProps/ctrlProp14.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0.xml"/><Relationship Id="rId1" Type="http://schemas.openxmlformats.org/officeDocument/2006/relationships/printerSettings" Target="../printerSettings/printerSettings16.bin"/><Relationship Id="rId5" Type="http://schemas.openxmlformats.org/officeDocument/2006/relationships/ctrlProp" Target="../ctrlProps/ctrlProp17.xml"/><Relationship Id="rId4" Type="http://schemas.openxmlformats.org/officeDocument/2006/relationships/ctrlProp" Target="../ctrlProps/ctrlProp16.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1.xml"/><Relationship Id="rId1" Type="http://schemas.openxmlformats.org/officeDocument/2006/relationships/printerSettings" Target="../printerSettings/printerSettings17.bin"/><Relationship Id="rId5" Type="http://schemas.openxmlformats.org/officeDocument/2006/relationships/ctrlProp" Target="../ctrlProps/ctrlProp19.xml"/><Relationship Id="rId4" Type="http://schemas.openxmlformats.org/officeDocument/2006/relationships/ctrlProp" Target="../ctrlProps/ctrlProp18.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2.xml"/><Relationship Id="rId1" Type="http://schemas.openxmlformats.org/officeDocument/2006/relationships/printerSettings" Target="../printerSettings/printerSettings18.bin"/><Relationship Id="rId4" Type="http://schemas.openxmlformats.org/officeDocument/2006/relationships/ctrlProp" Target="../ctrlProps/ctrlProp20.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3.xml"/><Relationship Id="rId1" Type="http://schemas.openxmlformats.org/officeDocument/2006/relationships/printerSettings" Target="../printerSettings/printerSettings19.bin"/><Relationship Id="rId5" Type="http://schemas.openxmlformats.org/officeDocument/2006/relationships/ctrlProp" Target="../ctrlProps/ctrlProp22.xml"/><Relationship Id="rId4" Type="http://schemas.openxmlformats.org/officeDocument/2006/relationships/ctrlProp" Target="../ctrlProps/ctrlProp21.xm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4.xml"/><Relationship Id="rId1" Type="http://schemas.openxmlformats.org/officeDocument/2006/relationships/printerSettings" Target="../printerSettings/printerSettings20.bin"/><Relationship Id="rId4" Type="http://schemas.openxmlformats.org/officeDocument/2006/relationships/ctrlProp" Target="../ctrlProps/ctrlProp23.xml"/></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18.vml"/></Relationships>
</file>

<file path=xl/worksheets/_rels/sheet3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9.vml"/><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tabColor theme="6" tint="-0.499984740745262"/>
  </sheetPr>
  <dimension ref="A1:M161"/>
  <sheetViews>
    <sheetView workbookViewId="0">
      <pane xSplit="1" ySplit="2" topLeftCell="B3" activePane="bottomRight" state="frozen"/>
      <selection pane="topRight"/>
      <selection pane="bottomLeft"/>
      <selection pane="bottomRight" activeCell="B3" sqref="B3"/>
    </sheetView>
  </sheetViews>
  <sheetFormatPr defaultColWidth="11.4140625" defaultRowHeight="12" x14ac:dyDescent="0.4"/>
  <cols>
    <col min="1" max="1" width="5.1640625" customWidth="1"/>
    <col min="2" max="7" width="11.4140625" customWidth="1"/>
    <col min="8" max="8" width="17.4140625" customWidth="1"/>
    <col min="9" max="10" width="11.4140625" customWidth="1"/>
    <col min="11" max="11" width="13.58203125" customWidth="1"/>
  </cols>
  <sheetData>
    <row r="1" spans="2:8" ht="15.45" thickBot="1" x14ac:dyDescent="0.55000000000000004">
      <c r="B1" s="465" t="s">
        <v>0</v>
      </c>
      <c r="C1" s="466"/>
      <c r="D1" s="466"/>
      <c r="E1" s="466"/>
      <c r="F1" s="466"/>
      <c r="G1" s="466"/>
      <c r="H1" s="467"/>
    </row>
    <row r="2" spans="2:8" ht="24.45" x14ac:dyDescent="0.8">
      <c r="B2" s="468" t="s">
        <v>1</v>
      </c>
      <c r="C2" s="469"/>
      <c r="D2" s="469"/>
      <c r="E2" s="469"/>
      <c r="F2" s="469"/>
      <c r="G2" s="469"/>
      <c r="H2" s="469"/>
    </row>
    <row r="3" spans="2:8" ht="12.9" x14ac:dyDescent="0.45">
      <c r="B3" s="136" t="s">
        <v>2</v>
      </c>
      <c r="C3" s="137"/>
      <c r="D3" s="137"/>
      <c r="E3" s="137"/>
      <c r="F3" s="137"/>
      <c r="G3" s="137"/>
      <c r="H3" s="137"/>
    </row>
    <row r="4" spans="2:8" ht="18.45" x14ac:dyDescent="0.6">
      <c r="B4" s="263" t="s">
        <v>3</v>
      </c>
      <c r="C4" s="264"/>
      <c r="D4" s="264"/>
      <c r="E4" s="264"/>
      <c r="F4" s="264"/>
      <c r="G4" s="264"/>
      <c r="H4" s="264"/>
    </row>
    <row r="5" spans="2:8" ht="12.9" x14ac:dyDescent="0.45">
      <c r="B5" s="263" t="s">
        <v>4</v>
      </c>
      <c r="C5" s="264"/>
      <c r="D5" s="264"/>
      <c r="E5" s="264"/>
      <c r="F5" s="264"/>
      <c r="G5" s="264"/>
      <c r="H5" s="264"/>
    </row>
    <row r="6" spans="2:8" ht="12.9" x14ac:dyDescent="0.45">
      <c r="B6" s="263" t="s">
        <v>5</v>
      </c>
      <c r="C6" s="264"/>
      <c r="D6" s="264"/>
      <c r="E6" s="264"/>
      <c r="F6" s="264"/>
      <c r="G6" s="264"/>
      <c r="H6" s="264"/>
    </row>
    <row r="7" spans="2:8" ht="12.9" x14ac:dyDescent="0.45">
      <c r="B7" s="263" t="s">
        <v>6</v>
      </c>
      <c r="C7" s="137"/>
      <c r="D7" s="137"/>
      <c r="E7" s="137"/>
      <c r="F7" s="137"/>
      <c r="G7" s="137"/>
      <c r="H7" s="137"/>
    </row>
    <row r="8" spans="2:8" ht="12.9" x14ac:dyDescent="0.45">
      <c r="B8" s="263" t="s">
        <v>7</v>
      </c>
      <c r="C8" s="137"/>
      <c r="D8" s="137"/>
      <c r="E8" s="137"/>
      <c r="F8" s="137"/>
      <c r="G8" s="137"/>
      <c r="H8" s="137"/>
    </row>
    <row r="9" spans="2:8" x14ac:dyDescent="0.4">
      <c r="B9" s="137" t="s">
        <v>8</v>
      </c>
      <c r="C9" s="137"/>
      <c r="D9" s="137"/>
      <c r="E9" s="137"/>
      <c r="F9" s="137"/>
      <c r="G9" s="137"/>
      <c r="H9" s="137"/>
    </row>
    <row r="10" spans="2:8" x14ac:dyDescent="0.4">
      <c r="B10" s="137" t="s">
        <v>9</v>
      </c>
      <c r="C10" s="137"/>
      <c r="D10" s="137"/>
      <c r="E10" s="137"/>
      <c r="F10" s="137"/>
      <c r="G10" s="137"/>
      <c r="H10" s="137"/>
    </row>
    <row r="11" spans="2:8" x14ac:dyDescent="0.4">
      <c r="B11" s="137" t="s">
        <v>10</v>
      </c>
      <c r="C11" s="137"/>
      <c r="D11" s="137"/>
      <c r="E11" s="137"/>
      <c r="F11" s="137"/>
      <c r="G11" s="137"/>
      <c r="H11" s="137"/>
    </row>
    <row r="12" spans="2:8" x14ac:dyDescent="0.4">
      <c r="B12" s="137" t="s">
        <v>11</v>
      </c>
      <c r="C12" s="137"/>
      <c r="D12" s="137"/>
      <c r="E12" s="137"/>
      <c r="F12" s="137"/>
      <c r="G12" s="137"/>
      <c r="H12" s="137"/>
    </row>
    <row r="13" spans="2:8" x14ac:dyDescent="0.4">
      <c r="B13" s="137" t="s">
        <v>12</v>
      </c>
      <c r="C13" s="137"/>
      <c r="D13" s="137"/>
      <c r="E13" s="137"/>
      <c r="F13" s="137"/>
      <c r="G13" s="137"/>
      <c r="H13" s="137"/>
    </row>
    <row r="14" spans="2:8" x14ac:dyDescent="0.4">
      <c r="B14" s="137" t="s">
        <v>13</v>
      </c>
      <c r="C14" s="137"/>
      <c r="D14" s="137"/>
      <c r="E14" s="137"/>
      <c r="F14" s="137"/>
      <c r="G14" s="137"/>
      <c r="H14" s="137"/>
    </row>
    <row r="15" spans="2:8" x14ac:dyDescent="0.4">
      <c r="B15" s="137" t="s">
        <v>14</v>
      </c>
      <c r="C15" s="137"/>
      <c r="D15" s="137"/>
      <c r="E15" s="137"/>
      <c r="F15" s="137"/>
      <c r="G15" s="137"/>
      <c r="H15" s="137"/>
    </row>
    <row r="16" spans="2:8" x14ac:dyDescent="0.4">
      <c r="B16" s="137" t="s">
        <v>15</v>
      </c>
      <c r="C16" s="137"/>
      <c r="D16" s="137"/>
      <c r="E16" s="137"/>
      <c r="F16" s="137"/>
      <c r="G16" s="137"/>
      <c r="H16" s="137"/>
    </row>
    <row r="17" spans="1:10" x14ac:dyDescent="0.4">
      <c r="A17" s="133" t="s">
        <v>16</v>
      </c>
      <c r="B17" s="137" t="s">
        <v>17</v>
      </c>
      <c r="C17" s="137"/>
      <c r="D17" s="137"/>
      <c r="E17" s="137"/>
      <c r="F17" s="137"/>
      <c r="G17" s="137"/>
      <c r="H17" s="137"/>
    </row>
    <row r="18" spans="1:10" x14ac:dyDescent="0.4">
      <c r="A18" s="133" t="s">
        <v>16</v>
      </c>
      <c r="B18" s="137" t="s">
        <v>18</v>
      </c>
      <c r="C18" s="137"/>
      <c r="D18" s="137"/>
      <c r="E18" s="137"/>
      <c r="F18" s="137"/>
      <c r="G18" s="137"/>
      <c r="H18" s="137"/>
    </row>
    <row r="20" spans="1:10" x14ac:dyDescent="0.4">
      <c r="B20" t="s">
        <v>19</v>
      </c>
    </row>
    <row r="21" spans="1:10" ht="12.9" x14ac:dyDescent="0.45">
      <c r="B21" s="135" t="s">
        <v>20</v>
      </c>
      <c r="C21" s="3" t="s">
        <v>21</v>
      </c>
      <c r="D21" t="s">
        <v>22</v>
      </c>
    </row>
    <row r="22" spans="1:10" ht="12.9" x14ac:dyDescent="0.45">
      <c r="B22" s="136" t="s">
        <v>23</v>
      </c>
      <c r="C22" s="137"/>
      <c r="D22" s="138"/>
      <c r="E22" s="137"/>
      <c r="F22" s="137"/>
      <c r="G22" s="137"/>
      <c r="H22" s="137"/>
      <c r="I22" s="137"/>
      <c r="J22" s="137"/>
    </row>
    <row r="24" spans="1:10" ht="12.9" x14ac:dyDescent="0.45">
      <c r="A24" s="265" t="s">
        <v>24</v>
      </c>
      <c r="B24" s="266"/>
      <c r="C24" s="266"/>
      <c r="D24" s="266"/>
      <c r="E24" s="266"/>
      <c r="F24" s="266"/>
      <c r="G24" s="266"/>
      <c r="H24" s="266"/>
    </row>
    <row r="25" spans="1:10" ht="12.9" x14ac:dyDescent="0.45">
      <c r="A25" t="s">
        <v>25</v>
      </c>
      <c r="B25" t="s">
        <v>26</v>
      </c>
    </row>
    <row r="26" spans="1:10" x14ac:dyDescent="0.4">
      <c r="A26" t="s">
        <v>27</v>
      </c>
      <c r="B26" t="s">
        <v>28</v>
      </c>
    </row>
    <row r="27" spans="1:10" x14ac:dyDescent="0.4">
      <c r="A27" t="s">
        <v>29</v>
      </c>
      <c r="B27" t="s">
        <v>30</v>
      </c>
    </row>
    <row r="28" spans="1:10" x14ac:dyDescent="0.4">
      <c r="B28" t="s">
        <v>31</v>
      </c>
    </row>
    <row r="29" spans="1:10" ht="12.9" x14ac:dyDescent="0.45">
      <c r="A29" s="267" t="s">
        <v>32</v>
      </c>
    </row>
    <row r="30" spans="1:10" ht="12.9" x14ac:dyDescent="0.45">
      <c r="A30" s="267"/>
      <c r="B30" t="s">
        <v>33</v>
      </c>
    </row>
    <row r="31" spans="1:10" x14ac:dyDescent="0.4">
      <c r="B31" t="s">
        <v>34</v>
      </c>
    </row>
    <row r="32" spans="1:10" ht="12.9" x14ac:dyDescent="0.45">
      <c r="B32" s="268" t="s">
        <v>35</v>
      </c>
    </row>
    <row r="34" spans="1:12" ht="12.9" x14ac:dyDescent="0.45">
      <c r="A34" s="265" t="s">
        <v>36</v>
      </c>
      <c r="B34" s="266"/>
      <c r="C34" s="266"/>
      <c r="D34" s="266"/>
      <c r="E34" s="266"/>
      <c r="F34" s="266"/>
      <c r="G34" s="266"/>
      <c r="H34" s="266"/>
    </row>
    <row r="36" spans="1:12" ht="12.9" x14ac:dyDescent="0.45">
      <c r="A36" t="s">
        <v>37</v>
      </c>
    </row>
    <row r="37" spans="1:12" x14ac:dyDescent="0.4">
      <c r="A37" s="133" t="s">
        <v>38</v>
      </c>
      <c r="B37" s="139" t="s">
        <v>39</v>
      </c>
      <c r="C37" s="139"/>
      <c r="D37" s="139"/>
      <c r="E37" s="139"/>
      <c r="F37" s="139"/>
      <c r="G37" s="139"/>
      <c r="H37" s="139"/>
      <c r="I37" s="139"/>
      <c r="J37" s="139"/>
      <c r="K37" s="139"/>
      <c r="L37" s="139"/>
    </row>
    <row r="38" spans="1:12" ht="12.9" x14ac:dyDescent="0.45">
      <c r="A38" s="133"/>
      <c r="B38" s="139" t="s">
        <v>40</v>
      </c>
      <c r="C38" s="139"/>
      <c r="D38" s="139"/>
      <c r="E38" s="139"/>
      <c r="F38" s="139"/>
      <c r="G38" s="139"/>
      <c r="H38" s="139"/>
      <c r="I38" s="139"/>
      <c r="J38" s="139"/>
      <c r="K38" s="139"/>
      <c r="L38" s="139"/>
    </row>
    <row r="39" spans="1:12" ht="12.9" x14ac:dyDescent="0.45">
      <c r="A39" s="133"/>
      <c r="B39" s="139" t="s">
        <v>41</v>
      </c>
      <c r="C39" s="139"/>
      <c r="D39" s="139"/>
      <c r="E39" s="139"/>
      <c r="F39" s="139"/>
      <c r="G39" s="139"/>
      <c r="H39" s="139"/>
      <c r="I39" s="139"/>
      <c r="J39" s="139"/>
      <c r="K39" s="139"/>
      <c r="L39" s="139"/>
    </row>
    <row r="40" spans="1:12" ht="12.9" x14ac:dyDescent="0.45">
      <c r="A40" s="133"/>
      <c r="B40" s="139" t="s">
        <v>42</v>
      </c>
      <c r="C40" s="139"/>
      <c r="D40" s="139"/>
      <c r="E40" s="139"/>
      <c r="F40" s="139"/>
      <c r="G40" s="139"/>
      <c r="H40" s="139"/>
      <c r="I40" s="139"/>
      <c r="J40" s="139"/>
      <c r="K40" s="139"/>
      <c r="L40" s="139"/>
    </row>
    <row r="41" spans="1:12" ht="12.9" x14ac:dyDescent="0.45">
      <c r="A41" s="133"/>
      <c r="B41" s="139" t="s">
        <v>43</v>
      </c>
      <c r="C41" s="139"/>
      <c r="D41" s="139"/>
      <c r="E41" s="139"/>
      <c r="F41" s="139"/>
      <c r="G41" s="139"/>
      <c r="H41" s="139"/>
      <c r="I41" s="139"/>
      <c r="J41" s="139"/>
      <c r="K41" s="139"/>
      <c r="L41" s="139"/>
    </row>
    <row r="42" spans="1:12" x14ac:dyDescent="0.4">
      <c r="A42" s="133"/>
      <c r="B42" s="139" t="s">
        <v>44</v>
      </c>
      <c r="C42" s="139"/>
      <c r="D42" s="139"/>
      <c r="E42" s="139"/>
      <c r="F42" s="139"/>
      <c r="G42" s="139"/>
      <c r="H42" s="139"/>
      <c r="I42" s="139"/>
      <c r="J42" s="139"/>
      <c r="K42" s="139"/>
      <c r="L42" s="139"/>
    </row>
    <row r="43" spans="1:12" ht="12.9" x14ac:dyDescent="0.45">
      <c r="A43" s="133"/>
      <c r="B43" s="292" t="s">
        <v>45</v>
      </c>
      <c r="C43" s="139"/>
      <c r="D43" s="139"/>
      <c r="E43" s="139"/>
      <c r="F43" s="139"/>
      <c r="G43" s="139"/>
      <c r="H43" s="139"/>
      <c r="I43" s="139"/>
      <c r="J43" s="139"/>
      <c r="K43" s="139"/>
      <c r="L43" s="139"/>
    </row>
    <row r="44" spans="1:12" ht="12.9" x14ac:dyDescent="0.45">
      <c r="A44" s="133"/>
      <c r="B44" s="300" t="s">
        <v>46</v>
      </c>
      <c r="C44" s="139"/>
      <c r="D44" s="139"/>
      <c r="E44" s="139"/>
      <c r="F44" s="139"/>
      <c r="G44" s="139"/>
      <c r="H44" s="139"/>
      <c r="I44" s="139"/>
      <c r="J44" s="139"/>
      <c r="K44" s="139"/>
      <c r="L44" s="139"/>
    </row>
    <row r="45" spans="1:12" ht="12.9" x14ac:dyDescent="0.45">
      <c r="A45" s="133"/>
      <c r="B45" s="438" t="s">
        <v>47</v>
      </c>
      <c r="C45" s="139"/>
      <c r="D45" s="139"/>
      <c r="E45" s="139"/>
      <c r="F45" s="139"/>
      <c r="G45" s="139"/>
      <c r="H45" s="139"/>
      <c r="I45" s="139"/>
      <c r="J45" s="139"/>
      <c r="K45" s="139"/>
      <c r="L45" s="139"/>
    </row>
    <row r="46" spans="1:12" ht="12.9" x14ac:dyDescent="0.45">
      <c r="A46" s="133"/>
      <c r="B46" s="438" t="s">
        <v>48</v>
      </c>
      <c r="C46" s="139"/>
      <c r="D46" s="139"/>
      <c r="E46" s="139"/>
      <c r="F46" s="139"/>
      <c r="G46" s="139"/>
      <c r="H46" s="139"/>
      <c r="I46" s="139"/>
      <c r="J46" s="139"/>
      <c r="K46" s="139"/>
      <c r="L46" s="139"/>
    </row>
    <row r="47" spans="1:12" ht="12.9" x14ac:dyDescent="0.45">
      <c r="A47" s="133"/>
      <c r="B47" s="438" t="s">
        <v>49</v>
      </c>
      <c r="C47" s="139"/>
      <c r="D47" s="139"/>
      <c r="E47" s="139"/>
      <c r="F47" s="139"/>
      <c r="G47" s="139"/>
      <c r="H47" s="139"/>
      <c r="I47" s="139"/>
      <c r="J47" s="139"/>
      <c r="K47" s="139"/>
      <c r="L47" s="139"/>
    </row>
    <row r="48" spans="1:12" ht="12.9" x14ac:dyDescent="0.45">
      <c r="A48" s="133"/>
      <c r="B48" s="440" t="s">
        <v>50</v>
      </c>
      <c r="C48" s="139"/>
      <c r="D48" s="139"/>
      <c r="E48" s="139"/>
      <c r="F48" s="139"/>
      <c r="G48" s="139"/>
      <c r="H48" s="139"/>
      <c r="I48" s="139"/>
      <c r="J48" s="139"/>
      <c r="K48" s="139"/>
      <c r="L48" s="139"/>
    </row>
    <row r="49" spans="1:12" ht="12.9" x14ac:dyDescent="0.45">
      <c r="A49" s="133"/>
      <c r="B49" s="438" t="s">
        <v>51</v>
      </c>
      <c r="C49" s="139"/>
      <c r="D49" s="139"/>
      <c r="E49" s="139"/>
      <c r="F49" s="139"/>
      <c r="G49" s="139"/>
      <c r="H49" s="139"/>
      <c r="I49" s="139"/>
      <c r="J49" s="139"/>
      <c r="K49" s="139"/>
      <c r="L49" s="139"/>
    </row>
    <row r="51" spans="1:12" ht="12.9" x14ac:dyDescent="0.45">
      <c r="A51" t="s">
        <v>52</v>
      </c>
    </row>
    <row r="52" spans="1:12" x14ac:dyDescent="0.4">
      <c r="A52" s="133" t="s">
        <v>38</v>
      </c>
      <c r="B52" t="s">
        <v>53</v>
      </c>
    </row>
    <row r="53" spans="1:12" x14ac:dyDescent="0.4">
      <c r="A53" s="133"/>
      <c r="B53" t="s">
        <v>54</v>
      </c>
    </row>
    <row r="54" spans="1:12" x14ac:dyDescent="0.4">
      <c r="A54" s="133" t="s">
        <v>38</v>
      </c>
      <c r="B54" t="s">
        <v>55</v>
      </c>
    </row>
    <row r="55" spans="1:12" x14ac:dyDescent="0.4">
      <c r="A55" s="133" t="s">
        <v>38</v>
      </c>
      <c r="B55" t="s">
        <v>56</v>
      </c>
    </row>
    <row r="56" spans="1:12" x14ac:dyDescent="0.4">
      <c r="B56" t="s">
        <v>57</v>
      </c>
    </row>
    <row r="57" spans="1:12" x14ac:dyDescent="0.4">
      <c r="A57" s="133" t="s">
        <v>38</v>
      </c>
      <c r="B57" t="s">
        <v>58</v>
      </c>
    </row>
    <row r="58" spans="1:12" x14ac:dyDescent="0.4">
      <c r="A58" s="133" t="s">
        <v>38</v>
      </c>
      <c r="B58" t="s">
        <v>59</v>
      </c>
    </row>
    <row r="59" spans="1:12" x14ac:dyDescent="0.4">
      <c r="B59" t="s">
        <v>60</v>
      </c>
    </row>
    <row r="60" spans="1:12" x14ac:dyDescent="0.4">
      <c r="A60" s="133" t="s">
        <v>38</v>
      </c>
      <c r="B60" t="s">
        <v>61</v>
      </c>
    </row>
    <row r="61" spans="1:12" x14ac:dyDescent="0.4">
      <c r="A61" s="133"/>
      <c r="B61" t="s">
        <v>62</v>
      </c>
    </row>
    <row r="62" spans="1:12" x14ac:dyDescent="0.4">
      <c r="A62" s="133"/>
      <c r="B62" t="s">
        <v>63</v>
      </c>
    </row>
    <row r="63" spans="1:12" x14ac:dyDescent="0.4">
      <c r="A63" s="133" t="s">
        <v>38</v>
      </c>
      <c r="B63" s="137" t="s">
        <v>64</v>
      </c>
      <c r="C63" s="137"/>
      <c r="D63" s="137"/>
      <c r="E63" s="137"/>
      <c r="F63" s="137"/>
      <c r="G63" s="137"/>
      <c r="H63" s="137"/>
      <c r="I63" s="137"/>
      <c r="J63" s="137"/>
      <c r="K63" s="137"/>
      <c r="L63" s="137"/>
    </row>
    <row r="64" spans="1:12" x14ac:dyDescent="0.4">
      <c r="A64" s="133" t="s">
        <v>38</v>
      </c>
      <c r="B64" t="s">
        <v>65</v>
      </c>
    </row>
    <row r="65" spans="1:13" x14ac:dyDescent="0.4">
      <c r="A65" s="133" t="s">
        <v>38</v>
      </c>
      <c r="B65" t="s">
        <v>66</v>
      </c>
    </row>
    <row r="66" spans="1:13" x14ac:dyDescent="0.4">
      <c r="A66" s="133" t="s">
        <v>38</v>
      </c>
      <c r="B66" t="s">
        <v>67</v>
      </c>
    </row>
    <row r="67" spans="1:13" x14ac:dyDescent="0.4">
      <c r="A67" s="133" t="s">
        <v>38</v>
      </c>
      <c r="B67" t="s">
        <v>68</v>
      </c>
    </row>
    <row r="68" spans="1:13" x14ac:dyDescent="0.4">
      <c r="A68" s="133"/>
    </row>
    <row r="69" spans="1:13" ht="12.9" x14ac:dyDescent="0.45">
      <c r="A69" t="s">
        <v>69</v>
      </c>
      <c r="M69" s="285"/>
    </row>
    <row r="70" spans="1:13" ht="12.9" x14ac:dyDescent="0.45">
      <c r="A70" s="133"/>
      <c r="B70" t="s">
        <v>70</v>
      </c>
    </row>
    <row r="71" spans="1:13" x14ac:dyDescent="0.4">
      <c r="A71" s="133"/>
      <c r="B71" t="s">
        <v>71</v>
      </c>
    </row>
    <row r="72" spans="1:13" x14ac:dyDescent="0.4">
      <c r="A72" s="133"/>
      <c r="B72" t="s">
        <v>72</v>
      </c>
    </row>
    <row r="73" spans="1:13" x14ac:dyDescent="0.4">
      <c r="A73" s="133"/>
      <c r="B73" t="s">
        <v>73</v>
      </c>
    </row>
    <row r="74" spans="1:13" x14ac:dyDescent="0.4">
      <c r="A74" s="133"/>
      <c r="B74" t="s">
        <v>74</v>
      </c>
    </row>
    <row r="75" spans="1:13" x14ac:dyDescent="0.4">
      <c r="A75" s="133"/>
      <c r="B75" t="s">
        <v>75</v>
      </c>
    </row>
    <row r="76" spans="1:13" ht="12.9" x14ac:dyDescent="0.45">
      <c r="A76" s="133"/>
      <c r="B76" t="s">
        <v>76</v>
      </c>
    </row>
    <row r="77" spans="1:13" ht="12.9" x14ac:dyDescent="0.45">
      <c r="A77" s="133"/>
      <c r="B77" t="s">
        <v>77</v>
      </c>
    </row>
    <row r="78" spans="1:13" x14ac:dyDescent="0.4">
      <c r="A78" s="133"/>
      <c r="B78" t="s">
        <v>78</v>
      </c>
    </row>
    <row r="79" spans="1:13" ht="12.9" x14ac:dyDescent="0.45">
      <c r="A79" s="133"/>
      <c r="B79" t="s">
        <v>79</v>
      </c>
    </row>
    <row r="80" spans="1:13" ht="12.9" x14ac:dyDescent="0.45">
      <c r="A80" s="133"/>
      <c r="B80" t="s">
        <v>80</v>
      </c>
    </row>
    <row r="81" spans="1:12" x14ac:dyDescent="0.4">
      <c r="A81" s="133"/>
      <c r="B81" s="286" t="s">
        <v>81</v>
      </c>
    </row>
    <row r="82" spans="1:12" x14ac:dyDescent="0.4">
      <c r="A82" s="133"/>
      <c r="B82" t="s">
        <v>82</v>
      </c>
    </row>
    <row r="83" spans="1:12" x14ac:dyDescent="0.4">
      <c r="A83" s="133"/>
      <c r="B83" t="s">
        <v>83</v>
      </c>
    </row>
    <row r="84" spans="1:12" x14ac:dyDescent="0.4">
      <c r="A84" s="133"/>
      <c r="B84" t="s">
        <v>84</v>
      </c>
    </row>
    <row r="85" spans="1:12" x14ac:dyDescent="0.4">
      <c r="A85" s="133"/>
    </row>
    <row r="86" spans="1:12" ht="12.9" x14ac:dyDescent="0.45">
      <c r="A86" s="133"/>
      <c r="B86" t="s">
        <v>85</v>
      </c>
    </row>
    <row r="87" spans="1:12" x14ac:dyDescent="0.4">
      <c r="A87" s="133"/>
      <c r="B87" t="s">
        <v>86</v>
      </c>
    </row>
    <row r="88" spans="1:12" x14ac:dyDescent="0.4">
      <c r="A88" s="133"/>
      <c r="B88" t="s">
        <v>87</v>
      </c>
    </row>
    <row r="89" spans="1:12" x14ac:dyDescent="0.4">
      <c r="A89" s="133"/>
    </row>
    <row r="90" spans="1:12" ht="12.9" x14ac:dyDescent="0.45">
      <c r="A90" t="s">
        <v>88</v>
      </c>
      <c r="B90" s="139"/>
      <c r="C90" s="139"/>
      <c r="D90" s="139"/>
      <c r="E90" s="139"/>
      <c r="F90" s="139"/>
      <c r="G90" s="139"/>
      <c r="H90" s="139"/>
      <c r="I90" s="139"/>
      <c r="J90" s="139"/>
      <c r="K90" s="139"/>
      <c r="L90" s="139"/>
    </row>
    <row r="91" spans="1:12" x14ac:dyDescent="0.4">
      <c r="A91" s="133" t="s">
        <v>38</v>
      </c>
      <c r="B91" t="s">
        <v>89</v>
      </c>
    </row>
    <row r="92" spans="1:12" ht="12.9" x14ac:dyDescent="0.45">
      <c r="A92" s="133" t="s">
        <v>38</v>
      </c>
      <c r="B92" s="137" t="s">
        <v>90</v>
      </c>
      <c r="C92" s="137"/>
      <c r="D92" s="137"/>
      <c r="E92" s="137"/>
      <c r="F92" s="137"/>
      <c r="G92" s="137"/>
      <c r="H92" s="137"/>
      <c r="I92" s="137"/>
      <c r="J92" s="137"/>
      <c r="K92" s="137"/>
      <c r="L92" s="137"/>
    </row>
    <row r="93" spans="1:12" ht="12.9" x14ac:dyDescent="0.45">
      <c r="A93" s="133" t="s">
        <v>38</v>
      </c>
      <c r="B93" t="s">
        <v>91</v>
      </c>
    </row>
    <row r="94" spans="1:12" x14ac:dyDescent="0.4">
      <c r="A94" s="133"/>
    </row>
    <row r="95" spans="1:12" ht="12.9" x14ac:dyDescent="0.45">
      <c r="A95" t="s">
        <v>92</v>
      </c>
    </row>
    <row r="96" spans="1:12" ht="13.2" customHeight="1" x14ac:dyDescent="0.4">
      <c r="A96" s="133" t="s">
        <v>38</v>
      </c>
      <c r="B96" t="s">
        <v>93</v>
      </c>
    </row>
    <row r="97" spans="1:2" ht="13.2" customHeight="1" x14ac:dyDescent="0.4">
      <c r="A97" s="133"/>
    </row>
    <row r="98" spans="1:2" ht="13.2" customHeight="1" x14ac:dyDescent="0.45">
      <c r="A98" t="s">
        <v>94</v>
      </c>
    </row>
    <row r="99" spans="1:2" ht="13.2" customHeight="1" x14ac:dyDescent="0.45">
      <c r="A99" s="133" t="s">
        <v>38</v>
      </c>
      <c r="B99" t="s">
        <v>95</v>
      </c>
    </row>
    <row r="100" spans="1:2" ht="13.2" customHeight="1" x14ac:dyDescent="0.4">
      <c r="A100" s="133"/>
      <c r="B100" t="s">
        <v>96</v>
      </c>
    </row>
    <row r="101" spans="1:2" ht="13.2" customHeight="1" x14ac:dyDescent="0.4">
      <c r="A101" s="133"/>
      <c r="B101" t="s">
        <v>97</v>
      </c>
    </row>
    <row r="102" spans="1:2" ht="13.2" customHeight="1" x14ac:dyDescent="0.4">
      <c r="A102" s="133"/>
      <c r="B102" t="s">
        <v>98</v>
      </c>
    </row>
    <row r="103" spans="1:2" ht="13.2" customHeight="1" x14ac:dyDescent="0.45">
      <c r="A103" s="133"/>
      <c r="B103" t="s">
        <v>99</v>
      </c>
    </row>
    <row r="104" spans="1:2" ht="13.2" customHeight="1" x14ac:dyDescent="0.45">
      <c r="A104" s="133" t="s">
        <v>38</v>
      </c>
      <c r="B104" t="s">
        <v>100</v>
      </c>
    </row>
    <row r="105" spans="1:2" ht="13.2" customHeight="1" x14ac:dyDescent="0.45">
      <c r="A105" s="133" t="s">
        <v>38</v>
      </c>
      <c r="B105" t="s">
        <v>101</v>
      </c>
    </row>
    <row r="106" spans="1:2" ht="13.2" customHeight="1" x14ac:dyDescent="0.4">
      <c r="A106" s="133"/>
    </row>
    <row r="107" spans="1:2" ht="13.2" customHeight="1" x14ac:dyDescent="0.45">
      <c r="A107" t="s">
        <v>102</v>
      </c>
    </row>
    <row r="108" spans="1:2" ht="13.2" customHeight="1" x14ac:dyDescent="0.45">
      <c r="A108" s="133" t="s">
        <v>38</v>
      </c>
      <c r="B108" t="s">
        <v>103</v>
      </c>
    </row>
    <row r="109" spans="1:2" ht="13.2" customHeight="1" x14ac:dyDescent="0.4">
      <c r="A109" s="133"/>
      <c r="B109" t="s">
        <v>104</v>
      </c>
    </row>
    <row r="110" spans="1:2" ht="13.2" customHeight="1" x14ac:dyDescent="0.45">
      <c r="A110" s="133"/>
      <c r="B110" t="s">
        <v>105</v>
      </c>
    </row>
    <row r="111" spans="1:2" ht="13.2" customHeight="1" x14ac:dyDescent="0.45">
      <c r="A111" s="133"/>
      <c r="B111" t="s">
        <v>106</v>
      </c>
    </row>
    <row r="112" spans="1:2" ht="13.2" customHeight="1" x14ac:dyDescent="0.4">
      <c r="A112" s="133"/>
      <c r="B112" t="s">
        <v>107</v>
      </c>
    </row>
    <row r="113" spans="1:12" ht="13.2" customHeight="1" x14ac:dyDescent="0.4">
      <c r="A113" s="133" t="s">
        <v>38</v>
      </c>
      <c r="B113" t="s">
        <v>108</v>
      </c>
    </row>
    <row r="114" spans="1:12" ht="13.2" customHeight="1" x14ac:dyDescent="0.4">
      <c r="A114" s="133"/>
      <c r="B114" t="s">
        <v>109</v>
      </c>
    </row>
    <row r="115" spans="1:12" ht="13.2" customHeight="1" x14ac:dyDescent="0.4">
      <c r="A115" s="133"/>
    </row>
    <row r="116" spans="1:12" ht="13.2" customHeight="1" x14ac:dyDescent="0.4">
      <c r="A116" t="s">
        <v>110</v>
      </c>
    </row>
    <row r="117" spans="1:12" ht="13.2" customHeight="1" x14ac:dyDescent="0.4">
      <c r="B117" t="s">
        <v>111</v>
      </c>
    </row>
    <row r="118" spans="1:12" ht="13.2" customHeight="1" x14ac:dyDescent="0.4">
      <c r="B118" t="s">
        <v>112</v>
      </c>
    </row>
    <row r="119" spans="1:12" ht="13.2" customHeight="1" x14ac:dyDescent="0.45">
      <c r="A119" s="133" t="s">
        <v>38</v>
      </c>
      <c r="B119" t="s">
        <v>113</v>
      </c>
    </row>
    <row r="120" spans="1:12" ht="13.2" customHeight="1" x14ac:dyDescent="0.4">
      <c r="A120" s="133"/>
    </row>
    <row r="121" spans="1:12" ht="13.2" customHeight="1" x14ac:dyDescent="0.45">
      <c r="A121" t="s">
        <v>114</v>
      </c>
    </row>
    <row r="122" spans="1:12" ht="13.2" customHeight="1" x14ac:dyDescent="0.4">
      <c r="A122" s="133" t="s">
        <v>38</v>
      </c>
      <c r="B122" t="s">
        <v>115</v>
      </c>
    </row>
    <row r="123" spans="1:12" ht="13.2" customHeight="1" x14ac:dyDescent="0.4">
      <c r="A123" t="s">
        <v>116</v>
      </c>
    </row>
    <row r="124" spans="1:12" ht="13.2" customHeight="1" x14ac:dyDescent="0.4">
      <c r="A124" t="s">
        <v>117</v>
      </c>
    </row>
    <row r="125" spans="1:12" ht="12.9" x14ac:dyDescent="0.45">
      <c r="A125" t="s">
        <v>118</v>
      </c>
      <c r="G125" s="2"/>
    </row>
    <row r="126" spans="1:12" ht="13.2" customHeight="1" x14ac:dyDescent="0.45">
      <c r="A126" s="133" t="s">
        <v>38</v>
      </c>
      <c r="B126" s="138" t="s">
        <v>119</v>
      </c>
      <c r="C126" s="137"/>
      <c r="D126" s="137"/>
      <c r="E126" s="137"/>
      <c r="F126" s="137"/>
      <c r="G126" s="137"/>
      <c r="H126" s="145"/>
      <c r="I126" s="145"/>
      <c r="J126" s="145"/>
      <c r="K126" s="137"/>
      <c r="L126" s="137"/>
    </row>
    <row r="127" spans="1:12" ht="13.2" customHeight="1" x14ac:dyDescent="0.45">
      <c r="A127" s="133"/>
      <c r="B127" s="137" t="s">
        <v>120</v>
      </c>
      <c r="C127" s="137"/>
      <c r="D127" s="137"/>
      <c r="E127" s="137"/>
      <c r="F127" s="137"/>
      <c r="G127" s="137"/>
      <c r="H127" s="145"/>
      <c r="I127" s="145"/>
      <c r="J127" s="145"/>
      <c r="K127" s="137"/>
      <c r="L127" s="137"/>
    </row>
    <row r="128" spans="1:12" ht="13.2" customHeight="1" x14ac:dyDescent="0.45">
      <c r="A128" s="133"/>
      <c r="B128" s="138" t="s">
        <v>121</v>
      </c>
      <c r="C128" s="137"/>
      <c r="D128" s="137"/>
      <c r="E128" s="137"/>
      <c r="F128" s="137"/>
      <c r="G128" s="137"/>
      <c r="H128" s="145"/>
      <c r="I128" s="145"/>
      <c r="J128" s="145"/>
      <c r="K128" s="137"/>
      <c r="L128" s="137"/>
    </row>
    <row r="129" spans="1:12" ht="13.2" customHeight="1" x14ac:dyDescent="0.45">
      <c r="A129" s="133"/>
      <c r="B129" s="138" t="s">
        <v>122</v>
      </c>
      <c r="C129" s="137"/>
      <c r="D129" s="137"/>
      <c r="E129" s="137"/>
      <c r="F129" s="137"/>
      <c r="G129" s="137"/>
      <c r="H129" s="145"/>
      <c r="I129" s="145"/>
      <c r="J129" s="145"/>
      <c r="K129" s="137"/>
      <c r="L129" s="137"/>
    </row>
    <row r="130" spans="1:12" x14ac:dyDescent="0.4">
      <c r="A130" s="269" t="s">
        <v>123</v>
      </c>
    </row>
    <row r="132" spans="1:12" ht="12.9" x14ac:dyDescent="0.45">
      <c r="A132" s="268" t="s">
        <v>124</v>
      </c>
      <c r="B132" s="268"/>
    </row>
    <row r="133" spans="1:12" x14ac:dyDescent="0.4">
      <c r="B133" t="s">
        <v>125</v>
      </c>
    </row>
    <row r="134" spans="1:12" x14ac:dyDescent="0.4">
      <c r="B134" t="s">
        <v>126</v>
      </c>
    </row>
    <row r="135" spans="1:12" x14ac:dyDescent="0.4">
      <c r="B135" t="s">
        <v>127</v>
      </c>
    </row>
    <row r="136" spans="1:12" x14ac:dyDescent="0.4">
      <c r="B136" t="s">
        <v>128</v>
      </c>
    </row>
    <row r="139" spans="1:12" ht="12.9" x14ac:dyDescent="0.45">
      <c r="A139" s="270" t="s">
        <v>129</v>
      </c>
    </row>
    <row r="140" spans="1:12" x14ac:dyDescent="0.4">
      <c r="A140" s="133" t="s">
        <v>38</v>
      </c>
      <c r="B140" t="s">
        <v>130</v>
      </c>
    </row>
    <row r="141" spans="1:12" x14ac:dyDescent="0.4">
      <c r="A141" s="133" t="s">
        <v>38</v>
      </c>
      <c r="B141" t="s">
        <v>131</v>
      </c>
    </row>
    <row r="142" spans="1:12" x14ac:dyDescent="0.4">
      <c r="A142" s="133" t="s">
        <v>38</v>
      </c>
      <c r="B142" t="s">
        <v>132</v>
      </c>
      <c r="J142" s="271" t="s">
        <v>133</v>
      </c>
    </row>
    <row r="143" spans="1:12" x14ac:dyDescent="0.4">
      <c r="A143" s="133" t="s">
        <v>38</v>
      </c>
      <c r="B143" t="s">
        <v>134</v>
      </c>
    </row>
    <row r="144" spans="1:12" x14ac:dyDescent="0.4">
      <c r="A144" s="133" t="s">
        <v>38</v>
      </c>
      <c r="B144" t="s">
        <v>135</v>
      </c>
    </row>
    <row r="145" spans="1:2" x14ac:dyDescent="0.4">
      <c r="A145" s="133" t="s">
        <v>38</v>
      </c>
      <c r="B145" t="s">
        <v>136</v>
      </c>
    </row>
    <row r="146" spans="1:2" x14ac:dyDescent="0.4">
      <c r="A146" s="133" t="s">
        <v>38</v>
      </c>
      <c r="B146" t="s">
        <v>137</v>
      </c>
    </row>
    <row r="147" spans="1:2" x14ac:dyDescent="0.4">
      <c r="A147" s="133" t="s">
        <v>38</v>
      </c>
      <c r="B147" t="s">
        <v>138</v>
      </c>
    </row>
    <row r="148" spans="1:2" x14ac:dyDescent="0.4">
      <c r="A148" s="133"/>
      <c r="B148" t="s">
        <v>139</v>
      </c>
    </row>
    <row r="149" spans="1:2" ht="13.2" customHeight="1" x14ac:dyDescent="0.4">
      <c r="A149" s="133" t="s">
        <v>38</v>
      </c>
      <c r="B149" t="s">
        <v>140</v>
      </c>
    </row>
    <row r="150" spans="1:2" ht="13.2" customHeight="1" x14ac:dyDescent="0.4">
      <c r="A150" s="133" t="s">
        <v>38</v>
      </c>
      <c r="B150" t="s">
        <v>141</v>
      </c>
    </row>
    <row r="151" spans="1:2" ht="13.2" customHeight="1" x14ac:dyDescent="0.4">
      <c r="A151" s="133" t="s">
        <v>38</v>
      </c>
      <c r="B151" t="s">
        <v>142</v>
      </c>
    </row>
    <row r="152" spans="1:2" x14ac:dyDescent="0.4">
      <c r="A152" s="133" t="s">
        <v>38</v>
      </c>
      <c r="B152" t="s">
        <v>143</v>
      </c>
    </row>
    <row r="153" spans="1:2" x14ac:dyDescent="0.4">
      <c r="A153" s="133" t="s">
        <v>38</v>
      </c>
      <c r="B153" t="s">
        <v>144</v>
      </c>
    </row>
    <row r="154" spans="1:2" x14ac:dyDescent="0.4">
      <c r="A154" s="133" t="s">
        <v>38</v>
      </c>
      <c r="B154" t="s">
        <v>145</v>
      </c>
    </row>
    <row r="155" spans="1:2" x14ac:dyDescent="0.4">
      <c r="A155" s="133" t="s">
        <v>38</v>
      </c>
      <c r="B155" t="s">
        <v>146</v>
      </c>
    </row>
    <row r="156" spans="1:2" x14ac:dyDescent="0.4">
      <c r="A156" s="133" t="s">
        <v>38</v>
      </c>
      <c r="B156" t="s">
        <v>147</v>
      </c>
    </row>
    <row r="157" spans="1:2" x14ac:dyDescent="0.4">
      <c r="A157" s="133" t="s">
        <v>38</v>
      </c>
      <c r="B157" t="s">
        <v>148</v>
      </c>
    </row>
    <row r="158" spans="1:2" x14ac:dyDescent="0.4">
      <c r="A158" s="133"/>
    </row>
    <row r="159" spans="1:2" x14ac:dyDescent="0.4">
      <c r="A159" s="133"/>
    </row>
    <row r="160" spans="1:2" x14ac:dyDescent="0.4">
      <c r="A160" s="133"/>
    </row>
    <row r="161" spans="1:1" x14ac:dyDescent="0.4">
      <c r="A161" t="s">
        <v>149</v>
      </c>
    </row>
  </sheetData>
  <sheetProtection sheet="1" formatCells="0" formatColumns="0" formatRows="0" insertColumns="0" insertRows="0"/>
  <mergeCells count="2">
    <mergeCell ref="B1:H1"/>
    <mergeCell ref="B2:H2"/>
  </mergeCells>
  <phoneticPr fontId="0" type="noConversion"/>
  <pageMargins left="0.78740157499999996" right="0.78740157499999996" top="0.984251969" bottom="0.984251969" header="0.4921259845" footer="0.4921259845"/>
  <pageSetup paperSize="9"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4"/>
  <dimension ref="A1:F120"/>
  <sheetViews>
    <sheetView workbookViewId="0">
      <pane xSplit="1" ySplit="3" topLeftCell="B4" activePane="bottomRight" state="frozen"/>
      <selection pane="topRight" activeCell="B3" sqref="B3"/>
      <selection pane="bottomLeft" activeCell="B3" sqref="B3"/>
      <selection pane="bottomRight" activeCell="A4" sqref="A4"/>
    </sheetView>
  </sheetViews>
  <sheetFormatPr defaultRowHeight="12" x14ac:dyDescent="0.4"/>
  <cols>
    <col min="1" max="1" width="6.4140625" customWidth="1"/>
    <col min="2" max="2" width="35.83203125" customWidth="1"/>
    <col min="3" max="3" width="10" customWidth="1"/>
    <col min="4" max="4" width="25.1640625" customWidth="1"/>
    <col min="5" max="5" width="32.1640625" customWidth="1"/>
    <col min="6" max="6" width="11.58203125" customWidth="1"/>
  </cols>
  <sheetData>
    <row r="1" spans="1:6" ht="30.45" thickBot="1" x14ac:dyDescent="0.45">
      <c r="A1" s="124" t="s">
        <v>150</v>
      </c>
      <c r="B1" s="125"/>
      <c r="C1" s="125"/>
      <c r="D1" s="125"/>
      <c r="E1" s="126"/>
      <c r="F1" s="431">
        <v>45404</v>
      </c>
    </row>
    <row r="2" spans="1:6" ht="13.3" x14ac:dyDescent="0.4">
      <c r="B2" s="127"/>
      <c r="C2" s="127"/>
      <c r="D2" s="127"/>
      <c r="E2" s="127"/>
      <c r="F2" s="127"/>
    </row>
    <row r="3" spans="1:6" ht="13.3" x14ac:dyDescent="0.4">
      <c r="A3" s="128" t="s">
        <v>151</v>
      </c>
      <c r="B3" s="128" t="s">
        <v>152</v>
      </c>
      <c r="C3" s="128" t="s">
        <v>153</v>
      </c>
      <c r="D3" s="128" t="s">
        <v>154</v>
      </c>
      <c r="E3" s="128" t="s">
        <v>155</v>
      </c>
      <c r="F3" s="128" t="s">
        <v>156</v>
      </c>
    </row>
    <row r="4" spans="1:6" x14ac:dyDescent="0.4">
      <c r="A4">
        <v>24031</v>
      </c>
      <c r="B4" t="s">
        <v>157</v>
      </c>
      <c r="C4" s="426" t="s">
        <v>158</v>
      </c>
      <c r="D4" t="s">
        <v>159</v>
      </c>
      <c r="E4" t="s">
        <v>160</v>
      </c>
      <c r="F4">
        <v>3</v>
      </c>
    </row>
    <row r="5" spans="1:6" x14ac:dyDescent="0.4">
      <c r="A5">
        <v>24032</v>
      </c>
      <c r="B5" t="s">
        <v>161</v>
      </c>
      <c r="C5" s="426" t="s">
        <v>162</v>
      </c>
      <c r="D5" t="s">
        <v>159</v>
      </c>
      <c r="E5" t="s">
        <v>163</v>
      </c>
      <c r="F5">
        <v>2</v>
      </c>
    </row>
    <row r="6" spans="1:6" x14ac:dyDescent="0.4">
      <c r="A6">
        <v>24001</v>
      </c>
      <c r="B6" t="s">
        <v>164</v>
      </c>
      <c r="C6" s="426" t="s">
        <v>165</v>
      </c>
      <c r="D6" t="s">
        <v>159</v>
      </c>
      <c r="E6" t="s">
        <v>166</v>
      </c>
      <c r="F6">
        <v>3</v>
      </c>
    </row>
    <row r="7" spans="1:6" x14ac:dyDescent="0.4">
      <c r="A7">
        <v>24002</v>
      </c>
      <c r="B7" t="s">
        <v>167</v>
      </c>
      <c r="C7" s="426" t="s">
        <v>168</v>
      </c>
      <c r="D7" t="s">
        <v>159</v>
      </c>
      <c r="E7" t="s">
        <v>166</v>
      </c>
      <c r="F7">
        <v>2</v>
      </c>
    </row>
    <row r="8" spans="1:6" x14ac:dyDescent="0.4">
      <c r="A8">
        <v>24033</v>
      </c>
      <c r="B8" t="s">
        <v>169</v>
      </c>
      <c r="C8" s="426" t="s">
        <v>170</v>
      </c>
      <c r="D8" t="s">
        <v>171</v>
      </c>
      <c r="E8" t="s">
        <v>172</v>
      </c>
      <c r="F8">
        <v>2</v>
      </c>
    </row>
    <row r="9" spans="1:6" x14ac:dyDescent="0.4">
      <c r="A9">
        <v>24079</v>
      </c>
      <c r="B9" t="s">
        <v>173</v>
      </c>
      <c r="C9" s="426" t="s">
        <v>174</v>
      </c>
      <c r="D9" t="s">
        <v>175</v>
      </c>
      <c r="E9" t="s">
        <v>176</v>
      </c>
      <c r="F9">
        <v>3</v>
      </c>
    </row>
    <row r="10" spans="1:6" x14ac:dyDescent="0.4">
      <c r="A10">
        <v>24076</v>
      </c>
      <c r="B10" t="s">
        <v>177</v>
      </c>
      <c r="C10" s="426" t="s">
        <v>178</v>
      </c>
      <c r="D10" t="s">
        <v>179</v>
      </c>
      <c r="E10" t="s">
        <v>180</v>
      </c>
      <c r="F10">
        <v>2</v>
      </c>
    </row>
    <row r="11" spans="1:6" x14ac:dyDescent="0.4">
      <c r="A11">
        <v>24058</v>
      </c>
      <c r="B11" t="s">
        <v>181</v>
      </c>
      <c r="C11" s="426" t="s">
        <v>178</v>
      </c>
      <c r="D11" t="s">
        <v>182</v>
      </c>
      <c r="E11" t="s">
        <v>160</v>
      </c>
      <c r="F11">
        <v>3</v>
      </c>
    </row>
    <row r="12" spans="1:6" x14ac:dyDescent="0.4">
      <c r="A12">
        <v>24034</v>
      </c>
      <c r="B12" t="s">
        <v>183</v>
      </c>
      <c r="C12" s="426" t="s">
        <v>178</v>
      </c>
      <c r="D12" t="s">
        <v>184</v>
      </c>
      <c r="E12" t="s">
        <v>185</v>
      </c>
      <c r="F12">
        <v>2</v>
      </c>
    </row>
    <row r="13" spans="1:6" x14ac:dyDescent="0.4">
      <c r="A13">
        <v>24035</v>
      </c>
      <c r="B13" t="s">
        <v>186</v>
      </c>
      <c r="C13" s="426" t="s">
        <v>187</v>
      </c>
      <c r="D13" t="s">
        <v>188</v>
      </c>
      <c r="E13" t="s">
        <v>189</v>
      </c>
      <c r="F13">
        <v>3</v>
      </c>
    </row>
    <row r="14" spans="1:6" x14ac:dyDescent="0.4">
      <c r="A14">
        <v>24059</v>
      </c>
      <c r="B14" t="s">
        <v>190</v>
      </c>
      <c r="C14" s="426" t="s">
        <v>191</v>
      </c>
      <c r="D14" t="s">
        <v>182</v>
      </c>
      <c r="E14" t="s">
        <v>160</v>
      </c>
      <c r="F14">
        <v>3</v>
      </c>
    </row>
    <row r="15" spans="1:6" x14ac:dyDescent="0.4">
      <c r="A15">
        <v>24003</v>
      </c>
      <c r="B15" t="s">
        <v>192</v>
      </c>
      <c r="C15" s="426" t="s">
        <v>191</v>
      </c>
      <c r="D15" t="s">
        <v>193</v>
      </c>
      <c r="E15" t="s">
        <v>194</v>
      </c>
      <c r="F15">
        <v>2</v>
      </c>
    </row>
    <row r="16" spans="1:6" x14ac:dyDescent="0.4">
      <c r="A16">
        <v>24060</v>
      </c>
      <c r="B16" t="s">
        <v>195</v>
      </c>
      <c r="C16" s="426" t="s">
        <v>196</v>
      </c>
      <c r="D16" t="s">
        <v>188</v>
      </c>
      <c r="E16" t="s">
        <v>197</v>
      </c>
      <c r="F16">
        <v>2</v>
      </c>
    </row>
    <row r="17" spans="1:6" x14ac:dyDescent="0.4">
      <c r="A17">
        <v>24036</v>
      </c>
      <c r="B17" t="s">
        <v>198</v>
      </c>
      <c r="C17" s="426" t="s">
        <v>196</v>
      </c>
      <c r="D17" t="s">
        <v>175</v>
      </c>
      <c r="E17" t="s">
        <v>176</v>
      </c>
      <c r="F17">
        <v>3</v>
      </c>
    </row>
    <row r="18" spans="1:6" x14ac:dyDescent="0.4">
      <c r="A18">
        <v>24071</v>
      </c>
      <c r="B18" t="s">
        <v>199</v>
      </c>
      <c r="C18" s="426" t="s">
        <v>196</v>
      </c>
      <c r="D18" t="s">
        <v>200</v>
      </c>
      <c r="E18" t="s">
        <v>166</v>
      </c>
      <c r="F18">
        <v>2</v>
      </c>
    </row>
    <row r="19" spans="1:6" x14ac:dyDescent="0.4">
      <c r="A19">
        <v>24037</v>
      </c>
      <c r="B19" t="s">
        <v>201</v>
      </c>
      <c r="C19" s="426" t="s">
        <v>202</v>
      </c>
      <c r="D19" t="s">
        <v>188</v>
      </c>
      <c r="E19" t="s">
        <v>189</v>
      </c>
      <c r="F19">
        <v>2</v>
      </c>
    </row>
    <row r="20" spans="1:6" x14ac:dyDescent="0.4">
      <c r="A20">
        <v>24061</v>
      </c>
      <c r="B20" t="s">
        <v>203</v>
      </c>
      <c r="C20" s="426" t="s">
        <v>202</v>
      </c>
      <c r="D20" t="s">
        <v>204</v>
      </c>
      <c r="E20" t="s">
        <v>205</v>
      </c>
      <c r="F20">
        <v>3</v>
      </c>
    </row>
    <row r="21" spans="1:6" x14ac:dyDescent="0.4">
      <c r="A21">
        <v>24038</v>
      </c>
      <c r="B21" t="s">
        <v>206</v>
      </c>
      <c r="C21" s="426" t="s">
        <v>207</v>
      </c>
      <c r="D21" t="s">
        <v>171</v>
      </c>
      <c r="E21" t="s">
        <v>172</v>
      </c>
      <c r="F21">
        <v>2</v>
      </c>
    </row>
    <row r="22" spans="1:6" x14ac:dyDescent="0.4">
      <c r="A22">
        <v>24004</v>
      </c>
      <c r="B22" t="s">
        <v>208</v>
      </c>
      <c r="C22" s="426" t="s">
        <v>207</v>
      </c>
      <c r="D22" t="s">
        <v>193</v>
      </c>
      <c r="E22" t="s">
        <v>194</v>
      </c>
      <c r="F22">
        <v>4</v>
      </c>
    </row>
    <row r="23" spans="1:6" x14ac:dyDescent="0.4">
      <c r="A23">
        <v>24039</v>
      </c>
      <c r="B23" t="s">
        <v>209</v>
      </c>
      <c r="C23" s="426" t="s">
        <v>210</v>
      </c>
      <c r="D23" t="s">
        <v>171</v>
      </c>
      <c r="E23" t="s">
        <v>172</v>
      </c>
      <c r="F23">
        <v>1</v>
      </c>
    </row>
    <row r="24" spans="1:6" x14ac:dyDescent="0.4">
      <c r="A24">
        <v>24005</v>
      </c>
      <c r="B24" t="s">
        <v>211</v>
      </c>
      <c r="C24" s="426" t="s">
        <v>212</v>
      </c>
      <c r="D24" t="s">
        <v>213</v>
      </c>
      <c r="E24" t="s">
        <v>214</v>
      </c>
      <c r="F24">
        <v>2</v>
      </c>
    </row>
    <row r="25" spans="1:6" x14ac:dyDescent="0.4">
      <c r="A25">
        <v>24062</v>
      </c>
      <c r="B25" t="s">
        <v>215</v>
      </c>
      <c r="C25" s="426" t="s">
        <v>212</v>
      </c>
      <c r="D25" t="s">
        <v>188</v>
      </c>
      <c r="E25" t="s">
        <v>189</v>
      </c>
      <c r="F25">
        <v>2</v>
      </c>
    </row>
    <row r="26" spans="1:6" x14ac:dyDescent="0.4">
      <c r="A26">
        <v>24067</v>
      </c>
      <c r="B26" t="s">
        <v>216</v>
      </c>
      <c r="C26" s="426" t="s">
        <v>212</v>
      </c>
      <c r="D26" t="s">
        <v>217</v>
      </c>
      <c r="E26" t="s">
        <v>218</v>
      </c>
      <c r="F26">
        <v>3</v>
      </c>
    </row>
    <row r="27" spans="1:6" x14ac:dyDescent="0.4">
      <c r="A27">
        <v>24007</v>
      </c>
      <c r="B27" t="s">
        <v>219</v>
      </c>
      <c r="C27" s="426" t="s">
        <v>220</v>
      </c>
      <c r="D27" t="s">
        <v>221</v>
      </c>
      <c r="E27" t="s">
        <v>222</v>
      </c>
      <c r="F27">
        <v>4</v>
      </c>
    </row>
    <row r="28" spans="1:6" x14ac:dyDescent="0.4">
      <c r="A28">
        <v>24070</v>
      </c>
      <c r="B28" t="s">
        <v>223</v>
      </c>
      <c r="C28" s="426" t="s">
        <v>220</v>
      </c>
      <c r="D28" t="s">
        <v>224</v>
      </c>
      <c r="E28" t="s">
        <v>225</v>
      </c>
      <c r="F28">
        <v>2</v>
      </c>
    </row>
    <row r="29" spans="1:6" x14ac:dyDescent="0.4">
      <c r="A29">
        <v>24006</v>
      </c>
      <c r="B29" t="s">
        <v>226</v>
      </c>
      <c r="C29" s="426" t="s">
        <v>220</v>
      </c>
      <c r="D29" t="s">
        <v>227</v>
      </c>
      <c r="E29" t="s">
        <v>227</v>
      </c>
      <c r="F29">
        <v>4</v>
      </c>
    </row>
    <row r="30" spans="1:6" x14ac:dyDescent="0.4">
      <c r="A30">
        <v>24040</v>
      </c>
      <c r="B30" t="s">
        <v>228</v>
      </c>
      <c r="C30" s="426" t="s">
        <v>229</v>
      </c>
      <c r="D30" t="s">
        <v>230</v>
      </c>
      <c r="E30" t="s">
        <v>231</v>
      </c>
      <c r="F30">
        <v>2</v>
      </c>
    </row>
    <row r="31" spans="1:6" x14ac:dyDescent="0.4">
      <c r="A31">
        <v>24008</v>
      </c>
      <c r="B31" t="s">
        <v>232</v>
      </c>
      <c r="C31" s="426" t="s">
        <v>229</v>
      </c>
      <c r="D31" t="s">
        <v>233</v>
      </c>
      <c r="E31" t="s">
        <v>180</v>
      </c>
      <c r="F31">
        <v>1</v>
      </c>
    </row>
    <row r="32" spans="1:6" x14ac:dyDescent="0.4">
      <c r="A32">
        <v>24068</v>
      </c>
      <c r="B32" t="s">
        <v>234</v>
      </c>
      <c r="C32" s="426" t="s">
        <v>235</v>
      </c>
      <c r="D32" t="s">
        <v>236</v>
      </c>
      <c r="E32" t="s">
        <v>237</v>
      </c>
      <c r="F32">
        <v>2</v>
      </c>
    </row>
    <row r="33" spans="1:6" x14ac:dyDescent="0.4">
      <c r="A33">
        <v>24063</v>
      </c>
      <c r="B33" t="s">
        <v>238</v>
      </c>
      <c r="C33" s="426" t="s">
        <v>235</v>
      </c>
      <c r="D33" t="s">
        <v>182</v>
      </c>
      <c r="E33" t="s">
        <v>160</v>
      </c>
      <c r="F33">
        <v>2</v>
      </c>
    </row>
    <row r="34" spans="1:6" x14ac:dyDescent="0.4">
      <c r="A34">
        <v>24009</v>
      </c>
      <c r="B34" t="s">
        <v>239</v>
      </c>
      <c r="C34" s="426" t="s">
        <v>235</v>
      </c>
      <c r="D34" t="s">
        <v>240</v>
      </c>
      <c r="E34" t="s">
        <v>241</v>
      </c>
      <c r="F34">
        <v>4</v>
      </c>
    </row>
    <row r="35" spans="1:6" x14ac:dyDescent="0.4">
      <c r="A35">
        <v>24041</v>
      </c>
      <c r="B35" t="s">
        <v>242</v>
      </c>
      <c r="C35" s="426" t="s">
        <v>235</v>
      </c>
      <c r="D35" t="s">
        <v>243</v>
      </c>
      <c r="E35" t="s">
        <v>244</v>
      </c>
      <c r="F35">
        <v>2</v>
      </c>
    </row>
    <row r="36" spans="1:6" x14ac:dyDescent="0.4">
      <c r="A36">
        <v>24010</v>
      </c>
      <c r="B36" t="s">
        <v>245</v>
      </c>
      <c r="C36" s="426" t="s">
        <v>246</v>
      </c>
      <c r="D36" t="s">
        <v>247</v>
      </c>
      <c r="E36" t="s">
        <v>248</v>
      </c>
      <c r="F36">
        <v>4</v>
      </c>
    </row>
    <row r="37" spans="1:6" x14ac:dyDescent="0.4">
      <c r="A37">
        <v>24042</v>
      </c>
      <c r="B37" t="s">
        <v>249</v>
      </c>
      <c r="C37" s="426" t="s">
        <v>246</v>
      </c>
      <c r="D37" t="s">
        <v>184</v>
      </c>
      <c r="E37" t="s">
        <v>185</v>
      </c>
      <c r="F37">
        <v>1</v>
      </c>
    </row>
    <row r="38" spans="1:6" x14ac:dyDescent="0.4">
      <c r="A38">
        <v>24043</v>
      </c>
      <c r="B38" t="s">
        <v>250</v>
      </c>
      <c r="C38" s="426" t="s">
        <v>251</v>
      </c>
      <c r="D38" t="s">
        <v>252</v>
      </c>
      <c r="E38" t="s">
        <v>253</v>
      </c>
      <c r="F38">
        <v>3</v>
      </c>
    </row>
    <row r="39" spans="1:6" x14ac:dyDescent="0.4">
      <c r="A39">
        <v>24011</v>
      </c>
      <c r="B39" t="s">
        <v>254</v>
      </c>
      <c r="C39" s="426" t="s">
        <v>251</v>
      </c>
      <c r="D39" t="s">
        <v>255</v>
      </c>
      <c r="E39" t="s">
        <v>256</v>
      </c>
      <c r="F39">
        <v>4</v>
      </c>
    </row>
    <row r="40" spans="1:6" x14ac:dyDescent="0.4">
      <c r="A40">
        <v>24074</v>
      </c>
      <c r="B40" t="s">
        <v>257</v>
      </c>
      <c r="C40" s="426" t="s">
        <v>251</v>
      </c>
      <c r="D40" t="s">
        <v>258</v>
      </c>
      <c r="E40" t="s">
        <v>259</v>
      </c>
      <c r="F40">
        <v>3</v>
      </c>
    </row>
    <row r="41" spans="1:6" x14ac:dyDescent="0.4">
      <c r="A41">
        <v>24012</v>
      </c>
      <c r="B41" t="s">
        <v>260</v>
      </c>
      <c r="C41" s="426" t="s">
        <v>261</v>
      </c>
      <c r="D41" t="s">
        <v>262</v>
      </c>
      <c r="E41" t="s">
        <v>263</v>
      </c>
      <c r="F41">
        <v>4</v>
      </c>
    </row>
    <row r="42" spans="1:6" x14ac:dyDescent="0.4">
      <c r="A42">
        <v>24045</v>
      </c>
      <c r="B42" t="s">
        <v>264</v>
      </c>
      <c r="C42" s="426" t="s">
        <v>261</v>
      </c>
      <c r="D42" t="s">
        <v>265</v>
      </c>
      <c r="E42" t="s">
        <v>266</v>
      </c>
      <c r="F42">
        <v>3</v>
      </c>
    </row>
    <row r="43" spans="1:6" x14ac:dyDescent="0.4">
      <c r="A43">
        <v>24085</v>
      </c>
      <c r="B43" t="s">
        <v>267</v>
      </c>
      <c r="C43" s="426" t="s">
        <v>261</v>
      </c>
      <c r="D43" t="s">
        <v>268</v>
      </c>
      <c r="E43" t="s">
        <v>269</v>
      </c>
      <c r="F43">
        <v>3</v>
      </c>
    </row>
    <row r="44" spans="1:6" x14ac:dyDescent="0.4">
      <c r="A44">
        <v>24080</v>
      </c>
      <c r="B44" t="s">
        <v>270</v>
      </c>
      <c r="C44" s="426" t="s">
        <v>271</v>
      </c>
      <c r="D44" t="s">
        <v>200</v>
      </c>
      <c r="E44" t="s">
        <v>163</v>
      </c>
      <c r="F44">
        <v>2</v>
      </c>
    </row>
    <row r="45" spans="1:6" x14ac:dyDescent="0.4">
      <c r="A45">
        <v>24013</v>
      </c>
      <c r="B45" t="s">
        <v>272</v>
      </c>
      <c r="C45" s="426" t="s">
        <v>273</v>
      </c>
      <c r="D45" t="s">
        <v>182</v>
      </c>
      <c r="E45" t="s">
        <v>160</v>
      </c>
      <c r="F45">
        <v>2</v>
      </c>
    </row>
    <row r="46" spans="1:6" x14ac:dyDescent="0.4">
      <c r="A46">
        <v>24088</v>
      </c>
      <c r="B46" t="s">
        <v>274</v>
      </c>
      <c r="C46" s="426" t="s">
        <v>273</v>
      </c>
      <c r="D46" t="s">
        <v>175</v>
      </c>
      <c r="E46" t="s">
        <v>176</v>
      </c>
      <c r="F46">
        <v>3</v>
      </c>
    </row>
    <row r="47" spans="1:6" x14ac:dyDescent="0.4">
      <c r="A47">
        <v>24014</v>
      </c>
      <c r="B47" t="s">
        <v>275</v>
      </c>
      <c r="C47" s="426" t="s">
        <v>276</v>
      </c>
      <c r="D47" t="s">
        <v>277</v>
      </c>
      <c r="E47" t="s">
        <v>278</v>
      </c>
      <c r="F47">
        <v>4</v>
      </c>
    </row>
    <row r="48" spans="1:6" x14ac:dyDescent="0.4">
      <c r="A48">
        <v>24046</v>
      </c>
      <c r="B48" t="s">
        <v>279</v>
      </c>
      <c r="C48" s="426" t="s">
        <v>280</v>
      </c>
      <c r="D48" t="s">
        <v>188</v>
      </c>
      <c r="E48" t="s">
        <v>189</v>
      </c>
      <c r="F48">
        <v>2</v>
      </c>
    </row>
    <row r="49" spans="1:6" x14ac:dyDescent="0.4">
      <c r="A49">
        <v>24047</v>
      </c>
      <c r="B49" t="s">
        <v>281</v>
      </c>
      <c r="C49" s="426" t="s">
        <v>282</v>
      </c>
      <c r="D49" t="s">
        <v>236</v>
      </c>
      <c r="E49" t="s">
        <v>237</v>
      </c>
      <c r="F49">
        <v>2</v>
      </c>
    </row>
    <row r="50" spans="1:6" x14ac:dyDescent="0.4">
      <c r="A50">
        <v>24015</v>
      </c>
      <c r="B50" t="s">
        <v>283</v>
      </c>
      <c r="C50" s="426" t="s">
        <v>282</v>
      </c>
      <c r="D50" t="s">
        <v>284</v>
      </c>
      <c r="E50" t="s">
        <v>285</v>
      </c>
      <c r="F50">
        <v>2</v>
      </c>
    </row>
    <row r="51" spans="1:6" x14ac:dyDescent="0.4">
      <c r="A51">
        <v>24044</v>
      </c>
      <c r="B51" t="s">
        <v>286</v>
      </c>
      <c r="C51" s="426" t="s">
        <v>287</v>
      </c>
      <c r="D51" t="s">
        <v>230</v>
      </c>
      <c r="E51" t="s">
        <v>231</v>
      </c>
      <c r="F51">
        <v>2</v>
      </c>
    </row>
    <row r="52" spans="1:6" x14ac:dyDescent="0.4">
      <c r="A52">
        <v>24016</v>
      </c>
      <c r="B52" t="s">
        <v>288</v>
      </c>
      <c r="C52" s="426" t="s">
        <v>287</v>
      </c>
      <c r="D52" t="s">
        <v>233</v>
      </c>
      <c r="E52" t="s">
        <v>180</v>
      </c>
      <c r="F52">
        <v>4</v>
      </c>
    </row>
    <row r="53" spans="1:6" x14ac:dyDescent="0.4">
      <c r="A53">
        <v>24077</v>
      </c>
      <c r="B53" t="s">
        <v>289</v>
      </c>
      <c r="C53" s="426" t="s">
        <v>290</v>
      </c>
      <c r="D53" t="s">
        <v>233</v>
      </c>
      <c r="E53" t="s">
        <v>180</v>
      </c>
      <c r="F53">
        <v>2</v>
      </c>
    </row>
    <row r="54" spans="1:6" x14ac:dyDescent="0.4">
      <c r="A54">
        <v>24081</v>
      </c>
      <c r="B54" t="s">
        <v>291</v>
      </c>
      <c r="C54" s="426" t="s">
        <v>292</v>
      </c>
      <c r="D54" t="s">
        <v>236</v>
      </c>
      <c r="E54" t="s">
        <v>237</v>
      </c>
      <c r="F54">
        <v>2</v>
      </c>
    </row>
    <row r="55" spans="1:6" x14ac:dyDescent="0.4">
      <c r="A55">
        <v>24048</v>
      </c>
      <c r="B55" t="s">
        <v>293</v>
      </c>
      <c r="C55" s="426" t="s">
        <v>292</v>
      </c>
      <c r="D55" t="s">
        <v>294</v>
      </c>
      <c r="E55" t="s">
        <v>295</v>
      </c>
      <c r="F55">
        <v>3</v>
      </c>
    </row>
    <row r="56" spans="1:6" x14ac:dyDescent="0.4">
      <c r="A56">
        <v>24017</v>
      </c>
      <c r="B56" t="s">
        <v>296</v>
      </c>
      <c r="C56" s="426" t="s">
        <v>292</v>
      </c>
      <c r="D56" t="s">
        <v>297</v>
      </c>
      <c r="E56" t="s">
        <v>298</v>
      </c>
      <c r="F56">
        <v>4</v>
      </c>
    </row>
    <row r="57" spans="1:6" x14ac:dyDescent="0.4">
      <c r="A57">
        <v>24064</v>
      </c>
      <c r="B57" t="s">
        <v>299</v>
      </c>
      <c r="C57" s="426" t="s">
        <v>292</v>
      </c>
      <c r="D57" t="s">
        <v>217</v>
      </c>
      <c r="E57" t="s">
        <v>218</v>
      </c>
      <c r="F57">
        <v>1</v>
      </c>
    </row>
    <row r="58" spans="1:6" x14ac:dyDescent="0.4">
      <c r="A58">
        <v>24018</v>
      </c>
      <c r="B58" t="s">
        <v>300</v>
      </c>
      <c r="C58" s="426" t="s">
        <v>301</v>
      </c>
      <c r="F58">
        <v>0</v>
      </c>
    </row>
    <row r="59" spans="1:6" x14ac:dyDescent="0.4">
      <c r="A59">
        <v>24049</v>
      </c>
      <c r="B59" t="s">
        <v>302</v>
      </c>
      <c r="C59" s="426" t="s">
        <v>301</v>
      </c>
      <c r="D59" t="s">
        <v>303</v>
      </c>
      <c r="E59" t="s">
        <v>304</v>
      </c>
      <c r="F59">
        <v>2</v>
      </c>
    </row>
    <row r="60" spans="1:6" x14ac:dyDescent="0.4">
      <c r="A60">
        <v>24082</v>
      </c>
      <c r="B60" t="s">
        <v>305</v>
      </c>
      <c r="C60" s="426" t="s">
        <v>306</v>
      </c>
      <c r="D60" t="s">
        <v>236</v>
      </c>
      <c r="E60" t="s">
        <v>237</v>
      </c>
      <c r="F60">
        <v>1</v>
      </c>
    </row>
    <row r="61" spans="1:6" x14ac:dyDescent="0.4">
      <c r="A61">
        <v>24019</v>
      </c>
      <c r="B61" t="s">
        <v>307</v>
      </c>
      <c r="C61" s="426" t="s">
        <v>308</v>
      </c>
      <c r="D61" t="s">
        <v>200</v>
      </c>
      <c r="E61" t="s">
        <v>166</v>
      </c>
      <c r="F61">
        <v>2</v>
      </c>
    </row>
    <row r="62" spans="1:6" x14ac:dyDescent="0.4">
      <c r="A62">
        <v>24020</v>
      </c>
      <c r="B62" t="s">
        <v>309</v>
      </c>
      <c r="C62" s="426" t="s">
        <v>310</v>
      </c>
      <c r="D62" t="s">
        <v>200</v>
      </c>
      <c r="E62" t="s">
        <v>166</v>
      </c>
      <c r="F62">
        <v>1</v>
      </c>
    </row>
    <row r="63" spans="1:6" x14ac:dyDescent="0.4">
      <c r="A63">
        <v>24083</v>
      </c>
      <c r="B63" t="s">
        <v>311</v>
      </c>
      <c r="C63" s="426" t="s">
        <v>312</v>
      </c>
      <c r="D63" t="s">
        <v>236</v>
      </c>
      <c r="E63" t="s">
        <v>237</v>
      </c>
      <c r="F63">
        <v>2</v>
      </c>
    </row>
    <row r="64" spans="1:6" x14ac:dyDescent="0.4">
      <c r="A64">
        <v>24050</v>
      </c>
      <c r="B64" t="s">
        <v>313</v>
      </c>
      <c r="C64" s="426" t="s">
        <v>312</v>
      </c>
      <c r="D64" t="s">
        <v>314</v>
      </c>
      <c r="E64" t="s">
        <v>222</v>
      </c>
      <c r="F64">
        <v>3</v>
      </c>
    </row>
    <row r="65" spans="1:6" x14ac:dyDescent="0.4">
      <c r="A65">
        <v>24022</v>
      </c>
      <c r="B65" t="s">
        <v>315</v>
      </c>
      <c r="C65" s="426" t="s">
        <v>316</v>
      </c>
      <c r="D65" t="s">
        <v>200</v>
      </c>
      <c r="E65" t="s">
        <v>166</v>
      </c>
      <c r="F65">
        <v>4</v>
      </c>
    </row>
    <row r="66" spans="1:6" x14ac:dyDescent="0.4">
      <c r="A66">
        <v>24021</v>
      </c>
      <c r="B66" t="s">
        <v>317</v>
      </c>
      <c r="C66" s="426" t="s">
        <v>318</v>
      </c>
      <c r="D66" t="s">
        <v>319</v>
      </c>
      <c r="E66" t="s">
        <v>320</v>
      </c>
      <c r="F66">
        <v>2</v>
      </c>
    </row>
    <row r="67" spans="1:6" x14ac:dyDescent="0.4">
      <c r="A67">
        <v>24023</v>
      </c>
      <c r="B67" t="s">
        <v>321</v>
      </c>
      <c r="C67" s="426" t="s">
        <v>318</v>
      </c>
      <c r="D67" t="s">
        <v>322</v>
      </c>
      <c r="E67" t="s">
        <v>323</v>
      </c>
      <c r="F67">
        <v>4</v>
      </c>
    </row>
    <row r="68" spans="1:6" x14ac:dyDescent="0.4">
      <c r="A68">
        <v>24073</v>
      </c>
      <c r="B68" t="s">
        <v>324</v>
      </c>
      <c r="C68" s="426" t="s">
        <v>325</v>
      </c>
      <c r="D68" t="s">
        <v>319</v>
      </c>
      <c r="E68" t="s">
        <v>320</v>
      </c>
      <c r="F68">
        <v>1</v>
      </c>
    </row>
    <row r="69" spans="1:6" x14ac:dyDescent="0.4">
      <c r="A69">
        <v>24024</v>
      </c>
      <c r="B69" t="s">
        <v>326</v>
      </c>
      <c r="C69" s="426" t="s">
        <v>327</v>
      </c>
      <c r="D69" t="s">
        <v>262</v>
      </c>
      <c r="E69" t="s">
        <v>263</v>
      </c>
      <c r="F69">
        <v>4</v>
      </c>
    </row>
    <row r="70" spans="1:6" x14ac:dyDescent="0.4">
      <c r="A70">
        <v>24025</v>
      </c>
      <c r="B70" t="s">
        <v>328</v>
      </c>
      <c r="C70" s="426" t="s">
        <v>329</v>
      </c>
      <c r="D70" t="s">
        <v>188</v>
      </c>
      <c r="E70" t="s">
        <v>189</v>
      </c>
      <c r="F70">
        <v>2</v>
      </c>
    </row>
    <row r="71" spans="1:6" x14ac:dyDescent="0.4">
      <c r="A71">
        <v>24026</v>
      </c>
      <c r="B71" t="s">
        <v>330</v>
      </c>
      <c r="C71" s="426" t="s">
        <v>331</v>
      </c>
      <c r="F71">
        <v>0</v>
      </c>
    </row>
    <row r="72" spans="1:6" x14ac:dyDescent="0.4">
      <c r="A72">
        <v>24051</v>
      </c>
      <c r="B72" t="s">
        <v>332</v>
      </c>
      <c r="C72" s="426" t="s">
        <v>331</v>
      </c>
      <c r="D72" t="s">
        <v>204</v>
      </c>
      <c r="E72" t="s">
        <v>205</v>
      </c>
      <c r="F72">
        <v>3</v>
      </c>
    </row>
    <row r="73" spans="1:6" x14ac:dyDescent="0.4">
      <c r="A73">
        <v>24084</v>
      </c>
      <c r="B73" t="s">
        <v>333</v>
      </c>
      <c r="C73" s="426" t="s">
        <v>334</v>
      </c>
      <c r="D73" t="s">
        <v>236</v>
      </c>
      <c r="E73" t="s">
        <v>237</v>
      </c>
      <c r="F73">
        <v>1</v>
      </c>
    </row>
    <row r="74" spans="1:6" x14ac:dyDescent="0.4">
      <c r="A74">
        <v>24027</v>
      </c>
      <c r="B74" t="s">
        <v>335</v>
      </c>
      <c r="C74" s="426" t="s">
        <v>334</v>
      </c>
      <c r="D74" t="s">
        <v>213</v>
      </c>
      <c r="E74" t="s">
        <v>214</v>
      </c>
      <c r="F74">
        <v>2</v>
      </c>
    </row>
    <row r="75" spans="1:6" x14ac:dyDescent="0.4">
      <c r="A75">
        <v>24028</v>
      </c>
      <c r="B75" t="s">
        <v>336</v>
      </c>
      <c r="C75" s="426" t="s">
        <v>334</v>
      </c>
      <c r="D75" t="s">
        <v>224</v>
      </c>
      <c r="E75" t="s">
        <v>225</v>
      </c>
      <c r="F75">
        <v>4</v>
      </c>
    </row>
    <row r="76" spans="1:6" x14ac:dyDescent="0.4">
      <c r="A76">
        <v>24029</v>
      </c>
      <c r="B76" t="s">
        <v>337</v>
      </c>
      <c r="C76" s="426" t="s">
        <v>338</v>
      </c>
      <c r="D76" t="s">
        <v>182</v>
      </c>
      <c r="E76" t="s">
        <v>160</v>
      </c>
      <c r="F76">
        <v>2</v>
      </c>
    </row>
    <row r="77" spans="1:6" x14ac:dyDescent="0.4">
      <c r="A77">
        <v>24069</v>
      </c>
      <c r="B77" t="s">
        <v>339</v>
      </c>
      <c r="C77" s="426" t="s">
        <v>338</v>
      </c>
      <c r="D77" t="s">
        <v>182</v>
      </c>
      <c r="E77" t="s">
        <v>160</v>
      </c>
      <c r="F77">
        <v>2</v>
      </c>
    </row>
    <row r="78" spans="1:6" x14ac:dyDescent="0.4">
      <c r="A78">
        <v>24052</v>
      </c>
      <c r="B78" t="s">
        <v>340</v>
      </c>
      <c r="C78" s="426" t="s">
        <v>338</v>
      </c>
      <c r="D78" t="s">
        <v>217</v>
      </c>
      <c r="E78" t="s">
        <v>218</v>
      </c>
      <c r="F78">
        <v>2</v>
      </c>
    </row>
    <row r="79" spans="1:6" x14ac:dyDescent="0.4">
      <c r="A79">
        <v>24030</v>
      </c>
      <c r="B79" t="s">
        <v>341</v>
      </c>
      <c r="C79" s="426" t="s">
        <v>342</v>
      </c>
      <c r="D79" t="s">
        <v>182</v>
      </c>
      <c r="E79" t="s">
        <v>160</v>
      </c>
      <c r="F79">
        <v>4</v>
      </c>
    </row>
    <row r="80" spans="1:6" x14ac:dyDescent="0.4">
      <c r="A80">
        <v>24075</v>
      </c>
      <c r="B80" t="s">
        <v>343</v>
      </c>
      <c r="C80" s="426" t="s">
        <v>342</v>
      </c>
      <c r="D80" t="s">
        <v>258</v>
      </c>
      <c r="E80" t="s">
        <v>259</v>
      </c>
      <c r="F80">
        <v>3</v>
      </c>
    </row>
    <row r="81" spans="1:6" x14ac:dyDescent="0.4">
      <c r="A81">
        <v>24065</v>
      </c>
      <c r="B81" t="s">
        <v>344</v>
      </c>
      <c r="C81" s="426" t="s">
        <v>345</v>
      </c>
      <c r="D81" t="s">
        <v>184</v>
      </c>
      <c r="E81" t="s">
        <v>185</v>
      </c>
      <c r="F81">
        <v>2</v>
      </c>
    </row>
    <row r="82" spans="1:6" x14ac:dyDescent="0.4">
      <c r="A82">
        <v>24053</v>
      </c>
      <c r="B82" t="s">
        <v>346</v>
      </c>
      <c r="C82" s="426" t="s">
        <v>345</v>
      </c>
      <c r="D82" t="s">
        <v>188</v>
      </c>
      <c r="E82" t="s">
        <v>189</v>
      </c>
      <c r="F82">
        <v>2</v>
      </c>
    </row>
    <row r="83" spans="1:6" x14ac:dyDescent="0.4">
      <c r="A83">
        <v>24054</v>
      </c>
      <c r="B83" t="s">
        <v>347</v>
      </c>
      <c r="C83" s="426" t="s">
        <v>348</v>
      </c>
      <c r="D83" t="s">
        <v>243</v>
      </c>
      <c r="E83" t="s">
        <v>244</v>
      </c>
      <c r="F83">
        <v>3</v>
      </c>
    </row>
    <row r="84" spans="1:6" x14ac:dyDescent="0.4">
      <c r="A84">
        <v>24072</v>
      </c>
      <c r="B84" t="s">
        <v>349</v>
      </c>
      <c r="C84" s="426" t="s">
        <v>348</v>
      </c>
      <c r="D84" t="s">
        <v>200</v>
      </c>
      <c r="E84" t="s">
        <v>166</v>
      </c>
      <c r="F84">
        <v>2</v>
      </c>
    </row>
    <row r="85" spans="1:6" x14ac:dyDescent="0.4">
      <c r="A85">
        <v>24055</v>
      </c>
      <c r="B85" t="s">
        <v>350</v>
      </c>
      <c r="C85" s="426" t="s">
        <v>351</v>
      </c>
      <c r="D85" t="s">
        <v>284</v>
      </c>
      <c r="E85" t="s">
        <v>285</v>
      </c>
      <c r="F85">
        <v>2</v>
      </c>
    </row>
    <row r="86" spans="1:6" x14ac:dyDescent="0.4">
      <c r="A86">
        <v>24066</v>
      </c>
      <c r="B86" t="s">
        <v>352</v>
      </c>
      <c r="C86" s="426" t="s">
        <v>351</v>
      </c>
      <c r="D86" t="s">
        <v>252</v>
      </c>
      <c r="E86" t="s">
        <v>253</v>
      </c>
      <c r="F86">
        <v>2</v>
      </c>
    </row>
    <row r="87" spans="1:6" x14ac:dyDescent="0.4">
      <c r="A87">
        <v>24056</v>
      </c>
      <c r="B87" t="s">
        <v>353</v>
      </c>
      <c r="C87" s="426" t="s">
        <v>354</v>
      </c>
      <c r="D87" t="s">
        <v>188</v>
      </c>
      <c r="E87" t="s">
        <v>355</v>
      </c>
      <c r="F87">
        <v>3</v>
      </c>
    </row>
    <row r="88" spans="1:6" x14ac:dyDescent="0.4">
      <c r="A88">
        <v>24078</v>
      </c>
      <c r="B88" t="s">
        <v>356</v>
      </c>
      <c r="C88" s="426" t="s">
        <v>357</v>
      </c>
      <c r="D88" t="s">
        <v>233</v>
      </c>
      <c r="E88" t="s">
        <v>180</v>
      </c>
      <c r="F88">
        <v>2</v>
      </c>
    </row>
    <row r="89" spans="1:6" x14ac:dyDescent="0.4">
      <c r="A89">
        <v>24086</v>
      </c>
      <c r="B89" t="s">
        <v>358</v>
      </c>
      <c r="C89" s="426" t="s">
        <v>359</v>
      </c>
      <c r="D89" t="s">
        <v>159</v>
      </c>
      <c r="E89" t="s">
        <v>160</v>
      </c>
      <c r="F89">
        <v>3</v>
      </c>
    </row>
    <row r="90" spans="1:6" x14ac:dyDescent="0.4">
      <c r="A90">
        <v>24087</v>
      </c>
      <c r="B90" t="s">
        <v>360</v>
      </c>
      <c r="C90" s="426" t="s">
        <v>361</v>
      </c>
      <c r="D90" t="s">
        <v>159</v>
      </c>
      <c r="E90" t="s">
        <v>163</v>
      </c>
      <c r="F90">
        <v>2</v>
      </c>
    </row>
    <row r="91" spans="1:6" x14ac:dyDescent="0.4">
      <c r="A91">
        <v>24057</v>
      </c>
      <c r="B91" t="s">
        <v>362</v>
      </c>
      <c r="C91" s="426" t="s">
        <v>363</v>
      </c>
      <c r="D91" t="s">
        <v>171</v>
      </c>
      <c r="E91" t="s">
        <v>172</v>
      </c>
      <c r="F91">
        <v>2</v>
      </c>
    </row>
    <row r="92" spans="1:6" x14ac:dyDescent="0.4">
      <c r="C92" s="426"/>
    </row>
    <row r="93" spans="1:6" x14ac:dyDescent="0.4">
      <c r="C93" s="426"/>
    </row>
    <row r="94" spans="1:6" x14ac:dyDescent="0.4">
      <c r="C94" s="426"/>
    </row>
    <row r="95" spans="1:6" x14ac:dyDescent="0.4">
      <c r="C95" s="426"/>
    </row>
    <row r="96" spans="1:6" x14ac:dyDescent="0.4">
      <c r="C96" s="426"/>
    </row>
    <row r="97" spans="3:3" x14ac:dyDescent="0.4">
      <c r="C97" s="426"/>
    </row>
    <row r="98" spans="3:3" x14ac:dyDescent="0.4">
      <c r="C98" s="426"/>
    </row>
    <row r="99" spans="3:3" x14ac:dyDescent="0.4">
      <c r="C99" s="426"/>
    </row>
    <row r="100" spans="3:3" x14ac:dyDescent="0.4">
      <c r="C100" s="426"/>
    </row>
    <row r="101" spans="3:3" x14ac:dyDescent="0.4">
      <c r="C101" s="426"/>
    </row>
    <row r="102" spans="3:3" x14ac:dyDescent="0.4">
      <c r="C102" s="426"/>
    </row>
    <row r="103" spans="3:3" x14ac:dyDescent="0.4">
      <c r="C103" s="426"/>
    </row>
    <row r="104" spans="3:3" x14ac:dyDescent="0.4">
      <c r="C104" s="426"/>
    </row>
    <row r="105" spans="3:3" x14ac:dyDescent="0.4">
      <c r="C105" s="426"/>
    </row>
    <row r="106" spans="3:3" x14ac:dyDescent="0.4">
      <c r="C106" s="426"/>
    </row>
    <row r="107" spans="3:3" x14ac:dyDescent="0.4">
      <c r="C107" s="426"/>
    </row>
    <row r="108" spans="3:3" x14ac:dyDescent="0.4">
      <c r="C108" s="426"/>
    </row>
    <row r="109" spans="3:3" x14ac:dyDescent="0.4">
      <c r="C109" s="426"/>
    </row>
    <row r="110" spans="3:3" x14ac:dyDescent="0.4">
      <c r="C110" s="426"/>
    </row>
    <row r="111" spans="3:3" x14ac:dyDescent="0.4">
      <c r="C111" s="426"/>
    </row>
    <row r="112" spans="3:3" x14ac:dyDescent="0.4">
      <c r="C112" s="426"/>
    </row>
    <row r="113" spans="3:3" x14ac:dyDescent="0.4">
      <c r="C113" s="426"/>
    </row>
    <row r="114" spans="3:3" x14ac:dyDescent="0.4">
      <c r="C114" s="426"/>
    </row>
    <row r="115" spans="3:3" x14ac:dyDescent="0.4">
      <c r="C115" s="426"/>
    </row>
    <row r="116" spans="3:3" x14ac:dyDescent="0.4">
      <c r="C116" s="426"/>
    </row>
    <row r="117" spans="3:3" x14ac:dyDescent="0.4">
      <c r="C117" s="426"/>
    </row>
    <row r="118" spans="3:3" x14ac:dyDescent="0.4">
      <c r="C118" s="426"/>
    </row>
    <row r="119" spans="3:3" x14ac:dyDescent="0.4">
      <c r="C119" s="426"/>
    </row>
    <row r="120" spans="3:3" x14ac:dyDescent="0.4">
      <c r="C120" s="426"/>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5"/>
  <dimension ref="A1:C53"/>
  <sheetViews>
    <sheetView zoomScale="75" workbookViewId="0">
      <pane xSplit="1" ySplit="5" topLeftCell="B6" activePane="bottomRight" state="frozen"/>
      <selection pane="topRight" activeCell="G8" sqref="G8"/>
      <selection pane="bottomLeft" activeCell="G8" sqref="G8"/>
      <selection pane="bottomRight" activeCell="G8" sqref="G8"/>
    </sheetView>
  </sheetViews>
  <sheetFormatPr defaultRowHeight="12" x14ac:dyDescent="0.4"/>
  <cols>
    <col min="1" max="1" width="6" customWidth="1"/>
    <col min="2" max="2" width="51.4140625" customWidth="1"/>
  </cols>
  <sheetData>
    <row r="1" spans="1:3" ht="29.25" customHeight="1" thickBot="1" x14ac:dyDescent="0.75">
      <c r="A1" s="106" t="s">
        <v>364</v>
      </c>
      <c r="B1" s="71"/>
      <c r="C1" s="72"/>
    </row>
    <row r="2" spans="1:3" x14ac:dyDescent="0.4">
      <c r="A2" t="s">
        <v>365</v>
      </c>
    </row>
    <row r="3" spans="1:3" ht="12.45" thickBot="1" x14ac:dyDescent="0.45"/>
    <row r="4" spans="1:3" x14ac:dyDescent="0.4">
      <c r="A4" s="110" t="s">
        <v>366</v>
      </c>
      <c r="B4" s="111" t="s">
        <v>367</v>
      </c>
      <c r="C4" s="112" t="s">
        <v>368</v>
      </c>
    </row>
    <row r="5" spans="1:3" ht="12.45" thickBot="1" x14ac:dyDescent="0.45">
      <c r="A5" s="113" t="s">
        <v>369</v>
      </c>
      <c r="B5" s="114"/>
      <c r="C5" s="115"/>
    </row>
    <row r="6" spans="1:3" ht="15.45" x14ac:dyDescent="0.4">
      <c r="A6" s="116" t="s">
        <v>370</v>
      </c>
      <c r="B6" s="117" t="s">
        <v>371</v>
      </c>
      <c r="C6" s="118" t="s">
        <v>372</v>
      </c>
    </row>
    <row r="7" spans="1:3" ht="15.45" x14ac:dyDescent="0.4">
      <c r="A7" s="119" t="s">
        <v>373</v>
      </c>
      <c r="B7" s="120" t="s">
        <v>374</v>
      </c>
      <c r="C7" s="118" t="s">
        <v>375</v>
      </c>
    </row>
    <row r="8" spans="1:3" ht="15.45" x14ac:dyDescent="0.4">
      <c r="A8" s="119" t="s">
        <v>376</v>
      </c>
      <c r="B8" s="121" t="s">
        <v>377</v>
      </c>
      <c r="C8" s="118" t="s">
        <v>378</v>
      </c>
    </row>
    <row r="9" spans="1:3" ht="15.45" x14ac:dyDescent="0.4">
      <c r="A9" s="119" t="s">
        <v>379</v>
      </c>
      <c r="B9" s="120" t="s">
        <v>380</v>
      </c>
      <c r="C9" s="118" t="s">
        <v>378</v>
      </c>
    </row>
    <row r="10" spans="1:3" ht="15.45" x14ac:dyDescent="0.4">
      <c r="A10" s="119" t="s">
        <v>381</v>
      </c>
      <c r="B10" s="120" t="s">
        <v>382</v>
      </c>
      <c r="C10" s="118" t="s">
        <v>372</v>
      </c>
    </row>
    <row r="11" spans="1:3" ht="15.45" x14ac:dyDescent="0.4">
      <c r="A11" s="119" t="s">
        <v>383</v>
      </c>
      <c r="B11" s="120" t="s">
        <v>384</v>
      </c>
      <c r="C11" s="118" t="s">
        <v>378</v>
      </c>
    </row>
    <row r="12" spans="1:3" ht="15.45" x14ac:dyDescent="0.4">
      <c r="A12" s="119" t="s">
        <v>385</v>
      </c>
      <c r="B12" s="120" t="s">
        <v>386</v>
      </c>
      <c r="C12" s="118" t="s">
        <v>375</v>
      </c>
    </row>
    <row r="13" spans="1:3" ht="15.45" x14ac:dyDescent="0.4">
      <c r="A13" s="119" t="s">
        <v>387</v>
      </c>
      <c r="B13" s="121" t="s">
        <v>388</v>
      </c>
      <c r="C13" s="118" t="s">
        <v>372</v>
      </c>
    </row>
    <row r="14" spans="1:3" ht="15.45" x14ac:dyDescent="0.4">
      <c r="A14" s="119" t="s">
        <v>389</v>
      </c>
      <c r="B14" s="120" t="s">
        <v>266</v>
      </c>
      <c r="C14" s="118" t="s">
        <v>375</v>
      </c>
    </row>
    <row r="15" spans="1:3" ht="15.45" x14ac:dyDescent="0.4">
      <c r="A15" s="119" t="s">
        <v>390</v>
      </c>
      <c r="B15" s="120" t="s">
        <v>391</v>
      </c>
      <c r="C15" s="118" t="s">
        <v>375</v>
      </c>
    </row>
    <row r="16" spans="1:3" ht="15.45" x14ac:dyDescent="0.4">
      <c r="A16" s="119" t="s">
        <v>392</v>
      </c>
      <c r="B16" s="120" t="s">
        <v>393</v>
      </c>
      <c r="C16" s="118" t="s">
        <v>375</v>
      </c>
    </row>
    <row r="17" spans="1:3" ht="15.45" x14ac:dyDescent="0.4">
      <c r="A17" s="119" t="s">
        <v>394</v>
      </c>
      <c r="B17" s="120" t="s">
        <v>395</v>
      </c>
      <c r="C17" s="118" t="s">
        <v>375</v>
      </c>
    </row>
    <row r="18" spans="1:3" ht="15.45" x14ac:dyDescent="0.4">
      <c r="A18" s="119" t="s">
        <v>396</v>
      </c>
      <c r="B18" s="121" t="s">
        <v>263</v>
      </c>
      <c r="C18" s="118" t="s">
        <v>375</v>
      </c>
    </row>
    <row r="19" spans="1:3" ht="15.45" x14ac:dyDescent="0.4">
      <c r="A19" s="119" t="s">
        <v>397</v>
      </c>
      <c r="B19" s="121" t="s">
        <v>285</v>
      </c>
      <c r="C19" s="118" t="s">
        <v>378</v>
      </c>
    </row>
    <row r="20" spans="1:3" ht="15.45" x14ac:dyDescent="0.4">
      <c r="A20" s="119" t="s">
        <v>398</v>
      </c>
      <c r="B20" s="120" t="s">
        <v>399</v>
      </c>
      <c r="C20" s="118" t="s">
        <v>372</v>
      </c>
    </row>
    <row r="21" spans="1:3" ht="15.45" x14ac:dyDescent="0.4">
      <c r="A21" s="119" t="s">
        <v>400</v>
      </c>
      <c r="B21" s="120" t="s">
        <v>401</v>
      </c>
      <c r="C21" s="118" t="s">
        <v>372</v>
      </c>
    </row>
    <row r="22" spans="1:3" ht="15.45" x14ac:dyDescent="0.4">
      <c r="A22" s="119" t="s">
        <v>402</v>
      </c>
      <c r="B22" s="121" t="s">
        <v>403</v>
      </c>
      <c r="C22" s="118" t="s">
        <v>375</v>
      </c>
    </row>
    <row r="23" spans="1:3" ht="15.45" x14ac:dyDescent="0.4">
      <c r="A23" s="119" t="s">
        <v>404</v>
      </c>
      <c r="B23" s="121" t="s">
        <v>405</v>
      </c>
      <c r="C23" s="118" t="s">
        <v>378</v>
      </c>
    </row>
    <row r="24" spans="1:3" ht="15.45" x14ac:dyDescent="0.4">
      <c r="A24" s="119" t="s">
        <v>406</v>
      </c>
      <c r="B24" s="120" t="s">
        <v>407</v>
      </c>
      <c r="C24" s="118" t="s">
        <v>378</v>
      </c>
    </row>
    <row r="25" spans="1:3" ht="15.45" x14ac:dyDescent="0.4">
      <c r="A25" s="119" t="s">
        <v>408</v>
      </c>
      <c r="B25" s="120" t="s">
        <v>409</v>
      </c>
      <c r="C25" s="118" t="s">
        <v>375</v>
      </c>
    </row>
    <row r="26" spans="1:3" ht="15.45" x14ac:dyDescent="0.4">
      <c r="A26" s="119" t="s">
        <v>410</v>
      </c>
      <c r="B26" s="120" t="s">
        <v>411</v>
      </c>
      <c r="C26" s="118" t="s">
        <v>375</v>
      </c>
    </row>
    <row r="27" spans="1:3" ht="15.45" x14ac:dyDescent="0.4">
      <c r="A27" s="119" t="s">
        <v>412</v>
      </c>
      <c r="B27" s="121" t="s">
        <v>413</v>
      </c>
      <c r="C27" s="118" t="s">
        <v>375</v>
      </c>
    </row>
    <row r="28" spans="1:3" ht="15.45" x14ac:dyDescent="0.4">
      <c r="A28" s="119" t="s">
        <v>414</v>
      </c>
      <c r="B28" s="120" t="s">
        <v>415</v>
      </c>
      <c r="C28" s="118" t="s">
        <v>375</v>
      </c>
    </row>
    <row r="29" spans="1:3" ht="15.45" x14ac:dyDescent="0.4">
      <c r="A29" s="119" t="s">
        <v>416</v>
      </c>
      <c r="B29" s="120" t="s">
        <v>417</v>
      </c>
      <c r="C29" s="118" t="s">
        <v>378</v>
      </c>
    </row>
    <row r="30" spans="1:3" ht="15.45" x14ac:dyDescent="0.4">
      <c r="A30" s="119" t="s">
        <v>418</v>
      </c>
      <c r="B30" s="120" t="s">
        <v>419</v>
      </c>
      <c r="C30" s="118" t="s">
        <v>372</v>
      </c>
    </row>
    <row r="31" spans="1:3" ht="15.45" x14ac:dyDescent="0.4">
      <c r="A31" s="119" t="s">
        <v>420</v>
      </c>
      <c r="B31" s="120" t="s">
        <v>194</v>
      </c>
      <c r="C31" s="118" t="s">
        <v>375</v>
      </c>
    </row>
    <row r="32" spans="1:3" ht="15.45" x14ac:dyDescent="0.4">
      <c r="A32" s="122" t="s">
        <v>421</v>
      </c>
      <c r="B32" s="123" t="s">
        <v>422</v>
      </c>
      <c r="C32" s="118" t="s">
        <v>378</v>
      </c>
    </row>
    <row r="33" spans="1:3" ht="15.45" x14ac:dyDescent="0.4">
      <c r="A33" s="122" t="s">
        <v>423</v>
      </c>
      <c r="B33" s="123" t="s">
        <v>424</v>
      </c>
      <c r="C33" s="118" t="s">
        <v>378</v>
      </c>
    </row>
    <row r="34" spans="1:3" ht="15.45" x14ac:dyDescent="0.4">
      <c r="A34" s="122" t="s">
        <v>425</v>
      </c>
      <c r="B34" s="123" t="s">
        <v>426</v>
      </c>
      <c r="C34" s="118" t="s">
        <v>372</v>
      </c>
    </row>
    <row r="35" spans="1:3" ht="15.45" x14ac:dyDescent="0.4">
      <c r="A35" s="122" t="s">
        <v>427</v>
      </c>
      <c r="B35" s="123" t="s">
        <v>428</v>
      </c>
      <c r="C35" s="118" t="s">
        <v>378</v>
      </c>
    </row>
    <row r="36" spans="1:3" ht="15.45" x14ac:dyDescent="0.4">
      <c r="A36" s="122" t="s">
        <v>429</v>
      </c>
      <c r="B36" s="123" t="s">
        <v>430</v>
      </c>
      <c r="C36" s="118" t="s">
        <v>378</v>
      </c>
    </row>
    <row r="37" spans="1:3" ht="15.45" x14ac:dyDescent="0.4">
      <c r="A37" s="122" t="s">
        <v>431</v>
      </c>
      <c r="B37" s="123" t="s">
        <v>432</v>
      </c>
      <c r="C37" s="118" t="s">
        <v>378</v>
      </c>
    </row>
    <row r="38" spans="1:3" ht="15.45" x14ac:dyDescent="0.4">
      <c r="A38" s="122" t="s">
        <v>433</v>
      </c>
      <c r="B38" s="123" t="s">
        <v>434</v>
      </c>
      <c r="C38" s="118" t="s">
        <v>378</v>
      </c>
    </row>
    <row r="39" spans="1:3" ht="15.45" x14ac:dyDescent="0.4">
      <c r="A39" s="122" t="s">
        <v>435</v>
      </c>
      <c r="B39" s="123" t="s">
        <v>436</v>
      </c>
      <c r="C39" s="118" t="s">
        <v>372</v>
      </c>
    </row>
    <row r="40" spans="1:3" ht="15.45" x14ac:dyDescent="0.4">
      <c r="A40" s="122" t="s">
        <v>437</v>
      </c>
      <c r="B40" s="123" t="s">
        <v>438</v>
      </c>
      <c r="C40" s="118" t="s">
        <v>378</v>
      </c>
    </row>
    <row r="41" spans="1:3" ht="15.45" x14ac:dyDescent="0.4">
      <c r="A41" s="122" t="s">
        <v>439</v>
      </c>
      <c r="B41" s="123" t="s">
        <v>440</v>
      </c>
      <c r="C41" s="118" t="s">
        <v>372</v>
      </c>
    </row>
    <row r="42" spans="1:3" ht="15.45" x14ac:dyDescent="0.4">
      <c r="A42" s="122" t="s">
        <v>441</v>
      </c>
      <c r="B42" s="123" t="s">
        <v>442</v>
      </c>
      <c r="C42" s="118" t="s">
        <v>378</v>
      </c>
    </row>
    <row r="43" spans="1:3" ht="15.45" x14ac:dyDescent="0.4">
      <c r="A43" s="122" t="s">
        <v>443</v>
      </c>
      <c r="B43" s="123" t="s">
        <v>444</v>
      </c>
      <c r="C43" s="118" t="s">
        <v>378</v>
      </c>
    </row>
    <row r="44" spans="1:3" ht="15.45" x14ac:dyDescent="0.4">
      <c r="A44" s="122" t="s">
        <v>445</v>
      </c>
      <c r="B44" s="123" t="s">
        <v>446</v>
      </c>
      <c r="C44" s="118" t="s">
        <v>378</v>
      </c>
    </row>
    <row r="45" spans="1:3" ht="15.45" x14ac:dyDescent="0.4">
      <c r="A45" s="122" t="s">
        <v>447</v>
      </c>
      <c r="B45" s="123" t="s">
        <v>448</v>
      </c>
      <c r="C45" s="118" t="s">
        <v>372</v>
      </c>
    </row>
    <row r="46" spans="1:3" ht="15.45" x14ac:dyDescent="0.4">
      <c r="A46" s="122" t="s">
        <v>449</v>
      </c>
      <c r="B46" s="123" t="s">
        <v>450</v>
      </c>
      <c r="C46" s="118" t="s">
        <v>378</v>
      </c>
    </row>
    <row r="47" spans="1:3" ht="15.45" x14ac:dyDescent="0.4">
      <c r="A47" s="122" t="s">
        <v>451</v>
      </c>
      <c r="B47" s="123" t="s">
        <v>452</v>
      </c>
      <c r="C47" s="118" t="s">
        <v>378</v>
      </c>
    </row>
    <row r="48" spans="1:3" ht="15.45" x14ac:dyDescent="0.4">
      <c r="A48" s="122" t="s">
        <v>453</v>
      </c>
      <c r="B48" s="123" t="s">
        <v>454</v>
      </c>
      <c r="C48" s="118" t="s">
        <v>378</v>
      </c>
    </row>
    <row r="49" spans="1:3" ht="15.45" x14ac:dyDescent="0.4">
      <c r="A49" s="122" t="s">
        <v>455</v>
      </c>
      <c r="B49" s="123" t="s">
        <v>456</v>
      </c>
      <c r="C49" s="118" t="s">
        <v>372</v>
      </c>
    </row>
    <row r="50" spans="1:3" ht="15.45" x14ac:dyDescent="0.4">
      <c r="A50" s="122" t="s">
        <v>457</v>
      </c>
      <c r="B50" s="123" t="s">
        <v>458</v>
      </c>
      <c r="C50" s="118" t="s">
        <v>372</v>
      </c>
    </row>
    <row r="51" spans="1:3" ht="15.45" x14ac:dyDescent="0.4">
      <c r="A51" s="122" t="s">
        <v>459</v>
      </c>
      <c r="B51" s="123" t="s">
        <v>460</v>
      </c>
      <c r="C51" s="118" t="s">
        <v>378</v>
      </c>
    </row>
    <row r="52" spans="1:3" ht="15.45" x14ac:dyDescent="0.4">
      <c r="A52" s="122" t="s">
        <v>461</v>
      </c>
      <c r="B52" s="123" t="s">
        <v>462</v>
      </c>
      <c r="C52" s="118" t="s">
        <v>378</v>
      </c>
    </row>
    <row r="53" spans="1:3" ht="15.45" x14ac:dyDescent="0.4">
      <c r="A53" s="122" t="s">
        <v>463</v>
      </c>
      <c r="B53" s="123" t="s">
        <v>464</v>
      </c>
      <c r="C53" s="118" t="s">
        <v>375</v>
      </c>
    </row>
  </sheetData>
  <sheetProtection sheet="1" objects="1" scenarios="1"/>
  <phoneticPr fontId="0" type="noConversion"/>
  <conditionalFormatting sqref="C6:C53">
    <cfRule type="cellIs" dxfId="122" priority="1" stopIfTrue="1" operator="equal">
      <formula>"V"</formula>
    </cfRule>
    <cfRule type="cellIs" dxfId="121" priority="2" stopIfTrue="1" operator="equal">
      <formula>"Z"</formula>
    </cfRule>
  </conditionalFormatting>
  <pageMargins left="0.78740157499999996" right="0.78740157499999996" top="0.984251969" bottom="0.984251969" header="0.4921259845" footer="0.4921259845"/>
  <headerFooter alignWithMargins="0"/>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List9"/>
  <dimension ref="A1:K1019"/>
  <sheetViews>
    <sheetView zoomScaleNormal="100" workbookViewId="0">
      <pane ySplit="4" topLeftCell="A5" activePane="bottomLeft" state="frozen"/>
      <selection activeCell="G8" sqref="G8"/>
      <selection pane="bottomLeft" activeCell="A5" sqref="A5"/>
    </sheetView>
  </sheetViews>
  <sheetFormatPr defaultColWidth="9.1640625" defaultRowHeight="12" x14ac:dyDescent="0.4"/>
  <cols>
    <col min="1" max="1" width="8.58203125" customWidth="1"/>
    <col min="2" max="2" width="17.25" customWidth="1"/>
    <col min="3" max="3" width="16.1640625" customWidth="1"/>
    <col min="4" max="4" width="4" bestFit="1" customWidth="1"/>
    <col min="5" max="5" width="31" bestFit="1" customWidth="1"/>
    <col min="6" max="6" width="6.75" customWidth="1"/>
    <col min="7" max="9" width="7.4140625" customWidth="1"/>
    <col min="10" max="10" width="9.4140625" customWidth="1"/>
    <col min="11" max="11" width="8" customWidth="1"/>
  </cols>
  <sheetData>
    <row r="1" spans="1:11" ht="30.45" thickBot="1" x14ac:dyDescent="0.75">
      <c r="A1" s="106" t="s">
        <v>465</v>
      </c>
      <c r="B1" s="71"/>
      <c r="C1" s="71"/>
      <c r="D1" s="71"/>
      <c r="E1" s="72"/>
      <c r="F1" s="71"/>
      <c r="G1" s="71"/>
      <c r="H1" s="71"/>
      <c r="I1" s="108"/>
      <c r="J1" s="109"/>
      <c r="K1" s="71"/>
    </row>
    <row r="2" spans="1:11" ht="19.2" customHeight="1" x14ac:dyDescent="0.4">
      <c r="A2" s="140" t="s">
        <v>466</v>
      </c>
      <c r="B2" s="140"/>
      <c r="C2" s="140"/>
      <c r="D2" s="140"/>
      <c r="E2" s="261">
        <v>45404</v>
      </c>
      <c r="F2" s="140"/>
      <c r="G2" s="140"/>
      <c r="H2" s="140"/>
      <c r="I2" s="140"/>
      <c r="J2" s="140"/>
      <c r="K2" s="140"/>
    </row>
    <row r="3" spans="1:11" ht="12.9" x14ac:dyDescent="0.45">
      <c r="F3" s="262" t="s">
        <v>467</v>
      </c>
    </row>
    <row r="4" spans="1:11" ht="13.3" x14ac:dyDescent="0.4">
      <c r="A4" s="107" t="s">
        <v>468</v>
      </c>
      <c r="B4" s="107" t="s">
        <v>469</v>
      </c>
      <c r="C4" s="107" t="s">
        <v>470</v>
      </c>
      <c r="D4" s="107" t="s">
        <v>471</v>
      </c>
      <c r="E4" s="107" t="s">
        <v>472</v>
      </c>
      <c r="F4" s="107" t="s">
        <v>369</v>
      </c>
      <c r="G4" s="107" t="s">
        <v>473</v>
      </c>
      <c r="H4" s="107" t="s">
        <v>474</v>
      </c>
      <c r="I4" s="107" t="s">
        <v>475</v>
      </c>
      <c r="J4" s="107" t="s">
        <v>476</v>
      </c>
      <c r="K4" s="107" t="s">
        <v>477</v>
      </c>
    </row>
    <row r="5" spans="1:11" x14ac:dyDescent="0.4">
      <c r="A5">
        <v>20529</v>
      </c>
      <c r="B5" t="s">
        <v>478</v>
      </c>
      <c r="C5" t="s">
        <v>479</v>
      </c>
      <c r="E5" t="s">
        <v>320</v>
      </c>
      <c r="F5">
        <v>86</v>
      </c>
      <c r="G5">
        <v>1988</v>
      </c>
      <c r="H5">
        <v>497</v>
      </c>
      <c r="I5">
        <v>0.92200000000000004</v>
      </c>
      <c r="J5">
        <v>76.503</v>
      </c>
      <c r="K5">
        <v>31</v>
      </c>
    </row>
    <row r="6" spans="1:11" x14ac:dyDescent="0.4">
      <c r="A6">
        <v>22167</v>
      </c>
      <c r="B6" t="s">
        <v>480</v>
      </c>
      <c r="C6" t="s">
        <v>481</v>
      </c>
      <c r="E6" t="s">
        <v>438</v>
      </c>
      <c r="F6">
        <v>43</v>
      </c>
      <c r="G6">
        <v>1973</v>
      </c>
      <c r="H6">
        <v>574</v>
      </c>
      <c r="I6">
        <v>0.68799999999999994</v>
      </c>
      <c r="J6">
        <v>22.861999999999998</v>
      </c>
      <c r="K6">
        <v>0</v>
      </c>
    </row>
    <row r="7" spans="1:11" x14ac:dyDescent="0.4">
      <c r="A7">
        <v>24317</v>
      </c>
      <c r="B7" t="s">
        <v>482</v>
      </c>
      <c r="C7" t="s">
        <v>483</v>
      </c>
      <c r="E7" t="s">
        <v>194</v>
      </c>
      <c r="F7">
        <v>33</v>
      </c>
      <c r="G7">
        <v>1954</v>
      </c>
      <c r="H7">
        <v>133</v>
      </c>
      <c r="I7">
        <v>22.626000000000001</v>
      </c>
      <c r="J7">
        <v>1446.8309999999999</v>
      </c>
      <c r="K7">
        <v>500</v>
      </c>
    </row>
    <row r="8" spans="1:11" x14ac:dyDescent="0.4">
      <c r="A8">
        <v>21018</v>
      </c>
      <c r="B8" t="s">
        <v>484</v>
      </c>
      <c r="C8" t="s">
        <v>485</v>
      </c>
      <c r="E8" t="s">
        <v>214</v>
      </c>
      <c r="F8">
        <v>69</v>
      </c>
      <c r="G8">
        <v>1979</v>
      </c>
      <c r="H8">
        <v>375</v>
      </c>
      <c r="I8">
        <v>4.0640000000000001</v>
      </c>
      <c r="J8">
        <v>245.899</v>
      </c>
      <c r="K8">
        <v>128</v>
      </c>
    </row>
    <row r="9" spans="1:11" x14ac:dyDescent="0.4">
      <c r="A9">
        <v>14091</v>
      </c>
      <c r="B9" t="s">
        <v>486</v>
      </c>
      <c r="C9" t="s">
        <v>487</v>
      </c>
      <c r="E9" t="s">
        <v>488</v>
      </c>
      <c r="F9">
        <v>79</v>
      </c>
      <c r="G9">
        <v>1987</v>
      </c>
      <c r="H9">
        <v>440</v>
      </c>
      <c r="I9">
        <v>1.5629999999999999</v>
      </c>
      <c r="J9">
        <v>146.84399999999999</v>
      </c>
      <c r="K9">
        <v>88</v>
      </c>
    </row>
    <row r="10" spans="1:11" x14ac:dyDescent="0.4">
      <c r="A10">
        <v>18081</v>
      </c>
      <c r="B10" t="s">
        <v>489</v>
      </c>
      <c r="C10" t="s">
        <v>490</v>
      </c>
      <c r="E10" t="s">
        <v>180</v>
      </c>
      <c r="F10">
        <v>89</v>
      </c>
      <c r="G10">
        <v>1950</v>
      </c>
      <c r="H10">
        <v>318</v>
      </c>
      <c r="I10">
        <v>9.032</v>
      </c>
      <c r="J10">
        <v>389.03100000000001</v>
      </c>
      <c r="K10">
        <v>79</v>
      </c>
    </row>
    <row r="11" spans="1:11" x14ac:dyDescent="0.4">
      <c r="A11">
        <v>96209</v>
      </c>
      <c r="B11" t="s">
        <v>489</v>
      </c>
      <c r="C11" t="s">
        <v>487</v>
      </c>
      <c r="E11" t="s">
        <v>237</v>
      </c>
      <c r="F11">
        <v>1</v>
      </c>
      <c r="G11">
        <v>1962</v>
      </c>
      <c r="H11">
        <v>478</v>
      </c>
      <c r="I11">
        <v>2.625</v>
      </c>
      <c r="J11">
        <v>99.391000000000005</v>
      </c>
      <c r="K11">
        <v>0</v>
      </c>
    </row>
    <row r="12" spans="1:11" x14ac:dyDescent="0.4">
      <c r="A12">
        <v>18080</v>
      </c>
      <c r="B12" t="s">
        <v>491</v>
      </c>
      <c r="C12" t="s">
        <v>492</v>
      </c>
      <c r="D12" t="s">
        <v>378</v>
      </c>
      <c r="E12" t="s">
        <v>180</v>
      </c>
      <c r="F12">
        <v>89</v>
      </c>
      <c r="G12">
        <v>1949</v>
      </c>
      <c r="H12">
        <v>335</v>
      </c>
      <c r="I12">
        <v>8.157</v>
      </c>
      <c r="J12">
        <v>338.37</v>
      </c>
      <c r="K12">
        <v>54</v>
      </c>
    </row>
    <row r="13" spans="1:11" x14ac:dyDescent="0.4">
      <c r="A13">
        <v>96210</v>
      </c>
      <c r="B13" t="s">
        <v>491</v>
      </c>
      <c r="C13" t="s">
        <v>493</v>
      </c>
      <c r="D13" t="s">
        <v>378</v>
      </c>
      <c r="E13" t="s">
        <v>237</v>
      </c>
      <c r="F13">
        <v>1</v>
      </c>
      <c r="G13">
        <v>1962</v>
      </c>
      <c r="H13">
        <v>599</v>
      </c>
      <c r="I13">
        <v>0</v>
      </c>
      <c r="J13">
        <v>0</v>
      </c>
      <c r="K13">
        <v>0</v>
      </c>
    </row>
    <row r="14" spans="1:11" x14ac:dyDescent="0.4">
      <c r="A14">
        <v>22160</v>
      </c>
      <c r="B14" t="s">
        <v>494</v>
      </c>
      <c r="C14" t="s">
        <v>495</v>
      </c>
      <c r="E14" t="s">
        <v>496</v>
      </c>
      <c r="F14">
        <v>93</v>
      </c>
      <c r="G14">
        <v>2006</v>
      </c>
      <c r="H14">
        <v>600</v>
      </c>
      <c r="I14">
        <v>0</v>
      </c>
      <c r="J14">
        <v>0</v>
      </c>
      <c r="K14">
        <v>0</v>
      </c>
    </row>
    <row r="15" spans="1:11" x14ac:dyDescent="0.4">
      <c r="A15">
        <v>13079</v>
      </c>
      <c r="B15" t="s">
        <v>497</v>
      </c>
      <c r="C15" t="s">
        <v>498</v>
      </c>
      <c r="E15" t="s">
        <v>499</v>
      </c>
      <c r="F15">
        <v>51</v>
      </c>
      <c r="G15">
        <v>1956</v>
      </c>
      <c r="H15">
        <v>152</v>
      </c>
      <c r="I15">
        <v>22.689</v>
      </c>
      <c r="J15">
        <v>1272.3230000000001</v>
      </c>
      <c r="K15">
        <v>423</v>
      </c>
    </row>
    <row r="16" spans="1:11" x14ac:dyDescent="0.4">
      <c r="A16">
        <v>99528</v>
      </c>
      <c r="B16" t="s">
        <v>497</v>
      </c>
      <c r="C16" t="s">
        <v>500</v>
      </c>
      <c r="E16" t="s">
        <v>501</v>
      </c>
      <c r="F16">
        <v>29</v>
      </c>
      <c r="G16">
        <v>1967</v>
      </c>
      <c r="H16">
        <v>334</v>
      </c>
      <c r="I16">
        <v>8.25</v>
      </c>
      <c r="J16">
        <v>338.98700000000002</v>
      </c>
      <c r="K16">
        <v>38</v>
      </c>
    </row>
    <row r="17" spans="1:11" x14ac:dyDescent="0.4">
      <c r="A17">
        <v>15042</v>
      </c>
      <c r="B17" t="s">
        <v>502</v>
      </c>
      <c r="C17" t="s">
        <v>503</v>
      </c>
      <c r="D17" t="s">
        <v>378</v>
      </c>
      <c r="E17" t="s">
        <v>499</v>
      </c>
      <c r="F17">
        <v>51</v>
      </c>
      <c r="G17">
        <v>1955</v>
      </c>
      <c r="H17">
        <v>153</v>
      </c>
      <c r="I17">
        <v>22.689</v>
      </c>
      <c r="J17">
        <v>1272.3230000000001</v>
      </c>
      <c r="K17">
        <v>423</v>
      </c>
    </row>
    <row r="18" spans="1:11" x14ac:dyDescent="0.4">
      <c r="A18">
        <v>14008</v>
      </c>
      <c r="B18" t="s">
        <v>504</v>
      </c>
      <c r="C18" t="s">
        <v>505</v>
      </c>
      <c r="E18" t="s">
        <v>415</v>
      </c>
      <c r="F18">
        <v>30</v>
      </c>
      <c r="G18">
        <v>1978</v>
      </c>
      <c r="H18">
        <v>17</v>
      </c>
      <c r="I18">
        <v>46.25</v>
      </c>
      <c r="J18">
        <v>3114.0909999999999</v>
      </c>
      <c r="K18">
        <v>1598</v>
      </c>
    </row>
    <row r="19" spans="1:11" x14ac:dyDescent="0.4">
      <c r="A19">
        <v>23233</v>
      </c>
      <c r="B19" t="s">
        <v>506</v>
      </c>
      <c r="C19" t="s">
        <v>507</v>
      </c>
      <c r="D19" t="s">
        <v>508</v>
      </c>
      <c r="E19" t="s">
        <v>509</v>
      </c>
      <c r="F19">
        <v>74</v>
      </c>
      <c r="G19">
        <v>2012</v>
      </c>
      <c r="H19">
        <v>601</v>
      </c>
      <c r="I19">
        <v>0</v>
      </c>
      <c r="J19">
        <v>0</v>
      </c>
      <c r="K19">
        <v>0</v>
      </c>
    </row>
    <row r="20" spans="1:11" x14ac:dyDescent="0.4">
      <c r="A20">
        <v>23232</v>
      </c>
      <c r="B20" t="s">
        <v>506</v>
      </c>
      <c r="C20" t="s">
        <v>510</v>
      </c>
      <c r="D20" t="s">
        <v>508</v>
      </c>
      <c r="E20" t="s">
        <v>509</v>
      </c>
      <c r="F20">
        <v>74</v>
      </c>
      <c r="G20">
        <v>2009</v>
      </c>
      <c r="H20">
        <v>467</v>
      </c>
      <c r="I20">
        <v>3</v>
      </c>
      <c r="J20">
        <v>107.961</v>
      </c>
      <c r="K20">
        <v>0</v>
      </c>
    </row>
    <row r="21" spans="1:11" x14ac:dyDescent="0.4">
      <c r="A21">
        <v>17060</v>
      </c>
      <c r="B21" t="s">
        <v>511</v>
      </c>
      <c r="C21" t="s">
        <v>485</v>
      </c>
      <c r="E21" t="s">
        <v>403</v>
      </c>
      <c r="F21">
        <v>22</v>
      </c>
      <c r="G21">
        <v>2004</v>
      </c>
      <c r="H21">
        <v>296</v>
      </c>
      <c r="I21">
        <v>14.125</v>
      </c>
      <c r="J21">
        <v>456.24099999999999</v>
      </c>
      <c r="K21">
        <v>0</v>
      </c>
    </row>
    <row r="22" spans="1:11" x14ac:dyDescent="0.4">
      <c r="A22">
        <v>24505</v>
      </c>
      <c r="B22" t="s">
        <v>512</v>
      </c>
      <c r="C22" t="s">
        <v>513</v>
      </c>
      <c r="D22" t="s">
        <v>378</v>
      </c>
      <c r="E22" t="s">
        <v>514</v>
      </c>
      <c r="F22">
        <v>83</v>
      </c>
      <c r="G22">
        <v>1977</v>
      </c>
      <c r="H22">
        <v>457</v>
      </c>
      <c r="I22">
        <v>3.1560000000000001</v>
      </c>
      <c r="J22">
        <v>124.105</v>
      </c>
      <c r="K22">
        <v>0</v>
      </c>
    </row>
    <row r="23" spans="1:11" x14ac:dyDescent="0.4">
      <c r="A23">
        <v>18033</v>
      </c>
      <c r="B23" t="s">
        <v>515</v>
      </c>
      <c r="C23" t="s">
        <v>490</v>
      </c>
      <c r="E23" t="s">
        <v>516</v>
      </c>
      <c r="F23">
        <v>81</v>
      </c>
      <c r="G23">
        <v>1999</v>
      </c>
      <c r="H23">
        <v>602</v>
      </c>
      <c r="I23">
        <v>0</v>
      </c>
      <c r="J23">
        <v>0</v>
      </c>
      <c r="K23">
        <v>0</v>
      </c>
    </row>
    <row r="24" spans="1:11" x14ac:dyDescent="0.4">
      <c r="A24">
        <v>16049</v>
      </c>
      <c r="B24" t="s">
        <v>517</v>
      </c>
      <c r="C24" t="s">
        <v>490</v>
      </c>
      <c r="E24" t="s">
        <v>516</v>
      </c>
      <c r="F24">
        <v>81</v>
      </c>
      <c r="G24">
        <v>1973</v>
      </c>
      <c r="H24">
        <v>365</v>
      </c>
      <c r="I24">
        <v>7.3440000000000003</v>
      </c>
      <c r="J24">
        <v>273.40699999999998</v>
      </c>
      <c r="K24">
        <v>0</v>
      </c>
    </row>
    <row r="25" spans="1:11" x14ac:dyDescent="0.4">
      <c r="A25">
        <v>21012</v>
      </c>
      <c r="B25" t="s">
        <v>518</v>
      </c>
      <c r="C25" t="s">
        <v>519</v>
      </c>
      <c r="E25" t="s">
        <v>516</v>
      </c>
      <c r="F25">
        <v>81</v>
      </c>
      <c r="G25">
        <v>1973</v>
      </c>
      <c r="H25">
        <v>364</v>
      </c>
      <c r="I25">
        <v>7.72</v>
      </c>
      <c r="J25">
        <v>274.452</v>
      </c>
      <c r="K25">
        <v>0</v>
      </c>
    </row>
    <row r="26" spans="1:11" x14ac:dyDescent="0.4">
      <c r="A26">
        <v>23217</v>
      </c>
      <c r="B26" t="s">
        <v>520</v>
      </c>
      <c r="C26" t="s">
        <v>495</v>
      </c>
      <c r="E26" t="s">
        <v>163</v>
      </c>
      <c r="F26">
        <v>96</v>
      </c>
      <c r="G26">
        <v>1959</v>
      </c>
      <c r="H26">
        <v>157</v>
      </c>
      <c r="I26">
        <v>18.001000000000001</v>
      </c>
      <c r="J26">
        <v>1214.7280000000001</v>
      </c>
      <c r="K26">
        <v>534</v>
      </c>
    </row>
    <row r="27" spans="1:11" x14ac:dyDescent="0.4">
      <c r="A27">
        <v>28005</v>
      </c>
      <c r="B27" t="s">
        <v>521</v>
      </c>
      <c r="C27" t="s">
        <v>485</v>
      </c>
      <c r="E27" t="s">
        <v>522</v>
      </c>
      <c r="F27">
        <v>2</v>
      </c>
      <c r="G27">
        <v>1953</v>
      </c>
      <c r="H27">
        <v>150</v>
      </c>
      <c r="I27">
        <v>19.658000000000001</v>
      </c>
      <c r="J27">
        <v>1285.634</v>
      </c>
      <c r="K27">
        <v>478</v>
      </c>
    </row>
    <row r="28" spans="1:11" x14ac:dyDescent="0.4">
      <c r="A28">
        <v>28056</v>
      </c>
      <c r="B28" t="s">
        <v>523</v>
      </c>
      <c r="C28" t="s">
        <v>524</v>
      </c>
      <c r="D28" t="s">
        <v>378</v>
      </c>
      <c r="E28" t="s">
        <v>522</v>
      </c>
      <c r="F28">
        <v>2</v>
      </c>
      <c r="G28">
        <v>1952</v>
      </c>
      <c r="H28">
        <v>219</v>
      </c>
      <c r="I28">
        <v>14.815</v>
      </c>
      <c r="J28">
        <v>817.91700000000003</v>
      </c>
      <c r="K28">
        <v>203</v>
      </c>
    </row>
    <row r="29" spans="1:11" x14ac:dyDescent="0.4">
      <c r="A29">
        <v>21064</v>
      </c>
      <c r="B29" t="s">
        <v>525</v>
      </c>
      <c r="C29" t="s">
        <v>526</v>
      </c>
      <c r="E29" t="s">
        <v>527</v>
      </c>
      <c r="F29">
        <v>68</v>
      </c>
      <c r="G29">
        <v>1978</v>
      </c>
      <c r="H29">
        <v>343</v>
      </c>
      <c r="I29">
        <v>4.4379999999999997</v>
      </c>
      <c r="J29">
        <v>318.91399999999999</v>
      </c>
      <c r="K29">
        <v>141</v>
      </c>
    </row>
    <row r="30" spans="1:11" x14ac:dyDescent="0.4">
      <c r="A30">
        <v>21009</v>
      </c>
      <c r="B30" t="s">
        <v>525</v>
      </c>
      <c r="C30" t="s">
        <v>528</v>
      </c>
      <c r="E30" t="s">
        <v>527</v>
      </c>
      <c r="F30">
        <v>68</v>
      </c>
      <c r="G30">
        <v>1992</v>
      </c>
      <c r="H30">
        <v>565</v>
      </c>
      <c r="I30">
        <v>0.93799999999999994</v>
      </c>
      <c r="J30">
        <v>29.530999999999999</v>
      </c>
      <c r="K30">
        <v>0</v>
      </c>
    </row>
    <row r="31" spans="1:11" x14ac:dyDescent="0.4">
      <c r="A31">
        <v>19023</v>
      </c>
      <c r="B31" t="s">
        <v>529</v>
      </c>
      <c r="C31" t="s">
        <v>530</v>
      </c>
      <c r="D31" t="s">
        <v>378</v>
      </c>
      <c r="E31" t="s">
        <v>499</v>
      </c>
      <c r="F31">
        <v>51</v>
      </c>
      <c r="G31">
        <v>1956</v>
      </c>
      <c r="H31">
        <v>80</v>
      </c>
      <c r="I31">
        <v>25.407</v>
      </c>
      <c r="J31">
        <v>1972.038</v>
      </c>
      <c r="K31">
        <v>973</v>
      </c>
    </row>
    <row r="32" spans="1:11" x14ac:dyDescent="0.4">
      <c r="A32">
        <v>12030</v>
      </c>
      <c r="B32" t="s">
        <v>531</v>
      </c>
      <c r="C32" t="s">
        <v>532</v>
      </c>
      <c r="D32" t="s">
        <v>378</v>
      </c>
      <c r="E32" t="s">
        <v>533</v>
      </c>
      <c r="F32">
        <v>73</v>
      </c>
      <c r="G32">
        <v>1948</v>
      </c>
      <c r="H32">
        <v>371</v>
      </c>
      <c r="I32">
        <v>3.125</v>
      </c>
      <c r="J32">
        <v>257.09699999999998</v>
      </c>
      <c r="K32">
        <v>107</v>
      </c>
    </row>
    <row r="33" spans="1:11" x14ac:dyDescent="0.4">
      <c r="A33">
        <v>22161</v>
      </c>
      <c r="B33" t="s">
        <v>534</v>
      </c>
      <c r="C33" t="s">
        <v>535</v>
      </c>
      <c r="E33" t="s">
        <v>496</v>
      </c>
      <c r="F33">
        <v>93</v>
      </c>
      <c r="G33">
        <v>2006</v>
      </c>
      <c r="H33">
        <v>348</v>
      </c>
      <c r="I33">
        <v>2.7189999999999999</v>
      </c>
      <c r="J33">
        <v>312.46899999999999</v>
      </c>
      <c r="K33">
        <v>171</v>
      </c>
    </row>
    <row r="34" spans="1:11" x14ac:dyDescent="0.4">
      <c r="A34">
        <v>14081</v>
      </c>
      <c r="B34" t="s">
        <v>536</v>
      </c>
      <c r="C34" t="s">
        <v>537</v>
      </c>
      <c r="D34" t="s">
        <v>378</v>
      </c>
      <c r="E34" t="s">
        <v>488</v>
      </c>
      <c r="F34">
        <v>79</v>
      </c>
      <c r="G34">
        <v>1982</v>
      </c>
      <c r="H34">
        <v>412</v>
      </c>
      <c r="I34">
        <v>3.0310000000000001</v>
      </c>
      <c r="J34">
        <v>166.7</v>
      </c>
      <c r="K34">
        <v>34</v>
      </c>
    </row>
    <row r="35" spans="1:11" x14ac:dyDescent="0.4">
      <c r="A35">
        <v>10076</v>
      </c>
      <c r="B35" t="s">
        <v>538</v>
      </c>
      <c r="C35" t="s">
        <v>539</v>
      </c>
      <c r="E35" t="s">
        <v>214</v>
      </c>
      <c r="F35">
        <v>69</v>
      </c>
      <c r="G35">
        <v>1947</v>
      </c>
      <c r="H35">
        <v>492</v>
      </c>
      <c r="I35">
        <v>1.7809999999999999</v>
      </c>
      <c r="J35">
        <v>79.334999999999994</v>
      </c>
      <c r="K35">
        <v>43</v>
      </c>
    </row>
    <row r="36" spans="1:11" x14ac:dyDescent="0.4">
      <c r="A36">
        <v>23230</v>
      </c>
      <c r="B36" t="s">
        <v>540</v>
      </c>
      <c r="C36" t="s">
        <v>539</v>
      </c>
      <c r="E36" t="s">
        <v>160</v>
      </c>
      <c r="F36">
        <v>64</v>
      </c>
      <c r="G36">
        <v>1952</v>
      </c>
      <c r="H36">
        <v>578</v>
      </c>
      <c r="I36">
        <v>0.625</v>
      </c>
      <c r="J36">
        <v>19.381</v>
      </c>
      <c r="K36">
        <v>0</v>
      </c>
    </row>
    <row r="37" spans="1:11" x14ac:dyDescent="0.4">
      <c r="A37">
        <v>16002</v>
      </c>
      <c r="B37" t="s">
        <v>541</v>
      </c>
      <c r="C37" t="s">
        <v>526</v>
      </c>
      <c r="E37" t="s">
        <v>225</v>
      </c>
      <c r="F37">
        <v>62</v>
      </c>
      <c r="G37">
        <v>1978</v>
      </c>
      <c r="H37">
        <v>580</v>
      </c>
      <c r="I37">
        <v>0.75</v>
      </c>
      <c r="J37">
        <v>18.384</v>
      </c>
      <c r="K37">
        <v>0</v>
      </c>
    </row>
    <row r="38" spans="1:11" x14ac:dyDescent="0.4">
      <c r="A38">
        <v>23259</v>
      </c>
      <c r="B38" t="s">
        <v>542</v>
      </c>
      <c r="C38" t="s">
        <v>543</v>
      </c>
      <c r="D38" t="s">
        <v>508</v>
      </c>
      <c r="E38" t="s">
        <v>176</v>
      </c>
      <c r="F38">
        <v>95</v>
      </c>
      <c r="G38">
        <v>2007</v>
      </c>
      <c r="H38">
        <v>603</v>
      </c>
      <c r="I38">
        <v>0</v>
      </c>
      <c r="J38">
        <v>0</v>
      </c>
      <c r="K38">
        <v>0</v>
      </c>
    </row>
    <row r="39" spans="1:11" x14ac:dyDescent="0.4">
      <c r="A39">
        <v>23258</v>
      </c>
      <c r="B39" t="s">
        <v>544</v>
      </c>
      <c r="C39" t="s">
        <v>545</v>
      </c>
      <c r="D39" t="s">
        <v>546</v>
      </c>
      <c r="E39" t="s">
        <v>176</v>
      </c>
      <c r="F39">
        <v>95</v>
      </c>
      <c r="G39">
        <v>2009</v>
      </c>
      <c r="H39">
        <v>389</v>
      </c>
      <c r="I39">
        <v>6.7510000000000003</v>
      </c>
      <c r="J39">
        <v>222.899</v>
      </c>
      <c r="K39">
        <v>0</v>
      </c>
    </row>
    <row r="40" spans="1:11" x14ac:dyDescent="0.4">
      <c r="A40">
        <v>22183</v>
      </c>
      <c r="B40" t="s">
        <v>547</v>
      </c>
      <c r="C40" t="s">
        <v>548</v>
      </c>
      <c r="D40" t="s">
        <v>546</v>
      </c>
      <c r="E40" t="s">
        <v>549</v>
      </c>
      <c r="F40">
        <v>100</v>
      </c>
      <c r="G40">
        <v>2012</v>
      </c>
      <c r="H40">
        <v>67</v>
      </c>
      <c r="I40">
        <v>36.125</v>
      </c>
      <c r="J40">
        <v>2135.5650000000001</v>
      </c>
      <c r="K40">
        <v>887</v>
      </c>
    </row>
    <row r="41" spans="1:11" x14ac:dyDescent="0.4">
      <c r="A41">
        <v>22181</v>
      </c>
      <c r="B41" t="s">
        <v>547</v>
      </c>
      <c r="C41" t="s">
        <v>550</v>
      </c>
      <c r="E41" t="s">
        <v>549</v>
      </c>
      <c r="F41">
        <v>100</v>
      </c>
      <c r="G41">
        <v>1964</v>
      </c>
      <c r="H41">
        <v>91</v>
      </c>
      <c r="I41">
        <v>29.125</v>
      </c>
      <c r="J41">
        <v>1846.7249999999999</v>
      </c>
      <c r="K41">
        <v>834</v>
      </c>
    </row>
    <row r="42" spans="1:11" x14ac:dyDescent="0.4">
      <c r="A42">
        <v>16050</v>
      </c>
      <c r="B42" t="s">
        <v>551</v>
      </c>
      <c r="C42" t="s">
        <v>552</v>
      </c>
      <c r="E42" t="s">
        <v>516</v>
      </c>
      <c r="F42">
        <v>81</v>
      </c>
      <c r="G42">
        <v>1958</v>
      </c>
      <c r="H42">
        <v>427</v>
      </c>
      <c r="I42">
        <v>4.5629999999999997</v>
      </c>
      <c r="J42">
        <v>156.92400000000001</v>
      </c>
      <c r="K42">
        <v>0</v>
      </c>
    </row>
    <row r="43" spans="1:11" x14ac:dyDescent="0.4">
      <c r="A43">
        <v>13055</v>
      </c>
      <c r="B43" t="s">
        <v>553</v>
      </c>
      <c r="C43" t="s">
        <v>554</v>
      </c>
      <c r="E43" t="s">
        <v>415</v>
      </c>
      <c r="F43">
        <v>30</v>
      </c>
      <c r="G43">
        <v>1971</v>
      </c>
      <c r="H43">
        <v>395</v>
      </c>
      <c r="I43">
        <v>5.9379999999999997</v>
      </c>
      <c r="J43">
        <v>208.83199999999999</v>
      </c>
      <c r="K43">
        <v>0</v>
      </c>
    </row>
    <row r="44" spans="1:11" x14ac:dyDescent="0.4">
      <c r="A44">
        <v>14078</v>
      </c>
      <c r="B44" t="s">
        <v>555</v>
      </c>
      <c r="C44" t="s">
        <v>554</v>
      </c>
      <c r="E44" t="s">
        <v>488</v>
      </c>
      <c r="F44">
        <v>79</v>
      </c>
      <c r="G44">
        <v>1985</v>
      </c>
      <c r="H44">
        <v>604</v>
      </c>
      <c r="I44">
        <v>0</v>
      </c>
      <c r="J44">
        <v>0</v>
      </c>
      <c r="K44">
        <v>0</v>
      </c>
    </row>
    <row r="45" spans="1:11" x14ac:dyDescent="0.4">
      <c r="A45">
        <v>23205</v>
      </c>
      <c r="B45" t="s">
        <v>556</v>
      </c>
      <c r="C45" t="s">
        <v>557</v>
      </c>
      <c r="D45" t="s">
        <v>546</v>
      </c>
      <c r="E45" t="s">
        <v>496</v>
      </c>
      <c r="F45">
        <v>93</v>
      </c>
      <c r="G45">
        <v>2007</v>
      </c>
      <c r="H45">
        <v>605</v>
      </c>
      <c r="I45">
        <v>0</v>
      </c>
      <c r="J45">
        <v>0</v>
      </c>
      <c r="K45">
        <v>0</v>
      </c>
    </row>
    <row r="46" spans="1:11" x14ac:dyDescent="0.4">
      <c r="A46">
        <v>23049</v>
      </c>
      <c r="B46" t="s">
        <v>558</v>
      </c>
      <c r="C46" t="s">
        <v>559</v>
      </c>
      <c r="E46" t="s">
        <v>560</v>
      </c>
      <c r="F46">
        <v>44</v>
      </c>
      <c r="G46">
        <v>1985</v>
      </c>
      <c r="H46">
        <v>606</v>
      </c>
      <c r="I46">
        <v>0</v>
      </c>
      <c r="J46">
        <v>0</v>
      </c>
      <c r="K46">
        <v>0</v>
      </c>
    </row>
    <row r="47" spans="1:11" x14ac:dyDescent="0.4">
      <c r="A47">
        <v>26011</v>
      </c>
      <c r="B47" t="s">
        <v>561</v>
      </c>
      <c r="C47" t="s">
        <v>552</v>
      </c>
      <c r="E47" t="s">
        <v>237</v>
      </c>
      <c r="F47">
        <v>1</v>
      </c>
      <c r="G47">
        <v>1987</v>
      </c>
      <c r="H47">
        <v>24</v>
      </c>
      <c r="I47">
        <v>40</v>
      </c>
      <c r="J47">
        <v>2959.3420000000001</v>
      </c>
      <c r="K47">
        <v>1482</v>
      </c>
    </row>
    <row r="48" spans="1:11" x14ac:dyDescent="0.4">
      <c r="A48">
        <v>16143</v>
      </c>
      <c r="B48" t="s">
        <v>562</v>
      </c>
      <c r="C48" t="s">
        <v>543</v>
      </c>
      <c r="D48" t="s">
        <v>378</v>
      </c>
      <c r="E48" t="s">
        <v>320</v>
      </c>
      <c r="F48">
        <v>86</v>
      </c>
      <c r="G48">
        <v>1967</v>
      </c>
      <c r="H48">
        <v>607</v>
      </c>
      <c r="I48">
        <v>0</v>
      </c>
      <c r="J48">
        <v>0</v>
      </c>
      <c r="K48">
        <v>0</v>
      </c>
    </row>
    <row r="49" spans="1:11" x14ac:dyDescent="0.4">
      <c r="A49">
        <v>11049</v>
      </c>
      <c r="B49" t="s">
        <v>563</v>
      </c>
      <c r="C49" t="s">
        <v>564</v>
      </c>
      <c r="E49" t="s">
        <v>237</v>
      </c>
      <c r="F49">
        <v>1</v>
      </c>
      <c r="G49">
        <v>1953</v>
      </c>
      <c r="H49">
        <v>309</v>
      </c>
      <c r="I49">
        <v>5.2030000000000003</v>
      </c>
      <c r="J49">
        <v>412.75299999999999</v>
      </c>
      <c r="K49">
        <v>163</v>
      </c>
    </row>
    <row r="50" spans="1:11" x14ac:dyDescent="0.4">
      <c r="A50">
        <v>16033</v>
      </c>
      <c r="B50" t="s">
        <v>565</v>
      </c>
      <c r="C50" t="s">
        <v>566</v>
      </c>
      <c r="E50" t="s">
        <v>403</v>
      </c>
      <c r="F50">
        <v>22</v>
      </c>
      <c r="G50">
        <v>1977</v>
      </c>
      <c r="H50">
        <v>608</v>
      </c>
      <c r="I50">
        <v>0</v>
      </c>
      <c r="J50">
        <v>0</v>
      </c>
      <c r="K50">
        <v>0</v>
      </c>
    </row>
    <row r="51" spans="1:11" x14ac:dyDescent="0.4">
      <c r="A51">
        <v>96005</v>
      </c>
      <c r="B51" t="s">
        <v>567</v>
      </c>
      <c r="C51" t="s">
        <v>566</v>
      </c>
      <c r="E51" t="s">
        <v>185</v>
      </c>
      <c r="F51">
        <v>63</v>
      </c>
      <c r="G51">
        <v>1946</v>
      </c>
      <c r="H51">
        <v>238</v>
      </c>
      <c r="I51">
        <v>15.500999999999999</v>
      </c>
      <c r="J51">
        <v>706.19600000000003</v>
      </c>
      <c r="K51">
        <v>148</v>
      </c>
    </row>
    <row r="52" spans="1:11" x14ac:dyDescent="0.4">
      <c r="A52">
        <v>13006</v>
      </c>
      <c r="B52" t="s">
        <v>568</v>
      </c>
      <c r="C52" t="s">
        <v>569</v>
      </c>
      <c r="E52" t="s">
        <v>570</v>
      </c>
      <c r="F52">
        <v>75</v>
      </c>
      <c r="G52">
        <v>1987</v>
      </c>
      <c r="H52">
        <v>609</v>
      </c>
      <c r="I52">
        <v>0</v>
      </c>
      <c r="J52">
        <v>0</v>
      </c>
      <c r="K52">
        <v>0</v>
      </c>
    </row>
    <row r="53" spans="1:11" x14ac:dyDescent="0.4">
      <c r="A53">
        <v>13005</v>
      </c>
      <c r="B53" t="s">
        <v>571</v>
      </c>
      <c r="C53" t="s">
        <v>569</v>
      </c>
      <c r="E53" t="s">
        <v>570</v>
      </c>
      <c r="F53">
        <v>75</v>
      </c>
      <c r="G53">
        <v>1963</v>
      </c>
      <c r="H53">
        <v>89</v>
      </c>
      <c r="I53">
        <v>27.97</v>
      </c>
      <c r="J53">
        <v>1867.347</v>
      </c>
      <c r="K53">
        <v>865</v>
      </c>
    </row>
    <row r="54" spans="1:11" x14ac:dyDescent="0.4">
      <c r="A54">
        <v>20523</v>
      </c>
      <c r="B54" t="s">
        <v>572</v>
      </c>
      <c r="C54" t="s">
        <v>573</v>
      </c>
      <c r="D54" t="s">
        <v>378</v>
      </c>
      <c r="E54" t="s">
        <v>488</v>
      </c>
      <c r="F54">
        <v>79</v>
      </c>
      <c r="G54">
        <v>1988</v>
      </c>
      <c r="H54">
        <v>610</v>
      </c>
      <c r="I54">
        <v>0</v>
      </c>
      <c r="J54">
        <v>0</v>
      </c>
      <c r="K54">
        <v>0</v>
      </c>
    </row>
    <row r="55" spans="1:11" x14ac:dyDescent="0.4">
      <c r="A55">
        <v>13007</v>
      </c>
      <c r="B55" t="s">
        <v>572</v>
      </c>
      <c r="C55" t="s">
        <v>574</v>
      </c>
      <c r="D55" t="s">
        <v>378</v>
      </c>
      <c r="E55" t="s">
        <v>570</v>
      </c>
      <c r="F55">
        <v>75</v>
      </c>
      <c r="G55">
        <v>1966</v>
      </c>
      <c r="H55">
        <v>129</v>
      </c>
      <c r="I55">
        <v>18.72</v>
      </c>
      <c r="J55">
        <v>1492.2539999999999</v>
      </c>
      <c r="K55">
        <v>770</v>
      </c>
    </row>
    <row r="56" spans="1:11" x14ac:dyDescent="0.4">
      <c r="A56">
        <v>23228</v>
      </c>
      <c r="B56" t="s">
        <v>575</v>
      </c>
      <c r="C56" t="s">
        <v>576</v>
      </c>
      <c r="E56" t="s">
        <v>415</v>
      </c>
      <c r="F56">
        <v>30</v>
      </c>
      <c r="G56">
        <v>1996</v>
      </c>
      <c r="H56">
        <v>544</v>
      </c>
      <c r="I56">
        <v>1.375</v>
      </c>
      <c r="J56">
        <v>40.508000000000003</v>
      </c>
      <c r="K56">
        <v>0</v>
      </c>
    </row>
    <row r="57" spans="1:11" x14ac:dyDescent="0.4">
      <c r="A57">
        <v>20563</v>
      </c>
      <c r="B57" t="s">
        <v>577</v>
      </c>
      <c r="C57" t="s">
        <v>490</v>
      </c>
      <c r="E57" t="s">
        <v>578</v>
      </c>
      <c r="F57">
        <v>92</v>
      </c>
      <c r="G57">
        <v>1960</v>
      </c>
      <c r="H57">
        <v>449</v>
      </c>
      <c r="I57">
        <v>5.0940000000000003</v>
      </c>
      <c r="J57">
        <v>135.624</v>
      </c>
      <c r="K57">
        <v>0</v>
      </c>
    </row>
    <row r="58" spans="1:11" x14ac:dyDescent="0.4">
      <c r="A58">
        <v>20504</v>
      </c>
      <c r="B58" t="s">
        <v>579</v>
      </c>
      <c r="C58" t="s">
        <v>580</v>
      </c>
      <c r="E58" t="s">
        <v>263</v>
      </c>
      <c r="F58">
        <v>17</v>
      </c>
      <c r="G58">
        <v>1967</v>
      </c>
      <c r="H58">
        <v>34</v>
      </c>
      <c r="I58">
        <v>34.688000000000002</v>
      </c>
      <c r="J58">
        <v>2691.0709999999999</v>
      </c>
      <c r="K58">
        <v>1195</v>
      </c>
    </row>
    <row r="59" spans="1:11" x14ac:dyDescent="0.4">
      <c r="A59">
        <v>20700</v>
      </c>
      <c r="B59" t="s">
        <v>581</v>
      </c>
      <c r="C59" t="s">
        <v>582</v>
      </c>
      <c r="D59" t="s">
        <v>378</v>
      </c>
      <c r="E59" t="s">
        <v>263</v>
      </c>
      <c r="F59">
        <v>17</v>
      </c>
      <c r="G59">
        <v>1970</v>
      </c>
      <c r="H59">
        <v>611</v>
      </c>
      <c r="I59">
        <v>0</v>
      </c>
      <c r="J59">
        <v>0</v>
      </c>
      <c r="K59">
        <v>0</v>
      </c>
    </row>
    <row r="60" spans="1:11" x14ac:dyDescent="0.4">
      <c r="A60">
        <v>96034</v>
      </c>
      <c r="B60" t="s">
        <v>583</v>
      </c>
      <c r="C60" t="s">
        <v>584</v>
      </c>
      <c r="E60" t="s">
        <v>237</v>
      </c>
      <c r="F60">
        <v>1</v>
      </c>
      <c r="G60">
        <v>1966</v>
      </c>
      <c r="H60">
        <v>61</v>
      </c>
      <c r="I60">
        <v>30.782</v>
      </c>
      <c r="J60">
        <v>2204.2159999999999</v>
      </c>
      <c r="K60">
        <v>877</v>
      </c>
    </row>
    <row r="61" spans="1:11" x14ac:dyDescent="0.4">
      <c r="A61">
        <v>13040</v>
      </c>
      <c r="B61" t="s">
        <v>583</v>
      </c>
      <c r="C61" t="s">
        <v>585</v>
      </c>
      <c r="E61" t="s">
        <v>237</v>
      </c>
      <c r="F61">
        <v>1</v>
      </c>
      <c r="G61">
        <v>2003</v>
      </c>
      <c r="H61">
        <v>58</v>
      </c>
      <c r="I61">
        <v>34.375</v>
      </c>
      <c r="J61">
        <v>2244.6660000000002</v>
      </c>
      <c r="K61">
        <v>894</v>
      </c>
    </row>
    <row r="62" spans="1:11" x14ac:dyDescent="0.4">
      <c r="A62">
        <v>96043</v>
      </c>
      <c r="B62" t="s">
        <v>586</v>
      </c>
      <c r="C62" t="s">
        <v>587</v>
      </c>
      <c r="D62" t="s">
        <v>378</v>
      </c>
      <c r="E62" t="s">
        <v>237</v>
      </c>
      <c r="F62">
        <v>1</v>
      </c>
      <c r="G62">
        <v>1973</v>
      </c>
      <c r="H62">
        <v>396</v>
      </c>
      <c r="I62">
        <v>6.3129999999999997</v>
      </c>
      <c r="J62">
        <v>203.696</v>
      </c>
      <c r="K62">
        <v>25</v>
      </c>
    </row>
    <row r="63" spans="1:11" x14ac:dyDescent="0.4">
      <c r="A63">
        <v>26009</v>
      </c>
      <c r="B63" t="s">
        <v>588</v>
      </c>
      <c r="C63" t="s">
        <v>589</v>
      </c>
      <c r="E63" t="s">
        <v>237</v>
      </c>
      <c r="F63">
        <v>1</v>
      </c>
      <c r="G63">
        <v>1956</v>
      </c>
      <c r="H63">
        <v>328</v>
      </c>
      <c r="I63">
        <v>10.063000000000001</v>
      </c>
      <c r="J63">
        <v>348.09199999999998</v>
      </c>
      <c r="K63">
        <v>0</v>
      </c>
    </row>
    <row r="64" spans="1:11" x14ac:dyDescent="0.4">
      <c r="A64">
        <v>28008</v>
      </c>
      <c r="B64" t="s">
        <v>590</v>
      </c>
      <c r="C64" t="s">
        <v>530</v>
      </c>
      <c r="D64" t="s">
        <v>378</v>
      </c>
      <c r="E64" t="s">
        <v>237</v>
      </c>
      <c r="F64">
        <v>1</v>
      </c>
      <c r="G64">
        <v>1956</v>
      </c>
      <c r="H64">
        <v>369</v>
      </c>
      <c r="I64">
        <v>7.4379999999999997</v>
      </c>
      <c r="J64">
        <v>262.71199999999999</v>
      </c>
      <c r="K64">
        <v>0</v>
      </c>
    </row>
    <row r="65" spans="1:11" x14ac:dyDescent="0.4">
      <c r="A65">
        <v>96141</v>
      </c>
      <c r="B65" t="s">
        <v>591</v>
      </c>
      <c r="C65" t="s">
        <v>526</v>
      </c>
      <c r="E65" t="s">
        <v>197</v>
      </c>
      <c r="F65">
        <v>15</v>
      </c>
      <c r="G65">
        <v>1958</v>
      </c>
      <c r="H65">
        <v>612</v>
      </c>
      <c r="I65">
        <v>0</v>
      </c>
      <c r="J65">
        <v>0</v>
      </c>
      <c r="K65">
        <v>0</v>
      </c>
    </row>
    <row r="66" spans="1:11" x14ac:dyDescent="0.4">
      <c r="A66">
        <v>96181</v>
      </c>
      <c r="B66" t="s">
        <v>592</v>
      </c>
      <c r="C66" t="s">
        <v>593</v>
      </c>
      <c r="D66" t="s">
        <v>378</v>
      </c>
      <c r="E66" t="s">
        <v>248</v>
      </c>
      <c r="F66">
        <v>13</v>
      </c>
      <c r="G66">
        <v>1961</v>
      </c>
      <c r="H66">
        <v>584</v>
      </c>
      <c r="I66">
        <v>0.78100000000000003</v>
      </c>
      <c r="J66">
        <v>17.783000000000001</v>
      </c>
      <c r="K66">
        <v>0</v>
      </c>
    </row>
    <row r="67" spans="1:11" x14ac:dyDescent="0.4">
      <c r="A67">
        <v>20610</v>
      </c>
      <c r="B67" t="s">
        <v>594</v>
      </c>
      <c r="C67" t="s">
        <v>585</v>
      </c>
      <c r="E67" t="s">
        <v>176</v>
      </c>
      <c r="F67">
        <v>95</v>
      </c>
      <c r="G67">
        <v>1988</v>
      </c>
      <c r="H67">
        <v>613</v>
      </c>
      <c r="I67">
        <v>0</v>
      </c>
      <c r="J67">
        <v>0</v>
      </c>
      <c r="K67">
        <v>0</v>
      </c>
    </row>
    <row r="68" spans="1:11" x14ac:dyDescent="0.4">
      <c r="A68">
        <v>24520</v>
      </c>
      <c r="B68" t="s">
        <v>595</v>
      </c>
      <c r="C68" t="s">
        <v>596</v>
      </c>
      <c r="D68" t="s">
        <v>546</v>
      </c>
      <c r="E68" t="s">
        <v>237</v>
      </c>
      <c r="F68">
        <v>1</v>
      </c>
      <c r="G68">
        <v>2013</v>
      </c>
      <c r="H68">
        <v>614</v>
      </c>
      <c r="I68">
        <v>0</v>
      </c>
      <c r="J68">
        <v>0</v>
      </c>
      <c r="K68">
        <v>0</v>
      </c>
    </row>
    <row r="69" spans="1:11" x14ac:dyDescent="0.4">
      <c r="A69">
        <v>13045</v>
      </c>
      <c r="B69" t="s">
        <v>597</v>
      </c>
      <c r="C69" t="s">
        <v>500</v>
      </c>
      <c r="E69" t="s">
        <v>189</v>
      </c>
      <c r="F69">
        <v>20</v>
      </c>
      <c r="G69">
        <v>1950</v>
      </c>
      <c r="H69">
        <v>399</v>
      </c>
      <c r="I69">
        <v>4.5</v>
      </c>
      <c r="J69">
        <v>194.35599999999999</v>
      </c>
      <c r="K69">
        <v>0</v>
      </c>
    </row>
    <row r="70" spans="1:11" x14ac:dyDescent="0.4">
      <c r="A70">
        <v>99505</v>
      </c>
      <c r="B70" t="s">
        <v>598</v>
      </c>
      <c r="C70" t="s">
        <v>526</v>
      </c>
      <c r="E70" t="s">
        <v>189</v>
      </c>
      <c r="F70">
        <v>20</v>
      </c>
      <c r="G70">
        <v>1966</v>
      </c>
      <c r="H70">
        <v>255</v>
      </c>
      <c r="I70">
        <v>10.157</v>
      </c>
      <c r="J70">
        <v>635.29</v>
      </c>
      <c r="K70">
        <v>168</v>
      </c>
    </row>
    <row r="71" spans="1:11" x14ac:dyDescent="0.4">
      <c r="A71">
        <v>12002</v>
      </c>
      <c r="B71" t="s">
        <v>599</v>
      </c>
      <c r="C71" t="s">
        <v>526</v>
      </c>
      <c r="E71" t="s">
        <v>391</v>
      </c>
      <c r="F71">
        <v>14</v>
      </c>
      <c r="G71">
        <v>1994</v>
      </c>
      <c r="H71">
        <v>615</v>
      </c>
      <c r="I71">
        <v>0</v>
      </c>
      <c r="J71">
        <v>0</v>
      </c>
      <c r="K71">
        <v>0</v>
      </c>
    </row>
    <row r="72" spans="1:11" x14ac:dyDescent="0.4">
      <c r="A72">
        <v>20714</v>
      </c>
      <c r="B72" t="s">
        <v>600</v>
      </c>
      <c r="C72" t="s">
        <v>601</v>
      </c>
      <c r="D72" t="s">
        <v>378</v>
      </c>
      <c r="E72" t="s">
        <v>189</v>
      </c>
      <c r="F72">
        <v>20</v>
      </c>
      <c r="G72">
        <v>1950</v>
      </c>
      <c r="H72">
        <v>414</v>
      </c>
      <c r="I72">
        <v>3.6259999999999999</v>
      </c>
      <c r="J72">
        <v>165.61699999999999</v>
      </c>
      <c r="K72">
        <v>0</v>
      </c>
    </row>
    <row r="73" spans="1:11" x14ac:dyDescent="0.4">
      <c r="A73">
        <v>15011</v>
      </c>
      <c r="B73" t="s">
        <v>602</v>
      </c>
      <c r="C73" t="s">
        <v>603</v>
      </c>
      <c r="E73" t="s">
        <v>533</v>
      </c>
      <c r="F73">
        <v>73</v>
      </c>
      <c r="G73">
        <v>1965</v>
      </c>
      <c r="H73">
        <v>113</v>
      </c>
      <c r="I73">
        <v>20.001000000000001</v>
      </c>
      <c r="J73">
        <v>1626.384</v>
      </c>
      <c r="K73">
        <v>904</v>
      </c>
    </row>
    <row r="74" spans="1:11" x14ac:dyDescent="0.4">
      <c r="A74">
        <v>15010</v>
      </c>
      <c r="B74" t="s">
        <v>604</v>
      </c>
      <c r="C74" t="s">
        <v>605</v>
      </c>
      <c r="D74" t="s">
        <v>378</v>
      </c>
      <c r="E74" t="s">
        <v>533</v>
      </c>
      <c r="F74">
        <v>73</v>
      </c>
      <c r="G74">
        <v>1952</v>
      </c>
      <c r="H74">
        <v>162</v>
      </c>
      <c r="I74">
        <v>18.251000000000001</v>
      </c>
      <c r="J74">
        <v>1179.865</v>
      </c>
      <c r="K74">
        <v>625</v>
      </c>
    </row>
    <row r="75" spans="1:11" x14ac:dyDescent="0.4">
      <c r="A75">
        <v>16047</v>
      </c>
      <c r="B75" t="s">
        <v>606</v>
      </c>
      <c r="C75" t="s">
        <v>479</v>
      </c>
      <c r="E75" t="s">
        <v>516</v>
      </c>
      <c r="F75">
        <v>81</v>
      </c>
      <c r="G75">
        <v>1967</v>
      </c>
      <c r="H75">
        <v>428</v>
      </c>
      <c r="I75">
        <v>4.5629999999999997</v>
      </c>
      <c r="J75">
        <v>156.92400000000001</v>
      </c>
      <c r="K75">
        <v>0</v>
      </c>
    </row>
    <row r="76" spans="1:11" x14ac:dyDescent="0.4">
      <c r="A76">
        <v>16048</v>
      </c>
      <c r="B76" t="s">
        <v>606</v>
      </c>
      <c r="C76" t="s">
        <v>495</v>
      </c>
      <c r="E76" t="s">
        <v>516</v>
      </c>
      <c r="F76">
        <v>81</v>
      </c>
      <c r="G76">
        <v>1991</v>
      </c>
      <c r="H76">
        <v>616</v>
      </c>
      <c r="I76">
        <v>0</v>
      </c>
      <c r="J76">
        <v>0</v>
      </c>
      <c r="K76">
        <v>0</v>
      </c>
    </row>
    <row r="77" spans="1:11" x14ac:dyDescent="0.4">
      <c r="A77">
        <v>19021</v>
      </c>
      <c r="B77" t="s">
        <v>607</v>
      </c>
      <c r="C77" t="s">
        <v>608</v>
      </c>
      <c r="E77" t="s">
        <v>391</v>
      </c>
      <c r="F77">
        <v>14</v>
      </c>
      <c r="G77">
        <v>1966</v>
      </c>
      <c r="H77">
        <v>156</v>
      </c>
      <c r="I77">
        <v>21.533000000000001</v>
      </c>
      <c r="J77">
        <v>1257.8340000000001</v>
      </c>
      <c r="K77">
        <v>398</v>
      </c>
    </row>
    <row r="78" spans="1:11" x14ac:dyDescent="0.4">
      <c r="A78">
        <v>23214</v>
      </c>
      <c r="B78" t="s">
        <v>609</v>
      </c>
      <c r="C78" t="s">
        <v>610</v>
      </c>
      <c r="E78" t="s">
        <v>176</v>
      </c>
      <c r="F78">
        <v>95</v>
      </c>
      <c r="G78">
        <v>1987</v>
      </c>
      <c r="H78">
        <v>617</v>
      </c>
      <c r="I78">
        <v>0</v>
      </c>
      <c r="J78">
        <v>0</v>
      </c>
      <c r="K78">
        <v>0</v>
      </c>
    </row>
    <row r="79" spans="1:11" x14ac:dyDescent="0.4">
      <c r="A79">
        <v>10022</v>
      </c>
      <c r="B79" t="s">
        <v>611</v>
      </c>
      <c r="C79" t="s">
        <v>526</v>
      </c>
      <c r="E79" t="s">
        <v>298</v>
      </c>
      <c r="F79">
        <v>67</v>
      </c>
      <c r="G79">
        <v>1961</v>
      </c>
      <c r="H79">
        <v>433</v>
      </c>
      <c r="I79">
        <v>1.8129999999999999</v>
      </c>
      <c r="J79">
        <v>152.53800000000001</v>
      </c>
      <c r="K79">
        <v>87</v>
      </c>
    </row>
    <row r="80" spans="1:11" x14ac:dyDescent="0.4">
      <c r="A80">
        <v>14088</v>
      </c>
      <c r="B80" t="s">
        <v>612</v>
      </c>
      <c r="C80" t="s">
        <v>493</v>
      </c>
      <c r="D80" t="s">
        <v>378</v>
      </c>
      <c r="E80" t="s">
        <v>488</v>
      </c>
      <c r="F80">
        <v>79</v>
      </c>
      <c r="G80">
        <v>1984</v>
      </c>
      <c r="H80">
        <v>618</v>
      </c>
      <c r="I80">
        <v>0</v>
      </c>
      <c r="J80">
        <v>0</v>
      </c>
      <c r="K80">
        <v>0</v>
      </c>
    </row>
    <row r="81" spans="1:11" x14ac:dyDescent="0.4">
      <c r="A81">
        <v>21041</v>
      </c>
      <c r="B81" t="s">
        <v>613</v>
      </c>
      <c r="C81" t="s">
        <v>614</v>
      </c>
      <c r="E81" t="s">
        <v>496</v>
      </c>
      <c r="F81">
        <v>93</v>
      </c>
      <c r="G81">
        <v>1962</v>
      </c>
      <c r="H81">
        <v>417</v>
      </c>
      <c r="I81">
        <v>4.97</v>
      </c>
      <c r="J81">
        <v>164.947</v>
      </c>
      <c r="K81">
        <v>0</v>
      </c>
    </row>
    <row r="82" spans="1:11" x14ac:dyDescent="0.4">
      <c r="A82">
        <v>21042</v>
      </c>
      <c r="B82" t="s">
        <v>615</v>
      </c>
      <c r="C82" t="s">
        <v>503</v>
      </c>
      <c r="D82" t="s">
        <v>378</v>
      </c>
      <c r="E82" t="s">
        <v>496</v>
      </c>
      <c r="F82">
        <v>93</v>
      </c>
      <c r="G82">
        <v>1967</v>
      </c>
      <c r="H82">
        <v>345</v>
      </c>
      <c r="I82">
        <v>8.0329999999999995</v>
      </c>
      <c r="J82">
        <v>317.33300000000003</v>
      </c>
      <c r="K82">
        <v>18</v>
      </c>
    </row>
    <row r="83" spans="1:11" x14ac:dyDescent="0.4">
      <c r="A83">
        <v>19066</v>
      </c>
      <c r="B83" t="s">
        <v>616</v>
      </c>
      <c r="C83" t="s">
        <v>617</v>
      </c>
      <c r="E83" t="s">
        <v>438</v>
      </c>
      <c r="F83">
        <v>43</v>
      </c>
      <c r="G83">
        <v>1977</v>
      </c>
      <c r="H83">
        <v>591</v>
      </c>
      <c r="I83">
        <v>0.313</v>
      </c>
      <c r="J83">
        <v>13.683</v>
      </c>
      <c r="K83">
        <v>0</v>
      </c>
    </row>
    <row r="84" spans="1:11" x14ac:dyDescent="0.4">
      <c r="A84">
        <v>16018</v>
      </c>
      <c r="B84" t="s">
        <v>618</v>
      </c>
      <c r="C84" t="s">
        <v>566</v>
      </c>
      <c r="E84" t="s">
        <v>619</v>
      </c>
      <c r="F84">
        <v>28</v>
      </c>
      <c r="G84">
        <v>1966</v>
      </c>
      <c r="H84">
        <v>235</v>
      </c>
      <c r="I84">
        <v>22.751999999999999</v>
      </c>
      <c r="J84">
        <v>728.71199999999999</v>
      </c>
      <c r="K84">
        <v>0</v>
      </c>
    </row>
    <row r="85" spans="1:11" x14ac:dyDescent="0.4">
      <c r="A85">
        <v>22106</v>
      </c>
      <c r="B85" t="s">
        <v>620</v>
      </c>
      <c r="C85" t="s">
        <v>545</v>
      </c>
      <c r="E85" t="s">
        <v>259</v>
      </c>
      <c r="F85">
        <v>27</v>
      </c>
      <c r="G85">
        <v>2003</v>
      </c>
      <c r="H85">
        <v>101</v>
      </c>
      <c r="I85">
        <v>31.375</v>
      </c>
      <c r="J85">
        <v>1760.7090000000001</v>
      </c>
      <c r="K85">
        <v>477</v>
      </c>
    </row>
    <row r="86" spans="1:11" x14ac:dyDescent="0.4">
      <c r="A86">
        <v>16035</v>
      </c>
      <c r="B86" t="s">
        <v>621</v>
      </c>
      <c r="C86" t="s">
        <v>622</v>
      </c>
      <c r="E86" t="s">
        <v>403</v>
      </c>
      <c r="F86">
        <v>22</v>
      </c>
      <c r="G86">
        <v>1970</v>
      </c>
      <c r="H86">
        <v>619</v>
      </c>
      <c r="I86">
        <v>0</v>
      </c>
      <c r="J86">
        <v>0</v>
      </c>
      <c r="K86">
        <v>0</v>
      </c>
    </row>
    <row r="87" spans="1:11" x14ac:dyDescent="0.4">
      <c r="A87">
        <v>23238</v>
      </c>
      <c r="B87" t="s">
        <v>623</v>
      </c>
      <c r="C87" t="s">
        <v>569</v>
      </c>
      <c r="E87" t="s">
        <v>516</v>
      </c>
      <c r="F87">
        <v>81</v>
      </c>
      <c r="G87">
        <v>1985</v>
      </c>
      <c r="H87">
        <v>220</v>
      </c>
      <c r="I87">
        <v>16.876999999999999</v>
      </c>
      <c r="J87">
        <v>814.50599999999997</v>
      </c>
      <c r="K87">
        <v>134</v>
      </c>
    </row>
    <row r="88" spans="1:11" x14ac:dyDescent="0.4">
      <c r="A88">
        <v>99510</v>
      </c>
      <c r="B88" t="s">
        <v>624</v>
      </c>
      <c r="C88" t="s">
        <v>498</v>
      </c>
      <c r="E88" t="s">
        <v>166</v>
      </c>
      <c r="F88">
        <v>54</v>
      </c>
      <c r="G88">
        <v>1951</v>
      </c>
      <c r="H88">
        <v>90</v>
      </c>
      <c r="I88">
        <v>33.688000000000002</v>
      </c>
      <c r="J88">
        <v>1856.127</v>
      </c>
      <c r="K88">
        <v>740</v>
      </c>
    </row>
    <row r="89" spans="1:11" x14ac:dyDescent="0.4">
      <c r="A89">
        <v>99574</v>
      </c>
      <c r="B89" t="s">
        <v>625</v>
      </c>
      <c r="C89" t="s">
        <v>626</v>
      </c>
      <c r="D89" t="s">
        <v>378</v>
      </c>
      <c r="E89" t="s">
        <v>166</v>
      </c>
      <c r="F89">
        <v>54</v>
      </c>
      <c r="G89">
        <v>1949</v>
      </c>
      <c r="H89">
        <v>10</v>
      </c>
      <c r="I89">
        <v>45.75</v>
      </c>
      <c r="J89">
        <v>3505.2330000000002</v>
      </c>
      <c r="K89">
        <v>1720</v>
      </c>
    </row>
    <row r="90" spans="1:11" x14ac:dyDescent="0.4">
      <c r="A90">
        <v>23252</v>
      </c>
      <c r="B90" t="s">
        <v>627</v>
      </c>
      <c r="C90" t="s">
        <v>481</v>
      </c>
      <c r="E90" t="s">
        <v>320</v>
      </c>
      <c r="F90">
        <v>86</v>
      </c>
      <c r="G90">
        <v>1994</v>
      </c>
      <c r="H90">
        <v>424</v>
      </c>
      <c r="I90">
        <v>2.125</v>
      </c>
      <c r="J90">
        <v>160.43799999999999</v>
      </c>
      <c r="K90">
        <v>60</v>
      </c>
    </row>
    <row r="91" spans="1:11" x14ac:dyDescent="0.4">
      <c r="A91">
        <v>13027</v>
      </c>
      <c r="B91" t="s">
        <v>628</v>
      </c>
      <c r="C91" t="s">
        <v>593</v>
      </c>
      <c r="D91" t="s">
        <v>378</v>
      </c>
      <c r="E91" t="s">
        <v>160</v>
      </c>
      <c r="F91">
        <v>64</v>
      </c>
      <c r="G91">
        <v>1977</v>
      </c>
      <c r="H91">
        <v>52</v>
      </c>
      <c r="I91">
        <v>41.75</v>
      </c>
      <c r="J91">
        <v>2296.7269999999999</v>
      </c>
      <c r="K91">
        <v>922</v>
      </c>
    </row>
    <row r="92" spans="1:11" x14ac:dyDescent="0.4">
      <c r="A92">
        <v>96100</v>
      </c>
      <c r="B92" t="s">
        <v>629</v>
      </c>
      <c r="C92" t="s">
        <v>630</v>
      </c>
      <c r="E92" t="s">
        <v>631</v>
      </c>
      <c r="F92">
        <v>24</v>
      </c>
      <c r="G92">
        <v>1968</v>
      </c>
      <c r="H92">
        <v>620</v>
      </c>
      <c r="I92">
        <v>0</v>
      </c>
      <c r="J92">
        <v>0</v>
      </c>
      <c r="K92">
        <v>0</v>
      </c>
    </row>
    <row r="93" spans="1:11" x14ac:dyDescent="0.4">
      <c r="A93">
        <v>18004</v>
      </c>
      <c r="B93" t="s">
        <v>632</v>
      </c>
      <c r="C93" t="s">
        <v>485</v>
      </c>
      <c r="E93" t="s">
        <v>180</v>
      </c>
      <c r="F93">
        <v>89</v>
      </c>
      <c r="G93">
        <v>1980</v>
      </c>
      <c r="H93">
        <v>621</v>
      </c>
      <c r="I93">
        <v>0</v>
      </c>
      <c r="J93">
        <v>0</v>
      </c>
      <c r="K93">
        <v>0</v>
      </c>
    </row>
    <row r="94" spans="1:11" x14ac:dyDescent="0.4">
      <c r="A94">
        <v>18055</v>
      </c>
      <c r="B94" t="s">
        <v>633</v>
      </c>
      <c r="C94" t="s">
        <v>569</v>
      </c>
      <c r="E94" t="s">
        <v>488</v>
      </c>
      <c r="F94">
        <v>79</v>
      </c>
      <c r="G94">
        <v>1975</v>
      </c>
      <c r="H94">
        <v>131</v>
      </c>
      <c r="I94">
        <v>19.844999999999999</v>
      </c>
      <c r="J94">
        <v>1454.337</v>
      </c>
      <c r="K94">
        <v>701</v>
      </c>
    </row>
    <row r="95" spans="1:11" x14ac:dyDescent="0.4">
      <c r="A95">
        <v>28032</v>
      </c>
      <c r="B95" t="s">
        <v>634</v>
      </c>
      <c r="C95" t="s">
        <v>487</v>
      </c>
      <c r="E95" t="s">
        <v>225</v>
      </c>
      <c r="F95">
        <v>62</v>
      </c>
      <c r="G95">
        <v>1967</v>
      </c>
      <c r="H95">
        <v>448</v>
      </c>
      <c r="I95">
        <v>2.6880000000000002</v>
      </c>
      <c r="J95">
        <v>136.64500000000001</v>
      </c>
      <c r="K95">
        <v>57</v>
      </c>
    </row>
    <row r="96" spans="1:11" x14ac:dyDescent="0.4">
      <c r="A96">
        <v>28031</v>
      </c>
      <c r="B96" t="s">
        <v>635</v>
      </c>
      <c r="C96" t="s">
        <v>543</v>
      </c>
      <c r="D96" t="s">
        <v>378</v>
      </c>
      <c r="E96" t="s">
        <v>225</v>
      </c>
      <c r="F96">
        <v>62</v>
      </c>
      <c r="G96">
        <v>1970</v>
      </c>
      <c r="H96">
        <v>436</v>
      </c>
      <c r="I96">
        <v>3.1880000000000002</v>
      </c>
      <c r="J96">
        <v>152.15</v>
      </c>
      <c r="K96">
        <v>57</v>
      </c>
    </row>
    <row r="97" spans="1:11" x14ac:dyDescent="0.4">
      <c r="A97">
        <v>19070</v>
      </c>
      <c r="B97" t="s">
        <v>636</v>
      </c>
      <c r="C97" t="s">
        <v>637</v>
      </c>
      <c r="D97" t="s">
        <v>508</v>
      </c>
      <c r="E97" t="s">
        <v>180</v>
      </c>
      <c r="F97">
        <v>89</v>
      </c>
      <c r="G97">
        <v>2013</v>
      </c>
      <c r="H97">
        <v>459</v>
      </c>
      <c r="I97">
        <v>2.4700000000000002</v>
      </c>
      <c r="J97">
        <v>122.578</v>
      </c>
      <c r="K97">
        <v>27</v>
      </c>
    </row>
    <row r="98" spans="1:11" x14ac:dyDescent="0.4">
      <c r="A98">
        <v>22953</v>
      </c>
      <c r="B98" t="s">
        <v>638</v>
      </c>
      <c r="C98" t="s">
        <v>505</v>
      </c>
      <c r="E98" t="s">
        <v>391</v>
      </c>
      <c r="F98">
        <v>14</v>
      </c>
      <c r="G98">
        <v>1979</v>
      </c>
      <c r="H98">
        <v>569</v>
      </c>
      <c r="I98">
        <v>0.75</v>
      </c>
      <c r="J98">
        <v>28.494</v>
      </c>
      <c r="K98">
        <v>0</v>
      </c>
    </row>
    <row r="99" spans="1:11" x14ac:dyDescent="0.4">
      <c r="A99">
        <v>99496</v>
      </c>
      <c r="B99" t="s">
        <v>638</v>
      </c>
      <c r="C99" t="s">
        <v>639</v>
      </c>
      <c r="E99" t="s">
        <v>391</v>
      </c>
      <c r="F99">
        <v>14</v>
      </c>
      <c r="G99">
        <v>1975</v>
      </c>
      <c r="H99">
        <v>167</v>
      </c>
      <c r="I99">
        <v>20.376999999999999</v>
      </c>
      <c r="J99">
        <v>1161.3309999999999</v>
      </c>
      <c r="K99">
        <v>425</v>
      </c>
    </row>
    <row r="100" spans="1:11" x14ac:dyDescent="0.4">
      <c r="A100">
        <v>24272</v>
      </c>
      <c r="B100" t="s">
        <v>638</v>
      </c>
      <c r="C100" t="s">
        <v>500</v>
      </c>
      <c r="E100" t="s">
        <v>391</v>
      </c>
      <c r="F100">
        <v>14</v>
      </c>
      <c r="G100">
        <v>1953</v>
      </c>
      <c r="H100">
        <v>387</v>
      </c>
      <c r="I100">
        <v>7.125</v>
      </c>
      <c r="J100">
        <v>226.40799999999999</v>
      </c>
      <c r="K100">
        <v>0</v>
      </c>
    </row>
    <row r="101" spans="1:11" x14ac:dyDescent="0.4">
      <c r="A101">
        <v>22163</v>
      </c>
      <c r="B101" t="s">
        <v>640</v>
      </c>
      <c r="C101" t="s">
        <v>641</v>
      </c>
      <c r="D101" t="s">
        <v>378</v>
      </c>
      <c r="E101" t="s">
        <v>391</v>
      </c>
      <c r="F101">
        <v>14</v>
      </c>
      <c r="G101">
        <v>1979</v>
      </c>
      <c r="H101">
        <v>622</v>
      </c>
      <c r="I101">
        <v>0</v>
      </c>
      <c r="J101">
        <v>0</v>
      </c>
      <c r="K101">
        <v>0</v>
      </c>
    </row>
    <row r="102" spans="1:11" x14ac:dyDescent="0.4">
      <c r="A102">
        <v>17039</v>
      </c>
      <c r="B102" t="s">
        <v>640</v>
      </c>
      <c r="C102" t="s">
        <v>642</v>
      </c>
      <c r="D102" t="s">
        <v>378</v>
      </c>
      <c r="E102" t="s">
        <v>391</v>
      </c>
      <c r="F102">
        <v>14</v>
      </c>
      <c r="G102">
        <v>1976</v>
      </c>
      <c r="H102">
        <v>404</v>
      </c>
      <c r="I102">
        <v>7.5629999999999997</v>
      </c>
      <c r="J102">
        <v>184.61600000000001</v>
      </c>
      <c r="K102">
        <v>0</v>
      </c>
    </row>
    <row r="103" spans="1:11" x14ac:dyDescent="0.4">
      <c r="A103">
        <v>17067</v>
      </c>
      <c r="B103" t="s">
        <v>643</v>
      </c>
      <c r="C103" t="s">
        <v>644</v>
      </c>
      <c r="D103" t="s">
        <v>378</v>
      </c>
      <c r="E103" t="s">
        <v>263</v>
      </c>
      <c r="F103">
        <v>17</v>
      </c>
      <c r="G103">
        <v>2006</v>
      </c>
      <c r="H103">
        <v>50</v>
      </c>
      <c r="I103">
        <v>33.5</v>
      </c>
      <c r="J103">
        <v>2331.1729999999998</v>
      </c>
      <c r="K103">
        <v>1033</v>
      </c>
    </row>
    <row r="104" spans="1:11" x14ac:dyDescent="0.4">
      <c r="A104">
        <v>24508</v>
      </c>
      <c r="B104" t="s">
        <v>645</v>
      </c>
      <c r="C104" t="s">
        <v>646</v>
      </c>
      <c r="D104" t="s">
        <v>546</v>
      </c>
      <c r="E104" t="s">
        <v>647</v>
      </c>
      <c r="F104">
        <v>90</v>
      </c>
      <c r="G104">
        <v>2013</v>
      </c>
      <c r="H104">
        <v>623</v>
      </c>
      <c r="I104">
        <v>0</v>
      </c>
      <c r="J104">
        <v>0</v>
      </c>
      <c r="K104">
        <v>0</v>
      </c>
    </row>
    <row r="105" spans="1:11" x14ac:dyDescent="0.4">
      <c r="A105">
        <v>20519</v>
      </c>
      <c r="B105" t="s">
        <v>648</v>
      </c>
      <c r="C105" t="s">
        <v>490</v>
      </c>
      <c r="E105" t="s">
        <v>533</v>
      </c>
      <c r="F105">
        <v>73</v>
      </c>
      <c r="G105">
        <v>1945</v>
      </c>
      <c r="H105">
        <v>572</v>
      </c>
      <c r="I105">
        <v>0.625</v>
      </c>
      <c r="J105">
        <v>26.539000000000001</v>
      </c>
      <c r="K105">
        <v>0</v>
      </c>
    </row>
    <row r="106" spans="1:11" x14ac:dyDescent="0.4">
      <c r="A106">
        <v>20528</v>
      </c>
      <c r="B106" t="s">
        <v>649</v>
      </c>
      <c r="C106" t="s">
        <v>650</v>
      </c>
      <c r="E106" t="s">
        <v>320</v>
      </c>
      <c r="F106">
        <v>86</v>
      </c>
      <c r="G106">
        <v>2005</v>
      </c>
      <c r="H106">
        <v>243</v>
      </c>
      <c r="I106">
        <v>6.8760000000000003</v>
      </c>
      <c r="J106">
        <v>690.33699999999999</v>
      </c>
      <c r="K106">
        <v>367</v>
      </c>
    </row>
    <row r="107" spans="1:11" x14ac:dyDescent="0.4">
      <c r="A107">
        <v>21061</v>
      </c>
      <c r="B107" t="s">
        <v>651</v>
      </c>
      <c r="C107" t="s">
        <v>652</v>
      </c>
      <c r="D107" t="s">
        <v>508</v>
      </c>
      <c r="E107" t="s">
        <v>653</v>
      </c>
      <c r="F107">
        <v>16</v>
      </c>
      <c r="G107">
        <v>2009</v>
      </c>
      <c r="H107">
        <v>241</v>
      </c>
      <c r="I107">
        <v>20.469000000000001</v>
      </c>
      <c r="J107">
        <v>693.85799999999995</v>
      </c>
      <c r="K107">
        <v>28</v>
      </c>
    </row>
    <row r="108" spans="1:11" x14ac:dyDescent="0.4">
      <c r="A108">
        <v>25042</v>
      </c>
      <c r="B108" t="s">
        <v>654</v>
      </c>
      <c r="C108" t="s">
        <v>539</v>
      </c>
      <c r="E108" t="s">
        <v>248</v>
      </c>
      <c r="F108">
        <v>13</v>
      </c>
      <c r="G108">
        <v>1983</v>
      </c>
      <c r="H108">
        <v>624</v>
      </c>
      <c r="I108">
        <v>0</v>
      </c>
      <c r="J108">
        <v>0</v>
      </c>
      <c r="K108">
        <v>0</v>
      </c>
    </row>
    <row r="109" spans="1:11" x14ac:dyDescent="0.4">
      <c r="A109">
        <v>20571</v>
      </c>
      <c r="B109" t="s">
        <v>654</v>
      </c>
      <c r="C109" t="s">
        <v>655</v>
      </c>
      <c r="E109" t="s">
        <v>656</v>
      </c>
      <c r="F109">
        <v>66</v>
      </c>
      <c r="G109">
        <v>1944</v>
      </c>
      <c r="H109">
        <v>311</v>
      </c>
      <c r="I109">
        <v>9.8940000000000001</v>
      </c>
      <c r="J109">
        <v>407.51799999999997</v>
      </c>
      <c r="K109">
        <v>82</v>
      </c>
    </row>
    <row r="110" spans="1:11" x14ac:dyDescent="0.4">
      <c r="A110">
        <v>21760</v>
      </c>
      <c r="B110" t="s">
        <v>657</v>
      </c>
      <c r="C110" t="s">
        <v>658</v>
      </c>
      <c r="D110" t="s">
        <v>378</v>
      </c>
      <c r="E110" t="s">
        <v>501</v>
      </c>
      <c r="F110">
        <v>29</v>
      </c>
      <c r="G110">
        <v>1967</v>
      </c>
      <c r="H110">
        <v>326</v>
      </c>
      <c r="I110">
        <v>10.093999999999999</v>
      </c>
      <c r="J110">
        <v>357.11399999999998</v>
      </c>
      <c r="K110">
        <v>38</v>
      </c>
    </row>
    <row r="111" spans="1:11" x14ac:dyDescent="0.4">
      <c r="A111">
        <v>28037</v>
      </c>
      <c r="B111" t="s">
        <v>657</v>
      </c>
      <c r="C111" t="s">
        <v>659</v>
      </c>
      <c r="D111" t="s">
        <v>378</v>
      </c>
      <c r="E111" t="s">
        <v>380</v>
      </c>
      <c r="F111">
        <v>6</v>
      </c>
      <c r="G111">
        <v>1953</v>
      </c>
      <c r="H111">
        <v>501</v>
      </c>
      <c r="I111">
        <v>0.59399999999999997</v>
      </c>
      <c r="J111">
        <v>73.869</v>
      </c>
      <c r="K111">
        <v>42</v>
      </c>
    </row>
    <row r="112" spans="1:11" x14ac:dyDescent="0.4">
      <c r="A112">
        <v>21043</v>
      </c>
      <c r="B112" t="s">
        <v>660</v>
      </c>
      <c r="C112" t="s">
        <v>487</v>
      </c>
      <c r="E112" t="s">
        <v>176</v>
      </c>
      <c r="F112">
        <v>95</v>
      </c>
      <c r="G112">
        <v>1986</v>
      </c>
      <c r="H112">
        <v>472</v>
      </c>
      <c r="I112">
        <v>3.5</v>
      </c>
      <c r="J112">
        <v>105.11799999999999</v>
      </c>
      <c r="K112">
        <v>17</v>
      </c>
    </row>
    <row r="113" spans="1:11" x14ac:dyDescent="0.4">
      <c r="A113">
        <v>22127</v>
      </c>
      <c r="B113" t="s">
        <v>661</v>
      </c>
      <c r="C113" t="s">
        <v>662</v>
      </c>
      <c r="E113" t="s">
        <v>176</v>
      </c>
      <c r="F113">
        <v>95</v>
      </c>
      <c r="G113">
        <v>1963</v>
      </c>
      <c r="H113">
        <v>321</v>
      </c>
      <c r="I113">
        <v>7.6260000000000003</v>
      </c>
      <c r="J113">
        <v>370.77600000000001</v>
      </c>
      <c r="K113">
        <v>74</v>
      </c>
    </row>
    <row r="114" spans="1:11" x14ac:dyDescent="0.4">
      <c r="A114">
        <v>20600</v>
      </c>
      <c r="B114" t="s">
        <v>661</v>
      </c>
      <c r="C114" t="s">
        <v>584</v>
      </c>
      <c r="E114" t="s">
        <v>176</v>
      </c>
      <c r="F114">
        <v>95</v>
      </c>
      <c r="G114">
        <v>1973</v>
      </c>
      <c r="H114">
        <v>270</v>
      </c>
      <c r="I114">
        <v>13.532</v>
      </c>
      <c r="J114">
        <v>583.26900000000001</v>
      </c>
      <c r="K114">
        <v>74</v>
      </c>
    </row>
    <row r="115" spans="1:11" x14ac:dyDescent="0.4">
      <c r="A115">
        <v>17091</v>
      </c>
      <c r="B115" t="s">
        <v>663</v>
      </c>
      <c r="C115" t="s">
        <v>664</v>
      </c>
      <c r="D115" t="s">
        <v>378</v>
      </c>
      <c r="E115" t="s">
        <v>185</v>
      </c>
      <c r="F115">
        <v>63</v>
      </c>
      <c r="G115">
        <v>2000</v>
      </c>
      <c r="H115">
        <v>346</v>
      </c>
      <c r="I115">
        <v>9.8759999999999994</v>
      </c>
      <c r="J115">
        <v>316.40199999999999</v>
      </c>
      <c r="K115">
        <v>0</v>
      </c>
    </row>
    <row r="116" spans="1:11" x14ac:dyDescent="0.4">
      <c r="A116">
        <v>17096</v>
      </c>
      <c r="B116" t="s">
        <v>665</v>
      </c>
      <c r="C116" t="s">
        <v>500</v>
      </c>
      <c r="E116" t="s">
        <v>185</v>
      </c>
      <c r="F116">
        <v>63</v>
      </c>
      <c r="G116">
        <v>1967</v>
      </c>
      <c r="H116">
        <v>234</v>
      </c>
      <c r="I116">
        <v>21.126000000000001</v>
      </c>
      <c r="J116">
        <v>769.798</v>
      </c>
      <c r="K116">
        <v>48</v>
      </c>
    </row>
    <row r="117" spans="1:11" x14ac:dyDescent="0.4">
      <c r="A117">
        <v>27085</v>
      </c>
      <c r="B117" t="s">
        <v>666</v>
      </c>
      <c r="C117" t="s">
        <v>487</v>
      </c>
      <c r="E117" t="s">
        <v>631</v>
      </c>
      <c r="F117">
        <v>24</v>
      </c>
      <c r="G117">
        <v>1985</v>
      </c>
      <c r="H117">
        <v>540</v>
      </c>
      <c r="I117">
        <v>1.125</v>
      </c>
      <c r="J117">
        <v>43.441000000000003</v>
      </c>
      <c r="K117">
        <v>0</v>
      </c>
    </row>
    <row r="118" spans="1:11" x14ac:dyDescent="0.4">
      <c r="A118">
        <v>15083</v>
      </c>
      <c r="B118" t="s">
        <v>667</v>
      </c>
      <c r="C118" t="s">
        <v>498</v>
      </c>
      <c r="E118" t="s">
        <v>522</v>
      </c>
      <c r="F118">
        <v>2</v>
      </c>
      <c r="G118">
        <v>1993</v>
      </c>
      <c r="H118">
        <v>333</v>
      </c>
      <c r="I118">
        <v>9.532</v>
      </c>
      <c r="J118">
        <v>341.94</v>
      </c>
      <c r="K118">
        <v>45</v>
      </c>
    </row>
    <row r="119" spans="1:11" x14ac:dyDescent="0.4">
      <c r="A119">
        <v>21016</v>
      </c>
      <c r="B119" t="s">
        <v>668</v>
      </c>
      <c r="C119" t="s">
        <v>669</v>
      </c>
      <c r="D119" t="s">
        <v>546</v>
      </c>
      <c r="E119" t="s">
        <v>214</v>
      </c>
      <c r="F119">
        <v>69</v>
      </c>
      <c r="G119">
        <v>2007</v>
      </c>
      <c r="H119">
        <v>625</v>
      </c>
      <c r="I119">
        <v>0</v>
      </c>
      <c r="J119">
        <v>0</v>
      </c>
      <c r="K119">
        <v>0</v>
      </c>
    </row>
    <row r="120" spans="1:11" x14ac:dyDescent="0.4">
      <c r="A120">
        <v>96196</v>
      </c>
      <c r="B120" t="s">
        <v>670</v>
      </c>
      <c r="C120" t="s">
        <v>671</v>
      </c>
      <c r="E120" t="s">
        <v>248</v>
      </c>
      <c r="F120">
        <v>13</v>
      </c>
      <c r="G120">
        <v>1962</v>
      </c>
      <c r="H120">
        <v>465</v>
      </c>
      <c r="I120">
        <v>5</v>
      </c>
      <c r="J120">
        <v>113.81</v>
      </c>
      <c r="K120">
        <v>0</v>
      </c>
    </row>
    <row r="121" spans="1:11" x14ac:dyDescent="0.4">
      <c r="A121">
        <v>21746</v>
      </c>
      <c r="B121" t="s">
        <v>672</v>
      </c>
      <c r="C121" t="s">
        <v>673</v>
      </c>
      <c r="D121" t="s">
        <v>378</v>
      </c>
      <c r="E121" t="s">
        <v>248</v>
      </c>
      <c r="F121">
        <v>13</v>
      </c>
      <c r="G121">
        <v>1990</v>
      </c>
      <c r="H121">
        <v>626</v>
      </c>
      <c r="I121">
        <v>0</v>
      </c>
      <c r="J121">
        <v>0</v>
      </c>
      <c r="K121">
        <v>0</v>
      </c>
    </row>
    <row r="122" spans="1:11" x14ac:dyDescent="0.4">
      <c r="A122">
        <v>96190</v>
      </c>
      <c r="B122" t="s">
        <v>672</v>
      </c>
      <c r="C122" t="s">
        <v>674</v>
      </c>
      <c r="D122" t="s">
        <v>378</v>
      </c>
      <c r="E122" t="s">
        <v>248</v>
      </c>
      <c r="F122">
        <v>13</v>
      </c>
      <c r="G122">
        <v>1965</v>
      </c>
      <c r="H122">
        <v>585</v>
      </c>
      <c r="I122">
        <v>0.78100000000000003</v>
      </c>
      <c r="J122">
        <v>17.783000000000001</v>
      </c>
      <c r="K122">
        <v>0</v>
      </c>
    </row>
    <row r="123" spans="1:11" x14ac:dyDescent="0.4">
      <c r="A123">
        <v>12020</v>
      </c>
      <c r="B123" t="s">
        <v>675</v>
      </c>
      <c r="C123" t="s">
        <v>485</v>
      </c>
      <c r="E123" t="s">
        <v>189</v>
      </c>
      <c r="F123">
        <v>20</v>
      </c>
      <c r="G123">
        <v>1962</v>
      </c>
      <c r="H123">
        <v>8</v>
      </c>
      <c r="I123">
        <v>46</v>
      </c>
      <c r="J123">
        <v>3595.2069999999999</v>
      </c>
      <c r="K123">
        <v>1766</v>
      </c>
    </row>
    <row r="124" spans="1:11" x14ac:dyDescent="0.4">
      <c r="A124">
        <v>13044</v>
      </c>
      <c r="B124" t="s">
        <v>676</v>
      </c>
      <c r="C124" t="s">
        <v>574</v>
      </c>
      <c r="D124" t="s">
        <v>378</v>
      </c>
      <c r="E124" t="s">
        <v>189</v>
      </c>
      <c r="F124">
        <v>20</v>
      </c>
      <c r="G124">
        <v>1962</v>
      </c>
      <c r="H124">
        <v>59</v>
      </c>
      <c r="I124">
        <v>26.001000000000001</v>
      </c>
      <c r="J124">
        <v>2208.1489999999999</v>
      </c>
      <c r="K124">
        <v>1185</v>
      </c>
    </row>
    <row r="125" spans="1:11" x14ac:dyDescent="0.4">
      <c r="A125">
        <v>16142</v>
      </c>
      <c r="B125" t="s">
        <v>677</v>
      </c>
      <c r="C125" t="s">
        <v>678</v>
      </c>
      <c r="E125" t="s">
        <v>185</v>
      </c>
      <c r="F125">
        <v>63</v>
      </c>
      <c r="G125">
        <v>1975</v>
      </c>
      <c r="H125">
        <v>297</v>
      </c>
      <c r="I125">
        <v>10.688000000000001</v>
      </c>
      <c r="J125">
        <v>441.24099999999999</v>
      </c>
      <c r="K125">
        <v>102</v>
      </c>
    </row>
    <row r="126" spans="1:11" x14ac:dyDescent="0.4">
      <c r="A126">
        <v>21014</v>
      </c>
      <c r="B126" t="s">
        <v>677</v>
      </c>
      <c r="C126" t="s">
        <v>679</v>
      </c>
      <c r="D126" t="s">
        <v>546</v>
      </c>
      <c r="E126" t="s">
        <v>185</v>
      </c>
      <c r="F126">
        <v>63</v>
      </c>
      <c r="G126">
        <v>2012</v>
      </c>
      <c r="H126">
        <v>464</v>
      </c>
      <c r="I126">
        <v>3.3759999999999999</v>
      </c>
      <c r="J126">
        <v>115.767</v>
      </c>
      <c r="K126">
        <v>0</v>
      </c>
    </row>
    <row r="127" spans="1:11" x14ac:dyDescent="0.4">
      <c r="A127">
        <v>22169</v>
      </c>
      <c r="B127" t="s">
        <v>680</v>
      </c>
      <c r="C127" t="s">
        <v>573</v>
      </c>
      <c r="D127" t="s">
        <v>508</v>
      </c>
      <c r="E127" t="s">
        <v>185</v>
      </c>
      <c r="F127">
        <v>63</v>
      </c>
      <c r="G127">
        <v>2014</v>
      </c>
      <c r="H127">
        <v>476</v>
      </c>
      <c r="I127">
        <v>3.1880000000000002</v>
      </c>
      <c r="J127">
        <v>100.104</v>
      </c>
      <c r="K127">
        <v>0</v>
      </c>
    </row>
    <row r="128" spans="1:11" x14ac:dyDescent="0.4">
      <c r="A128">
        <v>11046</v>
      </c>
      <c r="B128" t="s">
        <v>681</v>
      </c>
      <c r="C128" t="s">
        <v>505</v>
      </c>
      <c r="E128" t="s">
        <v>391</v>
      </c>
      <c r="F128">
        <v>14</v>
      </c>
      <c r="G128">
        <v>1985</v>
      </c>
      <c r="H128">
        <v>29</v>
      </c>
      <c r="I128">
        <v>42.25</v>
      </c>
      <c r="J128">
        <v>2859.623</v>
      </c>
      <c r="K128">
        <v>1456</v>
      </c>
    </row>
    <row r="129" spans="1:11" x14ac:dyDescent="0.4">
      <c r="A129">
        <v>13062</v>
      </c>
      <c r="B129" t="s">
        <v>682</v>
      </c>
      <c r="C129" t="s">
        <v>683</v>
      </c>
      <c r="E129" t="s">
        <v>684</v>
      </c>
      <c r="F129">
        <v>77</v>
      </c>
      <c r="G129">
        <v>1951</v>
      </c>
      <c r="H129">
        <v>382</v>
      </c>
      <c r="I129">
        <v>1.5940000000000001</v>
      </c>
      <c r="J129">
        <v>233.16300000000001</v>
      </c>
      <c r="K129">
        <v>149</v>
      </c>
    </row>
    <row r="130" spans="1:11" x14ac:dyDescent="0.4">
      <c r="A130">
        <v>12068</v>
      </c>
      <c r="B130" t="s">
        <v>682</v>
      </c>
      <c r="C130" t="s">
        <v>485</v>
      </c>
      <c r="E130" t="s">
        <v>684</v>
      </c>
      <c r="F130">
        <v>77</v>
      </c>
      <c r="G130">
        <v>1974</v>
      </c>
      <c r="H130">
        <v>316</v>
      </c>
      <c r="I130">
        <v>2.875</v>
      </c>
      <c r="J130">
        <v>393.49099999999999</v>
      </c>
      <c r="K130">
        <v>246</v>
      </c>
    </row>
    <row r="131" spans="1:11" x14ac:dyDescent="0.4">
      <c r="A131">
        <v>16034</v>
      </c>
      <c r="B131" t="s">
        <v>685</v>
      </c>
      <c r="C131" t="s">
        <v>485</v>
      </c>
      <c r="E131" t="s">
        <v>403</v>
      </c>
      <c r="F131">
        <v>22</v>
      </c>
      <c r="G131">
        <v>1970</v>
      </c>
      <c r="H131">
        <v>627</v>
      </c>
      <c r="I131">
        <v>0</v>
      </c>
      <c r="J131">
        <v>0</v>
      </c>
      <c r="K131">
        <v>0</v>
      </c>
    </row>
    <row r="132" spans="1:11" x14ac:dyDescent="0.4">
      <c r="A132">
        <v>23131</v>
      </c>
      <c r="B132" t="s">
        <v>686</v>
      </c>
      <c r="C132" t="s">
        <v>539</v>
      </c>
      <c r="E132" t="s">
        <v>438</v>
      </c>
      <c r="F132">
        <v>43</v>
      </c>
      <c r="G132">
        <v>1954</v>
      </c>
      <c r="H132">
        <v>177</v>
      </c>
      <c r="I132">
        <v>23.062999999999999</v>
      </c>
      <c r="J132">
        <v>1092.116</v>
      </c>
      <c r="K132">
        <v>253</v>
      </c>
    </row>
    <row r="133" spans="1:11" x14ac:dyDescent="0.4">
      <c r="A133">
        <v>11010</v>
      </c>
      <c r="B133" t="s">
        <v>687</v>
      </c>
      <c r="C133" t="s">
        <v>526</v>
      </c>
      <c r="E133" t="s">
        <v>560</v>
      </c>
      <c r="F133">
        <v>44</v>
      </c>
      <c r="G133">
        <v>1992</v>
      </c>
      <c r="H133">
        <v>564</v>
      </c>
      <c r="I133">
        <v>1.375</v>
      </c>
      <c r="J133">
        <v>30.347999999999999</v>
      </c>
      <c r="K133">
        <v>0</v>
      </c>
    </row>
    <row r="134" spans="1:11" x14ac:dyDescent="0.4">
      <c r="A134">
        <v>11009</v>
      </c>
      <c r="B134" t="s">
        <v>687</v>
      </c>
      <c r="C134" t="s">
        <v>569</v>
      </c>
      <c r="E134" t="s">
        <v>560</v>
      </c>
      <c r="F134">
        <v>44</v>
      </c>
      <c r="G134">
        <v>1959</v>
      </c>
      <c r="H134">
        <v>83</v>
      </c>
      <c r="I134">
        <v>23.094999999999999</v>
      </c>
      <c r="J134">
        <v>1937.4290000000001</v>
      </c>
      <c r="K134">
        <v>1022</v>
      </c>
    </row>
    <row r="135" spans="1:11" x14ac:dyDescent="0.4">
      <c r="A135">
        <v>22017</v>
      </c>
      <c r="B135" t="s">
        <v>688</v>
      </c>
      <c r="C135" t="s">
        <v>689</v>
      </c>
      <c r="E135" t="s">
        <v>263</v>
      </c>
      <c r="F135">
        <v>17</v>
      </c>
      <c r="G135">
        <v>1970</v>
      </c>
      <c r="H135">
        <v>173</v>
      </c>
      <c r="I135">
        <v>11.813000000000001</v>
      </c>
      <c r="J135">
        <v>1122.4639999999999</v>
      </c>
      <c r="K135">
        <v>531</v>
      </c>
    </row>
    <row r="136" spans="1:11" x14ac:dyDescent="0.4">
      <c r="A136">
        <v>12001</v>
      </c>
      <c r="B136" t="s">
        <v>688</v>
      </c>
      <c r="C136" t="s">
        <v>690</v>
      </c>
      <c r="E136" t="s">
        <v>263</v>
      </c>
      <c r="F136">
        <v>17</v>
      </c>
      <c r="G136">
        <v>2003</v>
      </c>
      <c r="H136">
        <v>498</v>
      </c>
      <c r="I136">
        <v>1.8129999999999999</v>
      </c>
      <c r="J136">
        <v>76.322999999999993</v>
      </c>
      <c r="K136">
        <v>0</v>
      </c>
    </row>
    <row r="137" spans="1:11" x14ac:dyDescent="0.4">
      <c r="A137">
        <v>18084</v>
      </c>
      <c r="B137" t="s">
        <v>691</v>
      </c>
      <c r="C137" t="s">
        <v>569</v>
      </c>
      <c r="E137" t="s">
        <v>180</v>
      </c>
      <c r="F137">
        <v>89</v>
      </c>
      <c r="G137">
        <v>1964</v>
      </c>
      <c r="H137">
        <v>341</v>
      </c>
      <c r="I137">
        <v>4.75</v>
      </c>
      <c r="J137">
        <v>321.947</v>
      </c>
      <c r="K137">
        <v>105</v>
      </c>
    </row>
    <row r="138" spans="1:11" x14ac:dyDescent="0.4">
      <c r="A138">
        <v>24517</v>
      </c>
      <c r="B138" t="s">
        <v>692</v>
      </c>
      <c r="C138" t="s">
        <v>693</v>
      </c>
      <c r="D138" t="s">
        <v>378</v>
      </c>
      <c r="E138" t="s">
        <v>176</v>
      </c>
      <c r="F138">
        <v>95</v>
      </c>
      <c r="G138">
        <v>1960</v>
      </c>
      <c r="H138">
        <v>407</v>
      </c>
      <c r="I138">
        <v>4.375</v>
      </c>
      <c r="J138">
        <v>178.94800000000001</v>
      </c>
      <c r="K138">
        <v>0</v>
      </c>
    </row>
    <row r="139" spans="1:11" x14ac:dyDescent="0.4">
      <c r="A139">
        <v>18046</v>
      </c>
      <c r="B139" t="s">
        <v>694</v>
      </c>
      <c r="C139" t="s">
        <v>695</v>
      </c>
      <c r="E139" t="s">
        <v>214</v>
      </c>
      <c r="F139">
        <v>69</v>
      </c>
      <c r="G139">
        <v>1974</v>
      </c>
      <c r="H139">
        <v>336</v>
      </c>
      <c r="I139">
        <v>9.5</v>
      </c>
      <c r="J139">
        <v>337.709</v>
      </c>
      <c r="K139">
        <v>119</v>
      </c>
    </row>
    <row r="140" spans="1:11" x14ac:dyDescent="0.4">
      <c r="A140">
        <v>20583</v>
      </c>
      <c r="B140" t="s">
        <v>696</v>
      </c>
      <c r="C140" t="s">
        <v>485</v>
      </c>
      <c r="E140" t="s">
        <v>176</v>
      </c>
      <c r="F140">
        <v>95</v>
      </c>
      <c r="G140">
        <v>1971</v>
      </c>
      <c r="H140">
        <v>507</v>
      </c>
      <c r="I140">
        <v>2.109</v>
      </c>
      <c r="J140">
        <v>68.552000000000007</v>
      </c>
      <c r="K140">
        <v>0</v>
      </c>
    </row>
    <row r="141" spans="1:11" x14ac:dyDescent="0.4">
      <c r="A141">
        <v>20602</v>
      </c>
      <c r="B141" t="s">
        <v>696</v>
      </c>
      <c r="C141" t="s">
        <v>697</v>
      </c>
      <c r="E141" t="s">
        <v>176</v>
      </c>
      <c r="F141">
        <v>95</v>
      </c>
      <c r="G141">
        <v>1970</v>
      </c>
      <c r="H141">
        <v>251</v>
      </c>
      <c r="I141">
        <v>18.579000000000001</v>
      </c>
      <c r="J141">
        <v>646.01900000000001</v>
      </c>
      <c r="K141">
        <v>0</v>
      </c>
    </row>
    <row r="142" spans="1:11" x14ac:dyDescent="0.4">
      <c r="A142">
        <v>21073</v>
      </c>
      <c r="B142" t="s">
        <v>698</v>
      </c>
      <c r="C142" t="s">
        <v>699</v>
      </c>
      <c r="D142" t="s">
        <v>378</v>
      </c>
      <c r="E142" t="s">
        <v>438</v>
      </c>
      <c r="F142">
        <v>43</v>
      </c>
      <c r="G142">
        <v>1990</v>
      </c>
      <c r="H142">
        <v>487</v>
      </c>
      <c r="I142">
        <v>2.3759999999999999</v>
      </c>
      <c r="J142">
        <v>90.733000000000004</v>
      </c>
      <c r="K142">
        <v>0</v>
      </c>
    </row>
    <row r="143" spans="1:11" x14ac:dyDescent="0.4">
      <c r="A143">
        <v>16120</v>
      </c>
      <c r="B143" t="s">
        <v>700</v>
      </c>
      <c r="C143" t="s">
        <v>526</v>
      </c>
      <c r="D143" t="s">
        <v>546</v>
      </c>
      <c r="E143" t="s">
        <v>488</v>
      </c>
      <c r="F143">
        <v>79</v>
      </c>
      <c r="G143">
        <v>2009</v>
      </c>
      <c r="H143">
        <v>269</v>
      </c>
      <c r="I143">
        <v>11.375999999999999</v>
      </c>
      <c r="J143">
        <v>584.82899999999995</v>
      </c>
      <c r="K143">
        <v>132</v>
      </c>
    </row>
    <row r="144" spans="1:11" x14ac:dyDescent="0.4">
      <c r="A144">
        <v>12086</v>
      </c>
      <c r="B144" t="s">
        <v>701</v>
      </c>
      <c r="C144" t="s">
        <v>526</v>
      </c>
      <c r="E144" t="s">
        <v>160</v>
      </c>
      <c r="F144">
        <v>64</v>
      </c>
      <c r="G144">
        <v>1976</v>
      </c>
      <c r="H144">
        <v>36</v>
      </c>
      <c r="I144">
        <v>44.875</v>
      </c>
      <c r="J144">
        <v>2665.62</v>
      </c>
      <c r="K144">
        <v>862</v>
      </c>
    </row>
    <row r="145" spans="1:11" x14ac:dyDescent="0.4">
      <c r="A145">
        <v>14074</v>
      </c>
      <c r="B145" t="s">
        <v>702</v>
      </c>
      <c r="C145" t="s">
        <v>587</v>
      </c>
      <c r="D145" t="s">
        <v>378</v>
      </c>
      <c r="E145" t="s">
        <v>189</v>
      </c>
      <c r="F145">
        <v>20</v>
      </c>
      <c r="G145">
        <v>1974</v>
      </c>
      <c r="H145">
        <v>60</v>
      </c>
      <c r="I145">
        <v>30.312999999999999</v>
      </c>
      <c r="J145">
        <v>2204.7759999999998</v>
      </c>
      <c r="K145">
        <v>819</v>
      </c>
    </row>
    <row r="146" spans="1:11" x14ac:dyDescent="0.4">
      <c r="A146">
        <v>14075</v>
      </c>
      <c r="B146" t="s">
        <v>702</v>
      </c>
      <c r="C146" t="s">
        <v>703</v>
      </c>
      <c r="D146" t="s">
        <v>378</v>
      </c>
      <c r="E146" t="s">
        <v>189</v>
      </c>
      <c r="F146">
        <v>20</v>
      </c>
      <c r="G146">
        <v>1999</v>
      </c>
      <c r="H146">
        <v>4</v>
      </c>
      <c r="I146">
        <v>51</v>
      </c>
      <c r="J146">
        <v>3955.2220000000002</v>
      </c>
      <c r="K146">
        <v>1875</v>
      </c>
    </row>
    <row r="147" spans="1:11" x14ac:dyDescent="0.4">
      <c r="A147">
        <v>16013</v>
      </c>
      <c r="B147" t="s">
        <v>704</v>
      </c>
      <c r="C147" t="s">
        <v>485</v>
      </c>
      <c r="E147" t="s">
        <v>488</v>
      </c>
      <c r="F147">
        <v>79</v>
      </c>
      <c r="G147">
        <v>1988</v>
      </c>
      <c r="H147">
        <v>628</v>
      </c>
      <c r="I147">
        <v>0</v>
      </c>
      <c r="J147">
        <v>0</v>
      </c>
      <c r="K147">
        <v>0</v>
      </c>
    </row>
    <row r="148" spans="1:11" x14ac:dyDescent="0.4">
      <c r="A148">
        <v>10034</v>
      </c>
      <c r="B148" t="s">
        <v>705</v>
      </c>
      <c r="C148" t="s">
        <v>498</v>
      </c>
      <c r="E148" t="s">
        <v>527</v>
      </c>
      <c r="F148">
        <v>68</v>
      </c>
      <c r="G148">
        <v>1959</v>
      </c>
      <c r="H148">
        <v>239</v>
      </c>
      <c r="I148">
        <v>15.72</v>
      </c>
      <c r="J148">
        <v>698.77</v>
      </c>
      <c r="K148">
        <v>83</v>
      </c>
    </row>
    <row r="149" spans="1:11" x14ac:dyDescent="0.4">
      <c r="A149">
        <v>24218</v>
      </c>
      <c r="B149" t="s">
        <v>706</v>
      </c>
      <c r="C149" t="s">
        <v>485</v>
      </c>
      <c r="E149" t="s">
        <v>499</v>
      </c>
      <c r="F149">
        <v>51</v>
      </c>
      <c r="G149">
        <v>1969</v>
      </c>
      <c r="H149">
        <v>124</v>
      </c>
      <c r="I149">
        <v>27.562999999999999</v>
      </c>
      <c r="J149">
        <v>1536.298</v>
      </c>
      <c r="K149">
        <v>527</v>
      </c>
    </row>
    <row r="150" spans="1:11" x14ac:dyDescent="0.4">
      <c r="A150">
        <v>16056</v>
      </c>
      <c r="B150" t="s">
        <v>707</v>
      </c>
      <c r="C150" t="s">
        <v>559</v>
      </c>
      <c r="E150" t="s">
        <v>708</v>
      </c>
      <c r="F150">
        <v>82</v>
      </c>
      <c r="G150">
        <v>1966</v>
      </c>
      <c r="H150">
        <v>379</v>
      </c>
      <c r="I150">
        <v>6.5010000000000003</v>
      </c>
      <c r="J150">
        <v>237.90700000000001</v>
      </c>
      <c r="K150">
        <v>34</v>
      </c>
    </row>
    <row r="151" spans="1:11" x14ac:dyDescent="0.4">
      <c r="A151">
        <v>10008</v>
      </c>
      <c r="B151" t="s">
        <v>709</v>
      </c>
      <c r="C151" t="s">
        <v>603</v>
      </c>
      <c r="E151" t="s">
        <v>656</v>
      </c>
      <c r="F151">
        <v>66</v>
      </c>
      <c r="G151">
        <v>1968</v>
      </c>
      <c r="H151">
        <v>354</v>
      </c>
      <c r="I151">
        <v>7.5339999999999998</v>
      </c>
      <c r="J151">
        <v>295.25900000000001</v>
      </c>
      <c r="K151">
        <v>59</v>
      </c>
    </row>
    <row r="152" spans="1:11" x14ac:dyDescent="0.4">
      <c r="A152">
        <v>23225</v>
      </c>
      <c r="B152" t="s">
        <v>710</v>
      </c>
      <c r="C152" t="s">
        <v>711</v>
      </c>
      <c r="D152" t="s">
        <v>378</v>
      </c>
      <c r="E152" t="s">
        <v>656</v>
      </c>
      <c r="F152">
        <v>66</v>
      </c>
      <c r="G152">
        <v>1993</v>
      </c>
      <c r="H152">
        <v>576</v>
      </c>
      <c r="I152">
        <v>0.56299999999999994</v>
      </c>
      <c r="J152">
        <v>21.72</v>
      </c>
      <c r="K152">
        <v>0</v>
      </c>
    </row>
    <row r="153" spans="1:11" x14ac:dyDescent="0.4">
      <c r="A153">
        <v>18106</v>
      </c>
      <c r="B153" t="s">
        <v>712</v>
      </c>
      <c r="C153" t="s">
        <v>713</v>
      </c>
      <c r="D153" t="s">
        <v>546</v>
      </c>
      <c r="E153" t="s">
        <v>714</v>
      </c>
      <c r="F153">
        <v>21</v>
      </c>
      <c r="G153">
        <v>2007</v>
      </c>
      <c r="H153">
        <v>21</v>
      </c>
      <c r="I153">
        <v>48.5</v>
      </c>
      <c r="J153">
        <v>3024.453</v>
      </c>
      <c r="K153">
        <v>1361</v>
      </c>
    </row>
    <row r="154" spans="1:11" x14ac:dyDescent="0.4">
      <c r="A154">
        <v>22105</v>
      </c>
      <c r="B154" t="s">
        <v>715</v>
      </c>
      <c r="C154" t="s">
        <v>652</v>
      </c>
      <c r="D154" t="s">
        <v>378</v>
      </c>
      <c r="E154" t="s">
        <v>714</v>
      </c>
      <c r="F154">
        <v>21</v>
      </c>
      <c r="G154">
        <v>2005</v>
      </c>
      <c r="H154">
        <v>62</v>
      </c>
      <c r="I154">
        <v>30.001000000000001</v>
      </c>
      <c r="J154">
        <v>2169.9340000000002</v>
      </c>
      <c r="K154">
        <v>966</v>
      </c>
    </row>
    <row r="155" spans="1:11" x14ac:dyDescent="0.4">
      <c r="A155">
        <v>21079</v>
      </c>
      <c r="B155" t="s">
        <v>716</v>
      </c>
      <c r="C155" t="s">
        <v>495</v>
      </c>
      <c r="E155" t="s">
        <v>172</v>
      </c>
      <c r="F155">
        <v>5</v>
      </c>
      <c r="G155">
        <v>1992</v>
      </c>
      <c r="H155">
        <v>629</v>
      </c>
      <c r="I155">
        <v>0</v>
      </c>
      <c r="J155">
        <v>0</v>
      </c>
      <c r="K155">
        <v>0</v>
      </c>
    </row>
    <row r="156" spans="1:11" x14ac:dyDescent="0.4">
      <c r="A156">
        <v>96162</v>
      </c>
      <c r="B156" t="s">
        <v>716</v>
      </c>
      <c r="C156" t="s">
        <v>552</v>
      </c>
      <c r="E156" t="s">
        <v>172</v>
      </c>
      <c r="F156">
        <v>5</v>
      </c>
      <c r="G156">
        <v>1963</v>
      </c>
      <c r="H156">
        <v>367</v>
      </c>
      <c r="I156">
        <v>7.6879999999999997</v>
      </c>
      <c r="J156">
        <v>267.53199999999998</v>
      </c>
      <c r="K156">
        <v>0</v>
      </c>
    </row>
    <row r="157" spans="1:11" x14ac:dyDescent="0.4">
      <c r="A157">
        <v>96163</v>
      </c>
      <c r="B157" t="s">
        <v>717</v>
      </c>
      <c r="C157" t="s">
        <v>718</v>
      </c>
      <c r="D157" t="s">
        <v>378</v>
      </c>
      <c r="E157" t="s">
        <v>172</v>
      </c>
      <c r="F157">
        <v>5</v>
      </c>
      <c r="G157">
        <v>1963</v>
      </c>
      <c r="H157">
        <v>368</v>
      </c>
      <c r="I157">
        <v>7.6879999999999997</v>
      </c>
      <c r="J157">
        <v>267.53199999999998</v>
      </c>
      <c r="K157">
        <v>0</v>
      </c>
    </row>
    <row r="158" spans="1:11" x14ac:dyDescent="0.4">
      <c r="A158">
        <v>20568</v>
      </c>
      <c r="B158" t="s">
        <v>719</v>
      </c>
      <c r="C158" t="s">
        <v>720</v>
      </c>
      <c r="D158" t="s">
        <v>378</v>
      </c>
      <c r="E158" t="s">
        <v>214</v>
      </c>
      <c r="F158">
        <v>69</v>
      </c>
      <c r="G158">
        <v>1951</v>
      </c>
      <c r="H158">
        <v>577</v>
      </c>
      <c r="I158">
        <v>1.3129999999999999</v>
      </c>
      <c r="J158">
        <v>20.975000000000001</v>
      </c>
      <c r="K158">
        <v>0</v>
      </c>
    </row>
    <row r="159" spans="1:11" x14ac:dyDescent="0.4">
      <c r="A159">
        <v>96217</v>
      </c>
      <c r="B159" t="s">
        <v>721</v>
      </c>
      <c r="C159" t="s">
        <v>722</v>
      </c>
      <c r="E159" t="s">
        <v>237</v>
      </c>
      <c r="F159">
        <v>1</v>
      </c>
      <c r="G159">
        <v>1949</v>
      </c>
      <c r="H159">
        <v>115</v>
      </c>
      <c r="I159">
        <v>21.626000000000001</v>
      </c>
      <c r="J159">
        <v>1609.732</v>
      </c>
      <c r="K159">
        <v>768</v>
      </c>
    </row>
    <row r="160" spans="1:11" x14ac:dyDescent="0.4">
      <c r="A160">
        <v>25054</v>
      </c>
      <c r="B160" t="s">
        <v>723</v>
      </c>
      <c r="C160" t="s">
        <v>526</v>
      </c>
      <c r="E160" t="s">
        <v>724</v>
      </c>
      <c r="F160">
        <v>56</v>
      </c>
      <c r="G160">
        <v>1953</v>
      </c>
      <c r="H160">
        <v>81</v>
      </c>
      <c r="I160">
        <v>36.969000000000001</v>
      </c>
      <c r="J160">
        <v>1945.511</v>
      </c>
      <c r="K160">
        <v>494</v>
      </c>
    </row>
    <row r="161" spans="1:11" x14ac:dyDescent="0.4">
      <c r="A161">
        <v>26022</v>
      </c>
      <c r="B161" t="s">
        <v>723</v>
      </c>
      <c r="C161" t="s">
        <v>487</v>
      </c>
      <c r="E161" t="s">
        <v>724</v>
      </c>
      <c r="F161">
        <v>56</v>
      </c>
      <c r="G161">
        <v>1976</v>
      </c>
      <c r="H161">
        <v>531</v>
      </c>
      <c r="I161">
        <v>1.3129999999999999</v>
      </c>
      <c r="J161">
        <v>51.895000000000003</v>
      </c>
      <c r="K161">
        <v>0</v>
      </c>
    </row>
    <row r="162" spans="1:11" x14ac:dyDescent="0.4">
      <c r="A162">
        <v>28006</v>
      </c>
      <c r="B162" t="s">
        <v>725</v>
      </c>
      <c r="C162" t="s">
        <v>526</v>
      </c>
      <c r="E162" t="s">
        <v>263</v>
      </c>
      <c r="F162">
        <v>17</v>
      </c>
      <c r="G162">
        <v>1992</v>
      </c>
      <c r="H162">
        <v>6</v>
      </c>
      <c r="I162">
        <v>38.625</v>
      </c>
      <c r="J162">
        <v>3704.4490000000001</v>
      </c>
      <c r="K162">
        <v>1819</v>
      </c>
    </row>
    <row r="163" spans="1:11" x14ac:dyDescent="0.4">
      <c r="A163">
        <v>21004</v>
      </c>
      <c r="B163" t="s">
        <v>725</v>
      </c>
      <c r="C163" t="s">
        <v>726</v>
      </c>
      <c r="D163" t="s">
        <v>378</v>
      </c>
      <c r="E163" t="s">
        <v>263</v>
      </c>
      <c r="F163">
        <v>17</v>
      </c>
      <c r="G163">
        <v>1991</v>
      </c>
      <c r="H163">
        <v>136</v>
      </c>
      <c r="I163">
        <v>18.75</v>
      </c>
      <c r="J163">
        <v>1425.951</v>
      </c>
      <c r="K163">
        <v>587</v>
      </c>
    </row>
    <row r="164" spans="1:11" x14ac:dyDescent="0.4">
      <c r="A164">
        <v>14021</v>
      </c>
      <c r="B164" t="s">
        <v>725</v>
      </c>
      <c r="C164" t="s">
        <v>727</v>
      </c>
      <c r="E164" t="s">
        <v>244</v>
      </c>
      <c r="F164">
        <v>88</v>
      </c>
      <c r="G164">
        <v>1969</v>
      </c>
      <c r="H164">
        <v>252</v>
      </c>
      <c r="I164">
        <v>15.689</v>
      </c>
      <c r="J164">
        <v>643.32600000000002</v>
      </c>
      <c r="K164">
        <v>84</v>
      </c>
    </row>
    <row r="165" spans="1:11" x14ac:dyDescent="0.4">
      <c r="A165">
        <v>11019</v>
      </c>
      <c r="B165" t="s">
        <v>728</v>
      </c>
      <c r="C165" t="s">
        <v>490</v>
      </c>
      <c r="E165" t="s">
        <v>304</v>
      </c>
      <c r="F165">
        <v>45</v>
      </c>
      <c r="G165">
        <v>1950</v>
      </c>
      <c r="H165">
        <v>493</v>
      </c>
      <c r="I165">
        <v>4</v>
      </c>
      <c r="J165">
        <v>78.495999999999995</v>
      </c>
      <c r="K165">
        <v>0</v>
      </c>
    </row>
    <row r="166" spans="1:11" x14ac:dyDescent="0.4">
      <c r="A166">
        <v>18010</v>
      </c>
      <c r="B166" t="s">
        <v>728</v>
      </c>
      <c r="C166" t="s">
        <v>485</v>
      </c>
      <c r="E166" t="s">
        <v>729</v>
      </c>
      <c r="F166">
        <v>87</v>
      </c>
      <c r="G166">
        <v>1948</v>
      </c>
      <c r="H166">
        <v>488</v>
      </c>
      <c r="I166">
        <v>2.125</v>
      </c>
      <c r="J166">
        <v>90.39</v>
      </c>
      <c r="K166">
        <v>15</v>
      </c>
    </row>
    <row r="167" spans="1:11" x14ac:dyDescent="0.4">
      <c r="A167">
        <v>18011</v>
      </c>
      <c r="B167" t="s">
        <v>730</v>
      </c>
      <c r="C167" t="s">
        <v>626</v>
      </c>
      <c r="D167" t="s">
        <v>378</v>
      </c>
      <c r="E167" t="s">
        <v>729</v>
      </c>
      <c r="F167">
        <v>87</v>
      </c>
      <c r="G167">
        <v>1950</v>
      </c>
      <c r="H167">
        <v>523</v>
      </c>
      <c r="I167">
        <v>1.125</v>
      </c>
      <c r="J167">
        <v>61.012999999999998</v>
      </c>
      <c r="K167">
        <v>15</v>
      </c>
    </row>
    <row r="168" spans="1:11" x14ac:dyDescent="0.4">
      <c r="A168">
        <v>18069</v>
      </c>
      <c r="B168" t="s">
        <v>731</v>
      </c>
      <c r="C168" t="s">
        <v>526</v>
      </c>
      <c r="E168" t="s">
        <v>244</v>
      </c>
      <c r="F168">
        <v>88</v>
      </c>
      <c r="G168">
        <v>1978</v>
      </c>
      <c r="H168">
        <v>545</v>
      </c>
      <c r="I168">
        <v>1</v>
      </c>
      <c r="J168">
        <v>39.213000000000001</v>
      </c>
      <c r="K168">
        <v>0</v>
      </c>
    </row>
    <row r="169" spans="1:11" x14ac:dyDescent="0.4">
      <c r="A169">
        <v>18068</v>
      </c>
      <c r="B169" t="s">
        <v>732</v>
      </c>
      <c r="C169" t="s">
        <v>733</v>
      </c>
      <c r="D169" t="s">
        <v>378</v>
      </c>
      <c r="E169" t="s">
        <v>244</v>
      </c>
      <c r="F169">
        <v>88</v>
      </c>
      <c r="G169">
        <v>1982</v>
      </c>
      <c r="H169">
        <v>176</v>
      </c>
      <c r="I169">
        <v>20.001999999999999</v>
      </c>
      <c r="J169">
        <v>1096.585</v>
      </c>
      <c r="K169">
        <v>343</v>
      </c>
    </row>
    <row r="170" spans="1:11" x14ac:dyDescent="0.4">
      <c r="A170">
        <v>15059</v>
      </c>
      <c r="B170" t="s">
        <v>734</v>
      </c>
      <c r="C170" t="s">
        <v>564</v>
      </c>
      <c r="E170" t="s">
        <v>166</v>
      </c>
      <c r="F170">
        <v>54</v>
      </c>
      <c r="G170">
        <v>1959</v>
      </c>
      <c r="H170">
        <v>175</v>
      </c>
      <c r="I170">
        <v>14.468999999999999</v>
      </c>
      <c r="J170">
        <v>1100.377</v>
      </c>
      <c r="K170">
        <v>432</v>
      </c>
    </row>
    <row r="171" spans="1:11" x14ac:dyDescent="0.4">
      <c r="A171">
        <v>99594</v>
      </c>
      <c r="B171" t="s">
        <v>735</v>
      </c>
      <c r="C171" t="s">
        <v>490</v>
      </c>
      <c r="E171" t="s">
        <v>285</v>
      </c>
      <c r="F171">
        <v>19</v>
      </c>
      <c r="G171">
        <v>1960</v>
      </c>
      <c r="H171">
        <v>327</v>
      </c>
      <c r="I171">
        <v>9.125</v>
      </c>
      <c r="J171">
        <v>354.18400000000003</v>
      </c>
      <c r="K171">
        <v>91</v>
      </c>
    </row>
    <row r="172" spans="1:11" x14ac:dyDescent="0.4">
      <c r="A172">
        <v>15024</v>
      </c>
      <c r="B172" t="s">
        <v>736</v>
      </c>
      <c r="C172" t="s">
        <v>737</v>
      </c>
      <c r="E172" t="s">
        <v>298</v>
      </c>
      <c r="F172">
        <v>67</v>
      </c>
      <c r="G172">
        <v>1959</v>
      </c>
      <c r="H172">
        <v>560</v>
      </c>
      <c r="I172">
        <v>1.25</v>
      </c>
      <c r="J172">
        <v>32.444000000000003</v>
      </c>
      <c r="K172">
        <v>0</v>
      </c>
    </row>
    <row r="173" spans="1:11" x14ac:dyDescent="0.4">
      <c r="A173">
        <v>24309</v>
      </c>
      <c r="B173" t="s">
        <v>738</v>
      </c>
      <c r="C173" t="s">
        <v>639</v>
      </c>
      <c r="E173" t="s">
        <v>739</v>
      </c>
      <c r="F173">
        <v>85</v>
      </c>
      <c r="G173">
        <v>1985</v>
      </c>
      <c r="H173">
        <v>23</v>
      </c>
      <c r="I173">
        <v>30.875</v>
      </c>
      <c r="J173">
        <v>2963.42</v>
      </c>
      <c r="K173">
        <v>1416</v>
      </c>
    </row>
    <row r="174" spans="1:11" x14ac:dyDescent="0.4">
      <c r="A174">
        <v>24311</v>
      </c>
      <c r="B174" t="s">
        <v>738</v>
      </c>
      <c r="C174" t="s">
        <v>485</v>
      </c>
      <c r="E174" t="s">
        <v>739</v>
      </c>
      <c r="F174">
        <v>85</v>
      </c>
      <c r="G174">
        <v>1989</v>
      </c>
      <c r="H174">
        <v>630</v>
      </c>
      <c r="I174">
        <v>0</v>
      </c>
      <c r="J174">
        <v>0</v>
      </c>
      <c r="K174">
        <v>0</v>
      </c>
    </row>
    <row r="175" spans="1:11" x14ac:dyDescent="0.4">
      <c r="A175">
        <v>13075</v>
      </c>
      <c r="B175" t="s">
        <v>740</v>
      </c>
      <c r="C175" t="s">
        <v>741</v>
      </c>
      <c r="D175" t="s">
        <v>378</v>
      </c>
      <c r="E175" t="s">
        <v>739</v>
      </c>
      <c r="F175">
        <v>85</v>
      </c>
      <c r="G175">
        <v>1986</v>
      </c>
      <c r="H175">
        <v>631</v>
      </c>
      <c r="I175">
        <v>0</v>
      </c>
      <c r="J175">
        <v>0</v>
      </c>
      <c r="K175">
        <v>0</v>
      </c>
    </row>
    <row r="176" spans="1:11" x14ac:dyDescent="0.4">
      <c r="A176">
        <v>22109</v>
      </c>
      <c r="B176" t="s">
        <v>742</v>
      </c>
      <c r="C176" t="s">
        <v>678</v>
      </c>
      <c r="E176" t="s">
        <v>355</v>
      </c>
      <c r="F176">
        <v>42</v>
      </c>
      <c r="G176">
        <v>1968</v>
      </c>
      <c r="H176">
        <v>351</v>
      </c>
      <c r="I176">
        <v>5.6890000000000001</v>
      </c>
      <c r="J176">
        <v>306.75200000000001</v>
      </c>
      <c r="K176">
        <v>47</v>
      </c>
    </row>
    <row r="177" spans="1:11" x14ac:dyDescent="0.4">
      <c r="A177">
        <v>20588</v>
      </c>
      <c r="B177" t="s">
        <v>743</v>
      </c>
      <c r="C177" t="s">
        <v>655</v>
      </c>
      <c r="D177" t="s">
        <v>546</v>
      </c>
      <c r="E177" t="s">
        <v>176</v>
      </c>
      <c r="F177">
        <v>95</v>
      </c>
      <c r="G177">
        <v>2010</v>
      </c>
      <c r="H177">
        <v>632</v>
      </c>
      <c r="I177">
        <v>0</v>
      </c>
      <c r="J177">
        <v>0</v>
      </c>
      <c r="K177">
        <v>0</v>
      </c>
    </row>
    <row r="178" spans="1:11" x14ac:dyDescent="0.4">
      <c r="A178">
        <v>16020</v>
      </c>
      <c r="B178" t="s">
        <v>744</v>
      </c>
      <c r="C178" t="s">
        <v>564</v>
      </c>
      <c r="E178" t="s">
        <v>304</v>
      </c>
      <c r="F178">
        <v>45</v>
      </c>
      <c r="G178">
        <v>1968</v>
      </c>
      <c r="H178">
        <v>201</v>
      </c>
      <c r="I178">
        <v>18.312999999999999</v>
      </c>
      <c r="J178">
        <v>948.83699999999999</v>
      </c>
      <c r="K178">
        <v>263</v>
      </c>
    </row>
    <row r="179" spans="1:11" x14ac:dyDescent="0.4">
      <c r="A179">
        <v>18095</v>
      </c>
      <c r="B179" t="s">
        <v>745</v>
      </c>
      <c r="C179" t="s">
        <v>564</v>
      </c>
      <c r="E179" t="s">
        <v>647</v>
      </c>
      <c r="F179">
        <v>90</v>
      </c>
      <c r="G179">
        <v>1957</v>
      </c>
      <c r="H179">
        <v>285</v>
      </c>
      <c r="I179">
        <v>9.1880000000000006</v>
      </c>
      <c r="J179">
        <v>518.84900000000005</v>
      </c>
      <c r="K179">
        <v>171</v>
      </c>
    </row>
    <row r="180" spans="1:11" x14ac:dyDescent="0.4">
      <c r="A180">
        <v>10021</v>
      </c>
      <c r="B180" t="s">
        <v>746</v>
      </c>
      <c r="C180" t="s">
        <v>564</v>
      </c>
      <c r="E180" t="s">
        <v>298</v>
      </c>
      <c r="F180">
        <v>67</v>
      </c>
      <c r="G180">
        <v>1964</v>
      </c>
      <c r="H180">
        <v>406</v>
      </c>
      <c r="I180">
        <v>2.875</v>
      </c>
      <c r="J180">
        <v>180.11500000000001</v>
      </c>
      <c r="K180">
        <v>87</v>
      </c>
    </row>
    <row r="181" spans="1:11" x14ac:dyDescent="0.4">
      <c r="A181">
        <v>18136</v>
      </c>
      <c r="B181" t="s">
        <v>747</v>
      </c>
      <c r="C181" t="s">
        <v>569</v>
      </c>
      <c r="E181" t="s">
        <v>708</v>
      </c>
      <c r="F181">
        <v>82</v>
      </c>
      <c r="G181">
        <v>1970</v>
      </c>
      <c r="H181">
        <v>38</v>
      </c>
      <c r="I181">
        <v>34.813000000000002</v>
      </c>
      <c r="J181">
        <v>2525.3220000000001</v>
      </c>
      <c r="K181">
        <v>1151</v>
      </c>
    </row>
    <row r="182" spans="1:11" x14ac:dyDescent="0.4">
      <c r="A182">
        <v>96108</v>
      </c>
      <c r="B182" t="s">
        <v>748</v>
      </c>
      <c r="C182" t="s">
        <v>539</v>
      </c>
      <c r="E182" t="s">
        <v>237</v>
      </c>
      <c r="F182">
        <v>1</v>
      </c>
      <c r="G182">
        <v>1967</v>
      </c>
      <c r="H182">
        <v>452</v>
      </c>
      <c r="I182">
        <v>4.5</v>
      </c>
      <c r="J182">
        <v>128.60300000000001</v>
      </c>
      <c r="K182">
        <v>0</v>
      </c>
    </row>
    <row r="183" spans="1:11" x14ac:dyDescent="0.4">
      <c r="A183">
        <v>96059</v>
      </c>
      <c r="B183" t="s">
        <v>749</v>
      </c>
      <c r="C183" t="s">
        <v>750</v>
      </c>
      <c r="D183" t="s">
        <v>378</v>
      </c>
      <c r="E183" t="s">
        <v>237</v>
      </c>
      <c r="F183">
        <v>1</v>
      </c>
      <c r="G183">
        <v>1970</v>
      </c>
      <c r="H183">
        <v>65</v>
      </c>
      <c r="I183">
        <v>33.5</v>
      </c>
      <c r="J183">
        <v>2157.672</v>
      </c>
      <c r="K183">
        <v>914</v>
      </c>
    </row>
    <row r="184" spans="1:11" x14ac:dyDescent="0.4">
      <c r="A184">
        <v>98419</v>
      </c>
      <c r="B184" t="s">
        <v>751</v>
      </c>
      <c r="C184" t="s">
        <v>678</v>
      </c>
      <c r="E184" t="s">
        <v>259</v>
      </c>
      <c r="F184">
        <v>27</v>
      </c>
      <c r="G184">
        <v>1952</v>
      </c>
      <c r="H184">
        <v>415</v>
      </c>
      <c r="I184">
        <v>2.9060000000000001</v>
      </c>
      <c r="J184">
        <v>165.19200000000001</v>
      </c>
      <c r="K184">
        <v>39</v>
      </c>
    </row>
    <row r="185" spans="1:11" x14ac:dyDescent="0.4">
      <c r="A185">
        <v>14006</v>
      </c>
      <c r="B185" t="s">
        <v>752</v>
      </c>
      <c r="C185" t="s">
        <v>639</v>
      </c>
      <c r="E185" t="s">
        <v>237</v>
      </c>
      <c r="F185">
        <v>1</v>
      </c>
      <c r="G185">
        <v>1970</v>
      </c>
      <c r="H185">
        <v>142</v>
      </c>
      <c r="I185">
        <v>15.814</v>
      </c>
      <c r="J185">
        <v>1363.0840000000001</v>
      </c>
      <c r="K185">
        <v>655</v>
      </c>
    </row>
    <row r="186" spans="1:11" x14ac:dyDescent="0.4">
      <c r="A186">
        <v>98423</v>
      </c>
      <c r="B186" t="s">
        <v>753</v>
      </c>
      <c r="C186" t="s">
        <v>498</v>
      </c>
      <c r="E186" t="s">
        <v>259</v>
      </c>
      <c r="F186">
        <v>27</v>
      </c>
      <c r="G186">
        <v>1982</v>
      </c>
      <c r="H186">
        <v>443</v>
      </c>
      <c r="I186">
        <v>6</v>
      </c>
      <c r="J186">
        <v>144.99100000000001</v>
      </c>
      <c r="K186">
        <v>0</v>
      </c>
    </row>
    <row r="187" spans="1:11" x14ac:dyDescent="0.4">
      <c r="A187">
        <v>98477</v>
      </c>
      <c r="B187" t="s">
        <v>754</v>
      </c>
      <c r="C187" t="s">
        <v>569</v>
      </c>
      <c r="E187" t="s">
        <v>653</v>
      </c>
      <c r="F187">
        <v>16</v>
      </c>
      <c r="G187">
        <v>1987</v>
      </c>
      <c r="H187">
        <v>338</v>
      </c>
      <c r="I187">
        <v>3</v>
      </c>
      <c r="J187">
        <v>324.68099999999998</v>
      </c>
      <c r="K187">
        <v>196</v>
      </c>
    </row>
    <row r="188" spans="1:11" x14ac:dyDescent="0.4">
      <c r="A188">
        <v>14079</v>
      </c>
      <c r="B188" t="s">
        <v>755</v>
      </c>
      <c r="C188" t="s">
        <v>566</v>
      </c>
      <c r="E188" t="s">
        <v>320</v>
      </c>
      <c r="F188">
        <v>86</v>
      </c>
      <c r="G188">
        <v>2002</v>
      </c>
      <c r="H188">
        <v>110</v>
      </c>
      <c r="I188">
        <v>30.375</v>
      </c>
      <c r="J188">
        <v>1660.41</v>
      </c>
      <c r="K188">
        <v>352</v>
      </c>
    </row>
    <row r="189" spans="1:11" x14ac:dyDescent="0.4">
      <c r="A189">
        <v>11058</v>
      </c>
      <c r="B189" t="s">
        <v>756</v>
      </c>
      <c r="C189" t="s">
        <v>566</v>
      </c>
      <c r="E189" t="s">
        <v>714</v>
      </c>
      <c r="F189">
        <v>21</v>
      </c>
      <c r="G189">
        <v>1960</v>
      </c>
      <c r="H189">
        <v>274</v>
      </c>
      <c r="I189">
        <v>11.782</v>
      </c>
      <c r="J189">
        <v>564.34299999999996</v>
      </c>
      <c r="K189">
        <v>131</v>
      </c>
    </row>
    <row r="190" spans="1:11" x14ac:dyDescent="0.4">
      <c r="A190">
        <v>14028</v>
      </c>
      <c r="B190" t="s">
        <v>757</v>
      </c>
      <c r="C190" t="s">
        <v>758</v>
      </c>
      <c r="D190" t="s">
        <v>378</v>
      </c>
      <c r="E190" t="s">
        <v>684</v>
      </c>
      <c r="F190">
        <v>77</v>
      </c>
      <c r="G190">
        <v>1958</v>
      </c>
      <c r="H190">
        <v>221</v>
      </c>
      <c r="I190">
        <v>11.266999999999999</v>
      </c>
      <c r="J190">
        <v>808.61</v>
      </c>
      <c r="K190">
        <v>312</v>
      </c>
    </row>
    <row r="191" spans="1:11" x14ac:dyDescent="0.4">
      <c r="A191">
        <v>24518</v>
      </c>
      <c r="B191" t="s">
        <v>759</v>
      </c>
      <c r="C191" t="s">
        <v>569</v>
      </c>
      <c r="E191" t="s">
        <v>176</v>
      </c>
      <c r="F191">
        <v>95</v>
      </c>
      <c r="G191">
        <v>1993</v>
      </c>
      <c r="H191">
        <v>566</v>
      </c>
      <c r="I191">
        <v>0.71899999999999997</v>
      </c>
      <c r="J191">
        <v>29.334</v>
      </c>
      <c r="K191">
        <v>0</v>
      </c>
    </row>
    <row r="192" spans="1:11" x14ac:dyDescent="0.4">
      <c r="A192">
        <v>13054</v>
      </c>
      <c r="B192" t="s">
        <v>760</v>
      </c>
      <c r="C192" t="s">
        <v>761</v>
      </c>
      <c r="E192" t="s">
        <v>197</v>
      </c>
      <c r="F192">
        <v>15</v>
      </c>
      <c r="G192">
        <v>1981</v>
      </c>
      <c r="H192">
        <v>332</v>
      </c>
      <c r="I192">
        <v>9</v>
      </c>
      <c r="J192">
        <v>343.50599999999997</v>
      </c>
      <c r="K192">
        <v>0</v>
      </c>
    </row>
    <row r="193" spans="1:11" x14ac:dyDescent="0.4">
      <c r="A193">
        <v>20558</v>
      </c>
      <c r="B193" t="s">
        <v>762</v>
      </c>
      <c r="C193" t="s">
        <v>539</v>
      </c>
      <c r="E193" t="s">
        <v>488</v>
      </c>
      <c r="F193">
        <v>79</v>
      </c>
      <c r="G193">
        <v>1975</v>
      </c>
      <c r="H193">
        <v>421</v>
      </c>
      <c r="I193">
        <v>5</v>
      </c>
      <c r="J193">
        <v>163.995</v>
      </c>
      <c r="K193">
        <v>0</v>
      </c>
    </row>
    <row r="194" spans="1:11" x14ac:dyDescent="0.4">
      <c r="A194">
        <v>16075</v>
      </c>
      <c r="B194" t="s">
        <v>763</v>
      </c>
      <c r="C194" t="s">
        <v>539</v>
      </c>
      <c r="E194" t="s">
        <v>729</v>
      </c>
      <c r="F194">
        <v>87</v>
      </c>
      <c r="G194">
        <v>1954</v>
      </c>
      <c r="H194">
        <v>145</v>
      </c>
      <c r="I194">
        <v>19.439</v>
      </c>
      <c r="J194">
        <v>1315.701</v>
      </c>
      <c r="K194">
        <v>626</v>
      </c>
    </row>
    <row r="195" spans="1:11" x14ac:dyDescent="0.4">
      <c r="A195">
        <v>22141</v>
      </c>
      <c r="B195" t="s">
        <v>764</v>
      </c>
      <c r="C195" t="s">
        <v>487</v>
      </c>
      <c r="E195" t="s">
        <v>304</v>
      </c>
      <c r="F195">
        <v>45</v>
      </c>
      <c r="G195">
        <v>1969</v>
      </c>
      <c r="H195">
        <v>370</v>
      </c>
      <c r="I195">
        <v>8.5030000000000001</v>
      </c>
      <c r="J195">
        <v>258.15499999999997</v>
      </c>
      <c r="K195">
        <v>0</v>
      </c>
    </row>
    <row r="196" spans="1:11" x14ac:dyDescent="0.4">
      <c r="A196">
        <v>22179</v>
      </c>
      <c r="B196" t="s">
        <v>765</v>
      </c>
      <c r="C196" t="s">
        <v>479</v>
      </c>
      <c r="E196" t="s">
        <v>320</v>
      </c>
      <c r="F196">
        <v>86</v>
      </c>
      <c r="G196">
        <v>1987</v>
      </c>
      <c r="H196">
        <v>128</v>
      </c>
      <c r="I196">
        <v>20.937999999999999</v>
      </c>
      <c r="J196">
        <v>1494.133</v>
      </c>
      <c r="K196">
        <v>592</v>
      </c>
    </row>
    <row r="197" spans="1:11" x14ac:dyDescent="0.4">
      <c r="A197">
        <v>20513</v>
      </c>
      <c r="B197" t="s">
        <v>766</v>
      </c>
      <c r="C197" t="s">
        <v>481</v>
      </c>
      <c r="E197" t="s">
        <v>656</v>
      </c>
      <c r="F197">
        <v>66</v>
      </c>
      <c r="G197">
        <v>1991</v>
      </c>
      <c r="H197">
        <v>197</v>
      </c>
      <c r="I197">
        <v>18.439</v>
      </c>
      <c r="J197">
        <v>964.20100000000002</v>
      </c>
      <c r="K197">
        <v>278</v>
      </c>
    </row>
    <row r="198" spans="1:11" x14ac:dyDescent="0.4">
      <c r="A198">
        <v>25002</v>
      </c>
      <c r="B198" t="s">
        <v>767</v>
      </c>
      <c r="C198" t="s">
        <v>703</v>
      </c>
      <c r="D198" t="s">
        <v>378</v>
      </c>
      <c r="E198" t="s">
        <v>166</v>
      </c>
      <c r="F198">
        <v>54</v>
      </c>
      <c r="G198">
        <v>1973</v>
      </c>
      <c r="H198">
        <v>271</v>
      </c>
      <c r="I198">
        <v>5.4690000000000003</v>
      </c>
      <c r="J198">
        <v>579.19200000000001</v>
      </c>
      <c r="K198">
        <v>304</v>
      </c>
    </row>
    <row r="199" spans="1:11" x14ac:dyDescent="0.4">
      <c r="A199">
        <v>24240</v>
      </c>
      <c r="B199" t="s">
        <v>768</v>
      </c>
      <c r="C199" t="s">
        <v>569</v>
      </c>
      <c r="E199" t="s">
        <v>263</v>
      </c>
      <c r="F199">
        <v>17</v>
      </c>
      <c r="G199">
        <v>1976</v>
      </c>
      <c r="H199">
        <v>116</v>
      </c>
      <c r="I199">
        <v>24.687999999999999</v>
      </c>
      <c r="J199">
        <v>1604.9380000000001</v>
      </c>
      <c r="K199">
        <v>522</v>
      </c>
    </row>
    <row r="200" spans="1:11" x14ac:dyDescent="0.4">
      <c r="A200">
        <v>98373</v>
      </c>
      <c r="B200" t="s">
        <v>769</v>
      </c>
      <c r="C200" t="s">
        <v>770</v>
      </c>
      <c r="D200" t="s">
        <v>378</v>
      </c>
      <c r="E200" t="s">
        <v>631</v>
      </c>
      <c r="F200">
        <v>24</v>
      </c>
      <c r="G200">
        <v>1985</v>
      </c>
      <c r="H200">
        <v>299</v>
      </c>
      <c r="I200">
        <v>5.4379999999999997</v>
      </c>
      <c r="J200">
        <v>438.05</v>
      </c>
      <c r="K200">
        <v>181</v>
      </c>
    </row>
    <row r="201" spans="1:11" x14ac:dyDescent="0.4">
      <c r="A201">
        <v>28038</v>
      </c>
      <c r="B201" t="s">
        <v>771</v>
      </c>
      <c r="C201" t="s">
        <v>601</v>
      </c>
      <c r="D201" t="s">
        <v>378</v>
      </c>
      <c r="E201" t="s">
        <v>285</v>
      </c>
      <c r="F201">
        <v>19</v>
      </c>
      <c r="G201">
        <v>1954</v>
      </c>
      <c r="H201">
        <v>598</v>
      </c>
      <c r="I201">
        <v>0.313</v>
      </c>
      <c r="J201">
        <v>8.1110000000000007</v>
      </c>
      <c r="K201">
        <v>0</v>
      </c>
    </row>
    <row r="202" spans="1:11" x14ac:dyDescent="0.4">
      <c r="A202">
        <v>24509</v>
      </c>
      <c r="B202" t="s">
        <v>772</v>
      </c>
      <c r="C202" t="s">
        <v>513</v>
      </c>
      <c r="D202" t="s">
        <v>508</v>
      </c>
      <c r="E202" t="s">
        <v>647</v>
      </c>
      <c r="F202">
        <v>90</v>
      </c>
      <c r="G202">
        <v>2014</v>
      </c>
      <c r="H202">
        <v>633</v>
      </c>
      <c r="I202">
        <v>0</v>
      </c>
      <c r="J202">
        <v>0</v>
      </c>
      <c r="K202">
        <v>0</v>
      </c>
    </row>
    <row r="203" spans="1:11" x14ac:dyDescent="0.4">
      <c r="A203">
        <v>24527</v>
      </c>
      <c r="B203" t="s">
        <v>772</v>
      </c>
      <c r="C203" t="s">
        <v>711</v>
      </c>
      <c r="D203" t="s">
        <v>378</v>
      </c>
      <c r="E203" t="s">
        <v>647</v>
      </c>
      <c r="F203">
        <v>90</v>
      </c>
      <c r="G203">
        <v>1986</v>
      </c>
      <c r="H203">
        <v>634</v>
      </c>
      <c r="I203">
        <v>0</v>
      </c>
      <c r="J203">
        <v>0</v>
      </c>
      <c r="K203">
        <v>0</v>
      </c>
    </row>
    <row r="204" spans="1:11" x14ac:dyDescent="0.4">
      <c r="A204">
        <v>22148</v>
      </c>
      <c r="B204" t="s">
        <v>773</v>
      </c>
      <c r="C204" t="s">
        <v>584</v>
      </c>
      <c r="E204" t="s">
        <v>269</v>
      </c>
      <c r="F204">
        <v>98</v>
      </c>
      <c r="G204">
        <v>1968</v>
      </c>
      <c r="H204">
        <v>202</v>
      </c>
      <c r="I204">
        <v>22.407</v>
      </c>
      <c r="J204">
        <v>931.53399999999999</v>
      </c>
      <c r="K204">
        <v>121</v>
      </c>
    </row>
    <row r="205" spans="1:11" x14ac:dyDescent="0.4">
      <c r="A205">
        <v>20542</v>
      </c>
      <c r="B205" t="s">
        <v>774</v>
      </c>
      <c r="C205" t="s">
        <v>498</v>
      </c>
      <c r="E205" t="s">
        <v>496</v>
      </c>
      <c r="F205">
        <v>93</v>
      </c>
      <c r="G205">
        <v>1956</v>
      </c>
      <c r="H205">
        <v>247</v>
      </c>
      <c r="I205">
        <v>14.657</v>
      </c>
      <c r="J205">
        <v>669.36400000000003</v>
      </c>
      <c r="K205">
        <v>160</v>
      </c>
    </row>
    <row r="206" spans="1:11" x14ac:dyDescent="0.4">
      <c r="A206">
        <v>20566</v>
      </c>
      <c r="B206" t="s">
        <v>775</v>
      </c>
      <c r="C206" t="s">
        <v>566</v>
      </c>
      <c r="E206" t="s">
        <v>522</v>
      </c>
      <c r="F206">
        <v>2</v>
      </c>
      <c r="G206">
        <v>1981</v>
      </c>
      <c r="H206">
        <v>542</v>
      </c>
      <c r="I206">
        <v>1.25</v>
      </c>
      <c r="J206">
        <v>41.734000000000002</v>
      </c>
      <c r="K206">
        <v>0</v>
      </c>
    </row>
    <row r="207" spans="1:11" x14ac:dyDescent="0.4">
      <c r="A207">
        <v>16077</v>
      </c>
      <c r="B207" t="s">
        <v>776</v>
      </c>
      <c r="C207" t="s">
        <v>569</v>
      </c>
      <c r="E207" t="s">
        <v>729</v>
      </c>
      <c r="F207">
        <v>87</v>
      </c>
      <c r="G207">
        <v>1953</v>
      </c>
      <c r="H207">
        <v>140</v>
      </c>
      <c r="I207">
        <v>16.812000000000001</v>
      </c>
      <c r="J207">
        <v>1374.8889999999999</v>
      </c>
      <c r="K207">
        <v>689</v>
      </c>
    </row>
    <row r="208" spans="1:11" x14ac:dyDescent="0.4">
      <c r="A208">
        <v>18141</v>
      </c>
      <c r="B208" t="s">
        <v>777</v>
      </c>
      <c r="C208" t="s">
        <v>778</v>
      </c>
      <c r="E208" t="s">
        <v>779</v>
      </c>
      <c r="F208">
        <v>91</v>
      </c>
      <c r="G208">
        <v>1963</v>
      </c>
      <c r="H208">
        <v>319</v>
      </c>
      <c r="I208">
        <v>12.000999999999999</v>
      </c>
      <c r="J208">
        <v>385.88</v>
      </c>
      <c r="K208">
        <v>38</v>
      </c>
    </row>
    <row r="209" spans="1:11" x14ac:dyDescent="0.4">
      <c r="A209">
        <v>18142</v>
      </c>
      <c r="B209" t="s">
        <v>780</v>
      </c>
      <c r="C209" t="s">
        <v>781</v>
      </c>
      <c r="D209" t="s">
        <v>378</v>
      </c>
      <c r="E209" t="s">
        <v>779</v>
      </c>
      <c r="F209">
        <v>91</v>
      </c>
      <c r="G209">
        <v>1973</v>
      </c>
      <c r="H209">
        <v>463</v>
      </c>
      <c r="I209">
        <v>3.6259999999999999</v>
      </c>
      <c r="J209">
        <v>117.27800000000001</v>
      </c>
      <c r="K209">
        <v>0</v>
      </c>
    </row>
    <row r="210" spans="1:11" x14ac:dyDescent="0.4">
      <c r="A210">
        <v>15060</v>
      </c>
      <c r="B210" t="s">
        <v>782</v>
      </c>
      <c r="C210" t="s">
        <v>526</v>
      </c>
      <c r="E210" t="s">
        <v>578</v>
      </c>
      <c r="F210">
        <v>92</v>
      </c>
      <c r="G210">
        <v>1955</v>
      </c>
      <c r="H210">
        <v>87</v>
      </c>
      <c r="I210">
        <v>28.001000000000001</v>
      </c>
      <c r="J210">
        <v>1895.3889999999999</v>
      </c>
      <c r="K210">
        <v>681</v>
      </c>
    </row>
    <row r="211" spans="1:11" x14ac:dyDescent="0.4">
      <c r="A211">
        <v>28051</v>
      </c>
      <c r="B211" t="s">
        <v>783</v>
      </c>
      <c r="C211" t="s">
        <v>784</v>
      </c>
      <c r="E211" t="s">
        <v>285</v>
      </c>
      <c r="F211">
        <v>19</v>
      </c>
      <c r="G211">
        <v>1963</v>
      </c>
      <c r="H211">
        <v>105</v>
      </c>
      <c r="I211">
        <v>23.094000000000001</v>
      </c>
      <c r="J211">
        <v>1681.663</v>
      </c>
      <c r="K211">
        <v>788</v>
      </c>
    </row>
    <row r="212" spans="1:11" x14ac:dyDescent="0.4">
      <c r="A212">
        <v>25003</v>
      </c>
      <c r="B212" t="s">
        <v>785</v>
      </c>
      <c r="C212" t="s">
        <v>786</v>
      </c>
      <c r="D212" t="s">
        <v>378</v>
      </c>
      <c r="E212" t="s">
        <v>166</v>
      </c>
      <c r="F212">
        <v>54</v>
      </c>
      <c r="G212">
        <v>1973</v>
      </c>
      <c r="H212">
        <v>86</v>
      </c>
      <c r="I212">
        <v>24.626000000000001</v>
      </c>
      <c r="J212">
        <v>1921.615</v>
      </c>
      <c r="K212">
        <v>888</v>
      </c>
    </row>
    <row r="213" spans="1:11" x14ac:dyDescent="0.4">
      <c r="A213">
        <v>13065</v>
      </c>
      <c r="B213" t="s">
        <v>787</v>
      </c>
      <c r="C213" t="s">
        <v>630</v>
      </c>
      <c r="E213" t="s">
        <v>298</v>
      </c>
      <c r="F213">
        <v>67</v>
      </c>
      <c r="G213">
        <v>1961</v>
      </c>
      <c r="H213">
        <v>635</v>
      </c>
      <c r="I213">
        <v>0</v>
      </c>
      <c r="J213">
        <v>0</v>
      </c>
      <c r="K213">
        <v>0</v>
      </c>
    </row>
    <row r="214" spans="1:11" x14ac:dyDescent="0.4">
      <c r="A214">
        <v>10079</v>
      </c>
      <c r="B214" t="s">
        <v>788</v>
      </c>
      <c r="C214" t="s">
        <v>789</v>
      </c>
      <c r="E214" t="s">
        <v>214</v>
      </c>
      <c r="F214">
        <v>69</v>
      </c>
      <c r="G214">
        <v>1951</v>
      </c>
      <c r="H214">
        <v>437</v>
      </c>
      <c r="I214">
        <v>4.6559999999999997</v>
      </c>
      <c r="J214">
        <v>151.07</v>
      </c>
      <c r="K214">
        <v>43</v>
      </c>
    </row>
    <row r="215" spans="1:11" x14ac:dyDescent="0.4">
      <c r="A215">
        <v>16023</v>
      </c>
      <c r="B215" t="s">
        <v>790</v>
      </c>
      <c r="C215" t="s">
        <v>791</v>
      </c>
      <c r="E215" t="s">
        <v>259</v>
      </c>
      <c r="F215">
        <v>27</v>
      </c>
      <c r="G215">
        <v>1966</v>
      </c>
      <c r="H215">
        <v>515</v>
      </c>
      <c r="I215">
        <v>1.8129999999999999</v>
      </c>
      <c r="J215">
        <v>63.463000000000001</v>
      </c>
      <c r="K215">
        <v>0</v>
      </c>
    </row>
    <row r="216" spans="1:11" x14ac:dyDescent="0.4">
      <c r="A216">
        <v>15085</v>
      </c>
      <c r="B216" t="s">
        <v>792</v>
      </c>
      <c r="C216" t="s">
        <v>564</v>
      </c>
      <c r="E216" t="s">
        <v>522</v>
      </c>
      <c r="F216">
        <v>2</v>
      </c>
      <c r="G216">
        <v>1996</v>
      </c>
      <c r="H216">
        <v>636</v>
      </c>
      <c r="I216">
        <v>0</v>
      </c>
      <c r="J216">
        <v>0</v>
      </c>
      <c r="K216">
        <v>0</v>
      </c>
    </row>
    <row r="217" spans="1:11" x14ac:dyDescent="0.4">
      <c r="A217">
        <v>12059</v>
      </c>
      <c r="B217" t="s">
        <v>793</v>
      </c>
      <c r="C217" t="s">
        <v>794</v>
      </c>
      <c r="D217" t="s">
        <v>378</v>
      </c>
      <c r="E217" t="s">
        <v>160</v>
      </c>
      <c r="F217">
        <v>64</v>
      </c>
      <c r="G217">
        <v>1978</v>
      </c>
      <c r="H217">
        <v>637</v>
      </c>
      <c r="I217">
        <v>0</v>
      </c>
      <c r="J217">
        <v>0</v>
      </c>
      <c r="K217">
        <v>0</v>
      </c>
    </row>
    <row r="218" spans="1:11" x14ac:dyDescent="0.4">
      <c r="A218">
        <v>15051</v>
      </c>
      <c r="B218" t="s">
        <v>795</v>
      </c>
      <c r="C218" t="s">
        <v>559</v>
      </c>
      <c r="E218" t="s">
        <v>194</v>
      </c>
      <c r="F218">
        <v>33</v>
      </c>
      <c r="G218">
        <v>1953</v>
      </c>
      <c r="H218">
        <v>248</v>
      </c>
      <c r="I218">
        <v>15.250999999999999</v>
      </c>
      <c r="J218">
        <v>658.41600000000005</v>
      </c>
      <c r="K218">
        <v>114</v>
      </c>
    </row>
    <row r="219" spans="1:11" x14ac:dyDescent="0.4">
      <c r="A219">
        <v>27045</v>
      </c>
      <c r="B219" t="s">
        <v>796</v>
      </c>
      <c r="C219" t="s">
        <v>539</v>
      </c>
      <c r="E219" t="s">
        <v>438</v>
      </c>
      <c r="F219">
        <v>43</v>
      </c>
      <c r="G219">
        <v>1980</v>
      </c>
      <c r="H219">
        <v>447</v>
      </c>
      <c r="I219">
        <v>3.9689999999999999</v>
      </c>
      <c r="J219">
        <v>136.72399999999999</v>
      </c>
      <c r="K219">
        <v>0</v>
      </c>
    </row>
    <row r="220" spans="1:11" x14ac:dyDescent="0.4">
      <c r="A220">
        <v>21777</v>
      </c>
      <c r="B220" t="s">
        <v>796</v>
      </c>
      <c r="C220" t="s">
        <v>552</v>
      </c>
      <c r="E220" t="s">
        <v>263</v>
      </c>
      <c r="F220">
        <v>17</v>
      </c>
      <c r="G220">
        <v>1975</v>
      </c>
      <c r="H220">
        <v>638</v>
      </c>
      <c r="I220">
        <v>0</v>
      </c>
      <c r="J220">
        <v>0</v>
      </c>
      <c r="K220">
        <v>0</v>
      </c>
    </row>
    <row r="221" spans="1:11" x14ac:dyDescent="0.4">
      <c r="A221">
        <v>23055</v>
      </c>
      <c r="B221" t="s">
        <v>797</v>
      </c>
      <c r="C221" t="s">
        <v>642</v>
      </c>
      <c r="D221" t="s">
        <v>378</v>
      </c>
      <c r="E221" t="s">
        <v>438</v>
      </c>
      <c r="F221">
        <v>43</v>
      </c>
      <c r="G221">
        <v>1977</v>
      </c>
      <c r="H221">
        <v>466</v>
      </c>
      <c r="I221">
        <v>3.4380000000000002</v>
      </c>
      <c r="J221">
        <v>112.07299999999999</v>
      </c>
      <c r="K221">
        <v>0</v>
      </c>
    </row>
    <row r="222" spans="1:11" x14ac:dyDescent="0.4">
      <c r="A222">
        <v>22146</v>
      </c>
      <c r="B222" t="s">
        <v>798</v>
      </c>
      <c r="C222" t="s">
        <v>639</v>
      </c>
      <c r="E222" t="s">
        <v>799</v>
      </c>
      <c r="F222">
        <v>97</v>
      </c>
      <c r="G222">
        <v>1992</v>
      </c>
      <c r="H222">
        <v>639</v>
      </c>
      <c r="I222">
        <v>0</v>
      </c>
      <c r="J222">
        <v>0</v>
      </c>
      <c r="K222">
        <v>0</v>
      </c>
    </row>
    <row r="223" spans="1:11" x14ac:dyDescent="0.4">
      <c r="A223">
        <v>24221</v>
      </c>
      <c r="B223" t="s">
        <v>800</v>
      </c>
      <c r="C223" t="s">
        <v>574</v>
      </c>
      <c r="D223" t="s">
        <v>378</v>
      </c>
      <c r="E223" t="s">
        <v>499</v>
      </c>
      <c r="F223">
        <v>51</v>
      </c>
      <c r="G223">
        <v>1969</v>
      </c>
      <c r="H223">
        <v>640</v>
      </c>
      <c r="I223">
        <v>0</v>
      </c>
      <c r="J223">
        <v>0</v>
      </c>
      <c r="K223">
        <v>0</v>
      </c>
    </row>
    <row r="224" spans="1:11" x14ac:dyDescent="0.4">
      <c r="A224">
        <v>26061</v>
      </c>
      <c r="B224" t="s">
        <v>801</v>
      </c>
      <c r="C224" t="s">
        <v>539</v>
      </c>
      <c r="E224" t="s">
        <v>259</v>
      </c>
      <c r="F224">
        <v>27</v>
      </c>
      <c r="G224">
        <v>1957</v>
      </c>
      <c r="H224">
        <v>340</v>
      </c>
      <c r="I224">
        <v>8.1880000000000006</v>
      </c>
      <c r="J224">
        <v>323.28899999999999</v>
      </c>
      <c r="K224">
        <v>39</v>
      </c>
    </row>
    <row r="225" spans="1:11" x14ac:dyDescent="0.4">
      <c r="A225">
        <v>16064</v>
      </c>
      <c r="B225" t="s">
        <v>802</v>
      </c>
      <c r="C225" t="s">
        <v>589</v>
      </c>
      <c r="E225" t="s">
        <v>514</v>
      </c>
      <c r="F225">
        <v>83</v>
      </c>
      <c r="G225">
        <v>1972</v>
      </c>
      <c r="H225">
        <v>458</v>
      </c>
      <c r="I225">
        <v>2.6259999999999999</v>
      </c>
      <c r="J225">
        <v>123.26600000000001</v>
      </c>
      <c r="K225">
        <v>0</v>
      </c>
    </row>
    <row r="226" spans="1:11" x14ac:dyDescent="0.4">
      <c r="A226">
        <v>16065</v>
      </c>
      <c r="B226" t="s">
        <v>802</v>
      </c>
      <c r="C226" t="s">
        <v>495</v>
      </c>
      <c r="E226" t="s">
        <v>514</v>
      </c>
      <c r="F226">
        <v>83</v>
      </c>
      <c r="G226">
        <v>1977</v>
      </c>
      <c r="H226">
        <v>349</v>
      </c>
      <c r="I226">
        <v>3.5630000000000002</v>
      </c>
      <c r="J226">
        <v>312.09100000000001</v>
      </c>
      <c r="K226">
        <v>131</v>
      </c>
    </row>
    <row r="227" spans="1:11" x14ac:dyDescent="0.4">
      <c r="A227">
        <v>29053</v>
      </c>
      <c r="B227" t="s">
        <v>803</v>
      </c>
      <c r="C227" t="s">
        <v>485</v>
      </c>
      <c r="E227" t="s">
        <v>160</v>
      </c>
      <c r="F227">
        <v>64</v>
      </c>
      <c r="G227">
        <v>1975</v>
      </c>
      <c r="H227">
        <v>579</v>
      </c>
      <c r="I227">
        <v>0.625</v>
      </c>
      <c r="J227">
        <v>19.381</v>
      </c>
      <c r="K227">
        <v>0</v>
      </c>
    </row>
    <row r="228" spans="1:11" x14ac:dyDescent="0.4">
      <c r="A228">
        <v>10138</v>
      </c>
      <c r="B228" t="s">
        <v>804</v>
      </c>
      <c r="C228" t="s">
        <v>487</v>
      </c>
      <c r="E228" t="s">
        <v>714</v>
      </c>
      <c r="F228">
        <v>21</v>
      </c>
      <c r="G228">
        <v>2003</v>
      </c>
      <c r="H228">
        <v>49</v>
      </c>
      <c r="I228">
        <v>34.813000000000002</v>
      </c>
      <c r="J228">
        <v>2342.1709999999998</v>
      </c>
      <c r="K228">
        <v>1063</v>
      </c>
    </row>
    <row r="229" spans="1:11" x14ac:dyDescent="0.4">
      <c r="A229">
        <v>98465</v>
      </c>
      <c r="B229" t="s">
        <v>805</v>
      </c>
      <c r="C229" t="s">
        <v>487</v>
      </c>
      <c r="E229" t="s">
        <v>714</v>
      </c>
      <c r="F229">
        <v>21</v>
      </c>
      <c r="G229">
        <v>1975</v>
      </c>
      <c r="H229">
        <v>381</v>
      </c>
      <c r="I229">
        <v>6</v>
      </c>
      <c r="J229">
        <v>234.459</v>
      </c>
      <c r="K229">
        <v>0</v>
      </c>
    </row>
    <row r="230" spans="1:11" x14ac:dyDescent="0.4">
      <c r="A230">
        <v>24315</v>
      </c>
      <c r="B230" t="s">
        <v>806</v>
      </c>
      <c r="C230" t="s">
        <v>807</v>
      </c>
      <c r="D230" t="s">
        <v>378</v>
      </c>
      <c r="E230" t="s">
        <v>714</v>
      </c>
      <c r="F230">
        <v>21</v>
      </c>
      <c r="G230">
        <v>1995</v>
      </c>
      <c r="H230">
        <v>353</v>
      </c>
      <c r="I230">
        <v>2.9380000000000002</v>
      </c>
      <c r="J230">
        <v>303.72399999999999</v>
      </c>
      <c r="K230">
        <v>156</v>
      </c>
    </row>
    <row r="231" spans="1:11" x14ac:dyDescent="0.4">
      <c r="A231">
        <v>20676</v>
      </c>
      <c r="B231" t="s">
        <v>806</v>
      </c>
      <c r="C231" t="s">
        <v>808</v>
      </c>
      <c r="D231" t="s">
        <v>378</v>
      </c>
      <c r="E231" t="s">
        <v>714</v>
      </c>
      <c r="F231">
        <v>21</v>
      </c>
      <c r="G231">
        <v>1973</v>
      </c>
      <c r="H231">
        <v>165</v>
      </c>
      <c r="I231">
        <v>17.844999999999999</v>
      </c>
      <c r="J231">
        <v>1167.7840000000001</v>
      </c>
      <c r="K231">
        <v>441</v>
      </c>
    </row>
    <row r="232" spans="1:11" x14ac:dyDescent="0.4">
      <c r="A232">
        <v>23051</v>
      </c>
      <c r="B232" t="s">
        <v>809</v>
      </c>
      <c r="C232" t="s">
        <v>810</v>
      </c>
      <c r="D232" t="s">
        <v>378</v>
      </c>
      <c r="E232" t="s">
        <v>237</v>
      </c>
      <c r="F232">
        <v>1</v>
      </c>
      <c r="G232">
        <v>1992</v>
      </c>
      <c r="H232">
        <v>641</v>
      </c>
      <c r="I232">
        <v>0</v>
      </c>
      <c r="J232">
        <v>0</v>
      </c>
      <c r="K232">
        <v>0</v>
      </c>
    </row>
    <row r="233" spans="1:11" x14ac:dyDescent="0.4">
      <c r="A233">
        <v>11044</v>
      </c>
      <c r="B233" t="s">
        <v>811</v>
      </c>
      <c r="C233" t="s">
        <v>552</v>
      </c>
      <c r="E233" t="s">
        <v>522</v>
      </c>
      <c r="F233">
        <v>2</v>
      </c>
      <c r="G233">
        <v>1941</v>
      </c>
      <c r="H233">
        <v>135</v>
      </c>
      <c r="I233">
        <v>23.501000000000001</v>
      </c>
      <c r="J233">
        <v>1433.7270000000001</v>
      </c>
      <c r="K233">
        <v>493</v>
      </c>
    </row>
    <row r="234" spans="1:11" x14ac:dyDescent="0.4">
      <c r="A234">
        <v>99591</v>
      </c>
      <c r="B234" t="s">
        <v>812</v>
      </c>
      <c r="C234" t="s">
        <v>566</v>
      </c>
      <c r="E234" t="s">
        <v>285</v>
      </c>
      <c r="F234">
        <v>19</v>
      </c>
      <c r="G234">
        <v>1961</v>
      </c>
      <c r="H234">
        <v>435</v>
      </c>
      <c r="I234">
        <v>1.625</v>
      </c>
      <c r="J234">
        <v>152.19800000000001</v>
      </c>
      <c r="K234">
        <v>91</v>
      </c>
    </row>
    <row r="235" spans="1:11" x14ac:dyDescent="0.4">
      <c r="A235">
        <v>29027</v>
      </c>
      <c r="B235" t="s">
        <v>813</v>
      </c>
      <c r="C235" t="s">
        <v>814</v>
      </c>
      <c r="E235" t="s">
        <v>185</v>
      </c>
      <c r="F235">
        <v>63</v>
      </c>
      <c r="G235">
        <v>1953</v>
      </c>
      <c r="H235">
        <v>284</v>
      </c>
      <c r="I235">
        <v>12.625999999999999</v>
      </c>
      <c r="J235">
        <v>522.49400000000003</v>
      </c>
      <c r="K235">
        <v>102</v>
      </c>
    </row>
    <row r="236" spans="1:11" x14ac:dyDescent="0.4">
      <c r="A236">
        <v>14057</v>
      </c>
      <c r="B236" t="s">
        <v>815</v>
      </c>
      <c r="C236" t="s">
        <v>481</v>
      </c>
      <c r="E236" t="s">
        <v>714</v>
      </c>
      <c r="F236">
        <v>21</v>
      </c>
      <c r="G236">
        <v>1988</v>
      </c>
      <c r="H236">
        <v>120</v>
      </c>
      <c r="I236">
        <v>24.376000000000001</v>
      </c>
      <c r="J236">
        <v>1561.0830000000001</v>
      </c>
      <c r="K236">
        <v>618</v>
      </c>
    </row>
    <row r="237" spans="1:11" x14ac:dyDescent="0.4">
      <c r="A237">
        <v>26020</v>
      </c>
      <c r="B237" t="s">
        <v>816</v>
      </c>
      <c r="C237" t="s">
        <v>487</v>
      </c>
      <c r="E237" t="s">
        <v>724</v>
      </c>
      <c r="F237">
        <v>56</v>
      </c>
      <c r="G237">
        <v>1990</v>
      </c>
      <c r="H237">
        <v>385</v>
      </c>
      <c r="I237">
        <v>6.9690000000000003</v>
      </c>
      <c r="J237">
        <v>230.58500000000001</v>
      </c>
      <c r="K237">
        <v>0</v>
      </c>
    </row>
    <row r="238" spans="1:11" x14ac:dyDescent="0.4">
      <c r="A238">
        <v>25055</v>
      </c>
      <c r="B238" t="s">
        <v>816</v>
      </c>
      <c r="C238" t="s">
        <v>727</v>
      </c>
      <c r="E238" t="s">
        <v>724</v>
      </c>
      <c r="F238">
        <v>56</v>
      </c>
      <c r="G238">
        <v>1965</v>
      </c>
      <c r="H238">
        <v>30</v>
      </c>
      <c r="I238">
        <v>38.25</v>
      </c>
      <c r="J238">
        <v>2855.866</v>
      </c>
      <c r="K238">
        <v>1452</v>
      </c>
    </row>
    <row r="239" spans="1:11" x14ac:dyDescent="0.4">
      <c r="A239">
        <v>24321</v>
      </c>
      <c r="B239" t="s">
        <v>817</v>
      </c>
      <c r="C239" t="s">
        <v>485</v>
      </c>
      <c r="E239" t="s">
        <v>263</v>
      </c>
      <c r="F239">
        <v>17</v>
      </c>
      <c r="G239">
        <v>1966</v>
      </c>
      <c r="H239">
        <v>438</v>
      </c>
      <c r="I239">
        <v>3.9380000000000002</v>
      </c>
      <c r="J239">
        <v>150.874</v>
      </c>
      <c r="K239">
        <v>0</v>
      </c>
    </row>
    <row r="240" spans="1:11" x14ac:dyDescent="0.4">
      <c r="A240">
        <v>16107</v>
      </c>
      <c r="B240" t="s">
        <v>818</v>
      </c>
      <c r="C240" t="s">
        <v>819</v>
      </c>
      <c r="E240" t="s">
        <v>391</v>
      </c>
      <c r="F240">
        <v>14</v>
      </c>
      <c r="G240">
        <v>1993</v>
      </c>
      <c r="H240">
        <v>143</v>
      </c>
      <c r="I240">
        <v>16.312999999999999</v>
      </c>
      <c r="J240">
        <v>1351.886</v>
      </c>
      <c r="K240">
        <v>582</v>
      </c>
    </row>
    <row r="241" spans="1:11" x14ac:dyDescent="0.4">
      <c r="A241">
        <v>14084</v>
      </c>
      <c r="B241" t="s">
        <v>820</v>
      </c>
      <c r="C241" t="s">
        <v>495</v>
      </c>
      <c r="E241" t="s">
        <v>488</v>
      </c>
      <c r="F241">
        <v>79</v>
      </c>
      <c r="G241">
        <v>1983</v>
      </c>
      <c r="H241">
        <v>642</v>
      </c>
      <c r="I241">
        <v>0</v>
      </c>
      <c r="J241">
        <v>0</v>
      </c>
      <c r="K241">
        <v>0</v>
      </c>
    </row>
    <row r="242" spans="1:11" x14ac:dyDescent="0.4">
      <c r="A242">
        <v>13083</v>
      </c>
      <c r="B242" t="s">
        <v>821</v>
      </c>
      <c r="C242" t="s">
        <v>526</v>
      </c>
      <c r="E242" t="s">
        <v>438</v>
      </c>
      <c r="F242">
        <v>43</v>
      </c>
      <c r="G242">
        <v>1952</v>
      </c>
      <c r="H242">
        <v>575</v>
      </c>
      <c r="I242">
        <v>0.68799999999999994</v>
      </c>
      <c r="J242">
        <v>22.861999999999998</v>
      </c>
      <c r="K242">
        <v>0</v>
      </c>
    </row>
    <row r="243" spans="1:11" x14ac:dyDescent="0.4">
      <c r="A243">
        <v>24342</v>
      </c>
      <c r="B243" t="s">
        <v>822</v>
      </c>
      <c r="C243" t="s">
        <v>500</v>
      </c>
      <c r="E243" t="s">
        <v>225</v>
      </c>
      <c r="F243">
        <v>62</v>
      </c>
      <c r="G243">
        <v>1950</v>
      </c>
      <c r="H243">
        <v>403</v>
      </c>
      <c r="I243">
        <v>5.6879999999999997</v>
      </c>
      <c r="J243">
        <v>186.893</v>
      </c>
      <c r="K243">
        <v>71</v>
      </c>
    </row>
    <row r="244" spans="1:11" x14ac:dyDescent="0.4">
      <c r="A244">
        <v>13060</v>
      </c>
      <c r="B244" t="s">
        <v>822</v>
      </c>
      <c r="C244" t="s">
        <v>485</v>
      </c>
      <c r="E244" t="s">
        <v>653</v>
      </c>
      <c r="F244">
        <v>16</v>
      </c>
      <c r="G244">
        <v>1972</v>
      </c>
      <c r="H244">
        <v>71</v>
      </c>
      <c r="I244">
        <v>34.25</v>
      </c>
      <c r="J244">
        <v>2073.6759999999999</v>
      </c>
      <c r="K244">
        <v>813</v>
      </c>
    </row>
    <row r="245" spans="1:11" x14ac:dyDescent="0.4">
      <c r="A245">
        <v>23251</v>
      </c>
      <c r="B245" t="s">
        <v>823</v>
      </c>
      <c r="C245" t="s">
        <v>758</v>
      </c>
      <c r="D245" t="s">
        <v>378</v>
      </c>
      <c r="E245" t="s">
        <v>533</v>
      </c>
      <c r="F245">
        <v>73</v>
      </c>
      <c r="G245">
        <v>1951</v>
      </c>
      <c r="H245">
        <v>430</v>
      </c>
      <c r="I245">
        <v>4.0640000000000001</v>
      </c>
      <c r="J245">
        <v>155.46700000000001</v>
      </c>
      <c r="K245">
        <v>0</v>
      </c>
    </row>
    <row r="246" spans="1:11" x14ac:dyDescent="0.4">
      <c r="A246">
        <v>24319</v>
      </c>
      <c r="B246" t="s">
        <v>824</v>
      </c>
      <c r="C246" t="s">
        <v>500</v>
      </c>
      <c r="E246" t="s">
        <v>285</v>
      </c>
      <c r="F246">
        <v>19</v>
      </c>
      <c r="G246">
        <v>1946</v>
      </c>
      <c r="H246">
        <v>558</v>
      </c>
      <c r="I246">
        <v>0.46899999999999997</v>
      </c>
      <c r="J246">
        <v>32.652999999999999</v>
      </c>
      <c r="K246">
        <v>15</v>
      </c>
    </row>
    <row r="247" spans="1:11" x14ac:dyDescent="0.4">
      <c r="A247">
        <v>18039</v>
      </c>
      <c r="B247" t="s">
        <v>825</v>
      </c>
      <c r="C247" t="s">
        <v>503</v>
      </c>
      <c r="D247" t="s">
        <v>378</v>
      </c>
      <c r="E247" t="s">
        <v>684</v>
      </c>
      <c r="F247">
        <v>77</v>
      </c>
      <c r="G247">
        <v>1978</v>
      </c>
      <c r="H247">
        <v>317</v>
      </c>
      <c r="I247">
        <v>2.875</v>
      </c>
      <c r="J247">
        <v>393.49099999999999</v>
      </c>
      <c r="K247">
        <v>246</v>
      </c>
    </row>
    <row r="248" spans="1:11" x14ac:dyDescent="0.4">
      <c r="A248">
        <v>10036</v>
      </c>
      <c r="B248" t="s">
        <v>825</v>
      </c>
      <c r="C248" t="s">
        <v>664</v>
      </c>
      <c r="D248" t="s">
        <v>378</v>
      </c>
      <c r="E248" t="s">
        <v>527</v>
      </c>
      <c r="F248">
        <v>68</v>
      </c>
      <c r="G248">
        <v>1983</v>
      </c>
      <c r="H248">
        <v>475</v>
      </c>
      <c r="I248">
        <v>2.657</v>
      </c>
      <c r="J248">
        <v>101.636</v>
      </c>
      <c r="K248">
        <v>0</v>
      </c>
    </row>
    <row r="249" spans="1:11" x14ac:dyDescent="0.4">
      <c r="A249">
        <v>19027</v>
      </c>
      <c r="B249" t="s">
        <v>826</v>
      </c>
      <c r="C249" t="s">
        <v>487</v>
      </c>
      <c r="E249" t="s">
        <v>488</v>
      </c>
      <c r="F249">
        <v>79</v>
      </c>
      <c r="G249">
        <v>1973</v>
      </c>
      <c r="H249">
        <v>643</v>
      </c>
      <c r="I249">
        <v>0</v>
      </c>
      <c r="J249">
        <v>0</v>
      </c>
      <c r="K249">
        <v>0</v>
      </c>
    </row>
    <row r="250" spans="1:11" x14ac:dyDescent="0.4">
      <c r="A250">
        <v>14001</v>
      </c>
      <c r="B250" t="s">
        <v>827</v>
      </c>
      <c r="C250" t="s">
        <v>566</v>
      </c>
      <c r="E250" t="s">
        <v>714</v>
      </c>
      <c r="F250">
        <v>21</v>
      </c>
      <c r="G250">
        <v>2004</v>
      </c>
      <c r="H250">
        <v>644</v>
      </c>
      <c r="I250">
        <v>0</v>
      </c>
      <c r="J250">
        <v>0</v>
      </c>
      <c r="K250">
        <v>0</v>
      </c>
    </row>
    <row r="251" spans="1:11" x14ac:dyDescent="0.4">
      <c r="A251">
        <v>25046</v>
      </c>
      <c r="B251" t="s">
        <v>827</v>
      </c>
      <c r="C251" t="s">
        <v>526</v>
      </c>
      <c r="E251" t="s">
        <v>714</v>
      </c>
      <c r="F251">
        <v>21</v>
      </c>
      <c r="G251">
        <v>1977</v>
      </c>
      <c r="H251">
        <v>645</v>
      </c>
      <c r="I251">
        <v>0</v>
      </c>
      <c r="J251">
        <v>0</v>
      </c>
      <c r="K251">
        <v>0</v>
      </c>
    </row>
    <row r="252" spans="1:11" x14ac:dyDescent="0.4">
      <c r="A252">
        <v>96046</v>
      </c>
      <c r="B252" t="s">
        <v>827</v>
      </c>
      <c r="C252" t="s">
        <v>789</v>
      </c>
      <c r="E252" t="s">
        <v>714</v>
      </c>
      <c r="F252">
        <v>21</v>
      </c>
      <c r="G252">
        <v>1952</v>
      </c>
      <c r="H252">
        <v>568</v>
      </c>
      <c r="I252">
        <v>1.125</v>
      </c>
      <c r="J252">
        <v>28.803000000000001</v>
      </c>
      <c r="K252">
        <v>0</v>
      </c>
    </row>
    <row r="253" spans="1:11" x14ac:dyDescent="0.4">
      <c r="A253">
        <v>11032</v>
      </c>
      <c r="B253" t="s">
        <v>828</v>
      </c>
      <c r="C253" t="s">
        <v>526</v>
      </c>
      <c r="E253" t="s">
        <v>714</v>
      </c>
      <c r="F253">
        <v>21</v>
      </c>
      <c r="G253">
        <v>1998</v>
      </c>
      <c r="H253">
        <v>393</v>
      </c>
      <c r="I253">
        <v>6.875</v>
      </c>
      <c r="J253">
        <v>211.876</v>
      </c>
      <c r="K253">
        <v>0</v>
      </c>
    </row>
    <row r="254" spans="1:11" x14ac:dyDescent="0.4">
      <c r="A254">
        <v>96045</v>
      </c>
      <c r="B254" t="s">
        <v>829</v>
      </c>
      <c r="C254" t="s">
        <v>526</v>
      </c>
      <c r="E254" t="s">
        <v>714</v>
      </c>
      <c r="F254">
        <v>21</v>
      </c>
      <c r="G254">
        <v>1958</v>
      </c>
      <c r="H254">
        <v>397</v>
      </c>
      <c r="I254">
        <v>6.375</v>
      </c>
      <c r="J254">
        <v>199.07400000000001</v>
      </c>
      <c r="K254">
        <v>0</v>
      </c>
    </row>
    <row r="255" spans="1:11" x14ac:dyDescent="0.4">
      <c r="A255">
        <v>24278</v>
      </c>
      <c r="B255" t="s">
        <v>830</v>
      </c>
      <c r="C255" t="s">
        <v>481</v>
      </c>
      <c r="E255" t="s">
        <v>456</v>
      </c>
      <c r="F255">
        <v>52</v>
      </c>
      <c r="G255">
        <v>1988</v>
      </c>
      <c r="H255">
        <v>419</v>
      </c>
      <c r="I255">
        <v>4.5</v>
      </c>
      <c r="J255">
        <v>164.49199999999999</v>
      </c>
      <c r="K255">
        <v>0</v>
      </c>
    </row>
    <row r="256" spans="1:11" x14ac:dyDescent="0.4">
      <c r="A256">
        <v>24277</v>
      </c>
      <c r="B256" t="s">
        <v>830</v>
      </c>
      <c r="C256" t="s">
        <v>569</v>
      </c>
      <c r="E256" t="s">
        <v>456</v>
      </c>
      <c r="F256">
        <v>52</v>
      </c>
      <c r="G256">
        <v>1974</v>
      </c>
      <c r="H256">
        <v>441</v>
      </c>
      <c r="I256">
        <v>4.25</v>
      </c>
      <c r="J256">
        <v>146.69</v>
      </c>
      <c r="K256">
        <v>0</v>
      </c>
    </row>
    <row r="257" spans="1:11" x14ac:dyDescent="0.4">
      <c r="A257">
        <v>23242</v>
      </c>
      <c r="B257" t="s">
        <v>831</v>
      </c>
      <c r="C257" t="s">
        <v>503</v>
      </c>
      <c r="D257" t="s">
        <v>378</v>
      </c>
      <c r="E257" t="s">
        <v>456</v>
      </c>
      <c r="F257">
        <v>52</v>
      </c>
      <c r="G257">
        <v>1950</v>
      </c>
      <c r="H257">
        <v>646</v>
      </c>
      <c r="I257">
        <v>0</v>
      </c>
      <c r="J257">
        <v>0</v>
      </c>
      <c r="K257">
        <v>0</v>
      </c>
    </row>
    <row r="258" spans="1:11" x14ac:dyDescent="0.4">
      <c r="A258">
        <v>24526</v>
      </c>
      <c r="B258" t="s">
        <v>832</v>
      </c>
      <c r="C258" t="s">
        <v>639</v>
      </c>
      <c r="D258" t="s">
        <v>546</v>
      </c>
      <c r="E258" t="s">
        <v>237</v>
      </c>
      <c r="F258">
        <v>1</v>
      </c>
      <c r="G258">
        <v>2011</v>
      </c>
      <c r="H258">
        <v>647</v>
      </c>
      <c r="I258">
        <v>0</v>
      </c>
      <c r="J258">
        <v>0</v>
      </c>
      <c r="K258">
        <v>0</v>
      </c>
    </row>
    <row r="259" spans="1:11" x14ac:dyDescent="0.4">
      <c r="A259">
        <v>22168</v>
      </c>
      <c r="B259" t="s">
        <v>833</v>
      </c>
      <c r="C259" t="s">
        <v>530</v>
      </c>
      <c r="D259" t="s">
        <v>378</v>
      </c>
      <c r="E259" t="s">
        <v>496</v>
      </c>
      <c r="F259">
        <v>93</v>
      </c>
      <c r="G259">
        <v>1961</v>
      </c>
      <c r="H259">
        <v>216</v>
      </c>
      <c r="I259">
        <v>15.938000000000001</v>
      </c>
      <c r="J259">
        <v>834.62300000000005</v>
      </c>
      <c r="K259">
        <v>273</v>
      </c>
    </row>
    <row r="260" spans="1:11" x14ac:dyDescent="0.4">
      <c r="A260">
        <v>25011</v>
      </c>
      <c r="B260" t="s">
        <v>834</v>
      </c>
      <c r="C260" t="s">
        <v>554</v>
      </c>
      <c r="E260" t="s">
        <v>160</v>
      </c>
      <c r="F260">
        <v>64</v>
      </c>
      <c r="G260">
        <v>1963</v>
      </c>
      <c r="H260">
        <v>111</v>
      </c>
      <c r="I260">
        <v>24.187999999999999</v>
      </c>
      <c r="J260">
        <v>1660.41</v>
      </c>
      <c r="K260">
        <v>685</v>
      </c>
    </row>
    <row r="261" spans="1:11" x14ac:dyDescent="0.4">
      <c r="A261">
        <v>15077</v>
      </c>
      <c r="B261" t="s">
        <v>835</v>
      </c>
      <c r="C261" t="s">
        <v>836</v>
      </c>
      <c r="D261" t="s">
        <v>378</v>
      </c>
      <c r="E261" t="s">
        <v>248</v>
      </c>
      <c r="F261">
        <v>13</v>
      </c>
      <c r="G261">
        <v>1978</v>
      </c>
      <c r="H261">
        <v>586</v>
      </c>
      <c r="I261">
        <v>0.78100000000000003</v>
      </c>
      <c r="J261">
        <v>17.783000000000001</v>
      </c>
      <c r="K261">
        <v>0</v>
      </c>
    </row>
    <row r="262" spans="1:11" x14ac:dyDescent="0.4">
      <c r="A262">
        <v>20533</v>
      </c>
      <c r="B262" t="s">
        <v>837</v>
      </c>
      <c r="C262" t="s">
        <v>524</v>
      </c>
      <c r="D262" t="s">
        <v>378</v>
      </c>
      <c r="E262" t="s">
        <v>729</v>
      </c>
      <c r="F262">
        <v>87</v>
      </c>
      <c r="G262">
        <v>1949</v>
      </c>
      <c r="H262">
        <v>195</v>
      </c>
      <c r="I262">
        <v>13.063000000000001</v>
      </c>
      <c r="J262">
        <v>969.12199999999996</v>
      </c>
      <c r="K262">
        <v>493</v>
      </c>
    </row>
    <row r="263" spans="1:11" x14ac:dyDescent="0.4">
      <c r="A263">
        <v>98307</v>
      </c>
      <c r="B263" t="s">
        <v>838</v>
      </c>
      <c r="C263" t="s">
        <v>596</v>
      </c>
      <c r="E263" t="s">
        <v>415</v>
      </c>
      <c r="F263">
        <v>30</v>
      </c>
      <c r="G263">
        <v>1979</v>
      </c>
      <c r="H263">
        <v>178</v>
      </c>
      <c r="I263">
        <v>24.094000000000001</v>
      </c>
      <c r="J263">
        <v>1073.5319999999999</v>
      </c>
      <c r="K263">
        <v>219</v>
      </c>
    </row>
    <row r="264" spans="1:11" x14ac:dyDescent="0.4">
      <c r="A264">
        <v>11011</v>
      </c>
      <c r="B264" t="s">
        <v>839</v>
      </c>
      <c r="C264" t="s">
        <v>485</v>
      </c>
      <c r="E264" t="s">
        <v>391</v>
      </c>
      <c r="F264">
        <v>14</v>
      </c>
      <c r="G264">
        <v>1984</v>
      </c>
      <c r="H264">
        <v>39</v>
      </c>
      <c r="I264">
        <v>42.75</v>
      </c>
      <c r="J264">
        <v>2513.0749999999998</v>
      </c>
      <c r="K264">
        <v>736</v>
      </c>
    </row>
    <row r="265" spans="1:11" x14ac:dyDescent="0.4">
      <c r="A265">
        <v>21769</v>
      </c>
      <c r="B265" t="s">
        <v>840</v>
      </c>
      <c r="C265" t="s">
        <v>669</v>
      </c>
      <c r="E265" t="s">
        <v>285</v>
      </c>
      <c r="F265">
        <v>19</v>
      </c>
      <c r="G265">
        <v>1986</v>
      </c>
      <c r="H265">
        <v>648</v>
      </c>
      <c r="I265">
        <v>0</v>
      </c>
      <c r="J265">
        <v>0</v>
      </c>
      <c r="K265">
        <v>0</v>
      </c>
    </row>
    <row r="266" spans="1:11" x14ac:dyDescent="0.4">
      <c r="A266">
        <v>99590</v>
      </c>
      <c r="B266" t="s">
        <v>840</v>
      </c>
      <c r="C266" t="s">
        <v>603</v>
      </c>
      <c r="E266" t="s">
        <v>285</v>
      </c>
      <c r="F266">
        <v>19</v>
      </c>
      <c r="G266">
        <v>1961</v>
      </c>
      <c r="H266">
        <v>323</v>
      </c>
      <c r="I266">
        <v>10.625</v>
      </c>
      <c r="J266">
        <v>360.54199999999997</v>
      </c>
      <c r="K266">
        <v>80</v>
      </c>
    </row>
    <row r="267" spans="1:11" x14ac:dyDescent="0.4">
      <c r="A267">
        <v>11041</v>
      </c>
      <c r="B267" t="s">
        <v>841</v>
      </c>
      <c r="C267" t="s">
        <v>642</v>
      </c>
      <c r="D267" t="s">
        <v>378</v>
      </c>
      <c r="E267" t="s">
        <v>237</v>
      </c>
      <c r="F267">
        <v>1</v>
      </c>
      <c r="G267">
        <v>2002</v>
      </c>
      <c r="H267">
        <v>232</v>
      </c>
      <c r="I267">
        <v>9.8130000000000006</v>
      </c>
      <c r="J267">
        <v>770.54499999999996</v>
      </c>
      <c r="K267">
        <v>312</v>
      </c>
    </row>
    <row r="268" spans="1:11" x14ac:dyDescent="0.4">
      <c r="A268">
        <v>25087</v>
      </c>
      <c r="B268" t="s">
        <v>842</v>
      </c>
      <c r="C268" t="s">
        <v>658</v>
      </c>
      <c r="D268" t="s">
        <v>378</v>
      </c>
      <c r="E268" t="s">
        <v>259</v>
      </c>
      <c r="F268">
        <v>27</v>
      </c>
      <c r="G268">
        <v>1970</v>
      </c>
      <c r="H268">
        <v>516</v>
      </c>
      <c r="I268">
        <v>1.8129999999999999</v>
      </c>
      <c r="J268">
        <v>63.463000000000001</v>
      </c>
      <c r="K268">
        <v>0</v>
      </c>
    </row>
    <row r="269" spans="1:11" x14ac:dyDescent="0.4">
      <c r="A269">
        <v>13029</v>
      </c>
      <c r="B269" t="s">
        <v>843</v>
      </c>
      <c r="C269" t="s">
        <v>490</v>
      </c>
      <c r="E269" t="s">
        <v>160</v>
      </c>
      <c r="F269">
        <v>64</v>
      </c>
      <c r="G269">
        <v>1961</v>
      </c>
      <c r="H269">
        <v>54</v>
      </c>
      <c r="I269">
        <v>40.375</v>
      </c>
      <c r="J269">
        <v>2286.38</v>
      </c>
      <c r="K269">
        <v>922</v>
      </c>
    </row>
    <row r="270" spans="1:11" x14ac:dyDescent="0.4">
      <c r="A270">
        <v>22162</v>
      </c>
      <c r="B270" t="s">
        <v>844</v>
      </c>
      <c r="C270" t="s">
        <v>845</v>
      </c>
      <c r="E270" t="s">
        <v>496</v>
      </c>
      <c r="F270">
        <v>93</v>
      </c>
      <c r="G270">
        <v>2006</v>
      </c>
      <c r="H270">
        <v>292</v>
      </c>
      <c r="I270">
        <v>6.7190000000000003</v>
      </c>
      <c r="J270">
        <v>483.28</v>
      </c>
      <c r="K270">
        <v>229</v>
      </c>
    </row>
    <row r="271" spans="1:11" x14ac:dyDescent="0.4">
      <c r="A271">
        <v>14010</v>
      </c>
      <c r="B271" t="s">
        <v>846</v>
      </c>
      <c r="C271" t="s">
        <v>601</v>
      </c>
      <c r="D271" t="s">
        <v>378</v>
      </c>
      <c r="E271" t="s">
        <v>522</v>
      </c>
      <c r="F271">
        <v>2</v>
      </c>
      <c r="G271">
        <v>1975</v>
      </c>
      <c r="H271">
        <v>310</v>
      </c>
      <c r="I271">
        <v>11.845000000000001</v>
      </c>
      <c r="J271">
        <v>411.71800000000002</v>
      </c>
      <c r="K271">
        <v>0</v>
      </c>
    </row>
    <row r="272" spans="1:11" x14ac:dyDescent="0.4">
      <c r="A272">
        <v>20608</v>
      </c>
      <c r="B272" t="s">
        <v>847</v>
      </c>
      <c r="C272" t="s">
        <v>569</v>
      </c>
      <c r="E272" t="s">
        <v>176</v>
      </c>
      <c r="F272">
        <v>95</v>
      </c>
      <c r="G272">
        <v>1958</v>
      </c>
      <c r="H272">
        <v>587</v>
      </c>
      <c r="I272">
        <v>0.78100000000000003</v>
      </c>
      <c r="J272">
        <v>17.783000000000001</v>
      </c>
      <c r="K272">
        <v>0</v>
      </c>
    </row>
    <row r="273" spans="1:11" x14ac:dyDescent="0.4">
      <c r="A273">
        <v>11038</v>
      </c>
      <c r="B273" t="s">
        <v>848</v>
      </c>
      <c r="C273" t="s">
        <v>580</v>
      </c>
      <c r="E273" t="s">
        <v>237</v>
      </c>
      <c r="F273">
        <v>1</v>
      </c>
      <c r="G273">
        <v>1979</v>
      </c>
      <c r="H273">
        <v>214</v>
      </c>
      <c r="I273">
        <v>10.064</v>
      </c>
      <c r="J273">
        <v>840.75699999999995</v>
      </c>
      <c r="K273">
        <v>405</v>
      </c>
    </row>
    <row r="274" spans="1:11" x14ac:dyDescent="0.4">
      <c r="A274">
        <v>28007</v>
      </c>
      <c r="B274" t="s">
        <v>849</v>
      </c>
      <c r="C274" t="s">
        <v>678</v>
      </c>
      <c r="E274" t="s">
        <v>391</v>
      </c>
      <c r="F274">
        <v>14</v>
      </c>
      <c r="G274">
        <v>1993</v>
      </c>
      <c r="H274">
        <v>183</v>
      </c>
      <c r="I274">
        <v>18.062999999999999</v>
      </c>
      <c r="J274">
        <v>1046.0530000000001</v>
      </c>
      <c r="K274">
        <v>272</v>
      </c>
    </row>
    <row r="275" spans="1:11" x14ac:dyDescent="0.4">
      <c r="A275">
        <v>10139</v>
      </c>
      <c r="B275" t="s">
        <v>850</v>
      </c>
      <c r="C275" t="s">
        <v>526</v>
      </c>
      <c r="E275" t="s">
        <v>391</v>
      </c>
      <c r="F275">
        <v>14</v>
      </c>
      <c r="G275">
        <v>1946</v>
      </c>
      <c r="H275">
        <v>211</v>
      </c>
      <c r="I275">
        <v>18.283000000000001</v>
      </c>
      <c r="J275">
        <v>863.29200000000003</v>
      </c>
      <c r="K275">
        <v>241</v>
      </c>
    </row>
    <row r="276" spans="1:11" x14ac:dyDescent="0.4">
      <c r="A276">
        <v>17022</v>
      </c>
      <c r="B276" t="s">
        <v>851</v>
      </c>
      <c r="C276" t="s">
        <v>852</v>
      </c>
      <c r="D276" t="s">
        <v>378</v>
      </c>
      <c r="E276" t="s">
        <v>304</v>
      </c>
      <c r="F276">
        <v>45</v>
      </c>
      <c r="G276">
        <v>1969</v>
      </c>
      <c r="H276">
        <v>372</v>
      </c>
      <c r="I276">
        <v>7.5010000000000003</v>
      </c>
      <c r="J276">
        <v>255.28899999999999</v>
      </c>
      <c r="K276">
        <v>15</v>
      </c>
    </row>
    <row r="277" spans="1:11" x14ac:dyDescent="0.4">
      <c r="A277">
        <v>24510</v>
      </c>
      <c r="B277" t="s">
        <v>853</v>
      </c>
      <c r="C277" t="s">
        <v>554</v>
      </c>
      <c r="D277" t="s">
        <v>546</v>
      </c>
      <c r="E277" t="s">
        <v>647</v>
      </c>
      <c r="F277">
        <v>90</v>
      </c>
      <c r="G277">
        <v>2010</v>
      </c>
      <c r="H277">
        <v>649</v>
      </c>
      <c r="I277">
        <v>0</v>
      </c>
      <c r="J277">
        <v>0</v>
      </c>
      <c r="K277">
        <v>0</v>
      </c>
    </row>
    <row r="278" spans="1:11" x14ac:dyDescent="0.4">
      <c r="A278">
        <v>27039</v>
      </c>
      <c r="B278" t="s">
        <v>854</v>
      </c>
      <c r="C278" t="s">
        <v>784</v>
      </c>
      <c r="E278" t="s">
        <v>163</v>
      </c>
      <c r="F278">
        <v>96</v>
      </c>
      <c r="G278">
        <v>1966</v>
      </c>
      <c r="H278">
        <v>5</v>
      </c>
      <c r="I278">
        <v>49.75</v>
      </c>
      <c r="J278">
        <v>3771.6709999999998</v>
      </c>
      <c r="K278">
        <v>1822</v>
      </c>
    </row>
    <row r="279" spans="1:11" x14ac:dyDescent="0.4">
      <c r="A279">
        <v>10080</v>
      </c>
      <c r="B279" t="s">
        <v>855</v>
      </c>
      <c r="C279" t="s">
        <v>856</v>
      </c>
      <c r="E279" t="s">
        <v>214</v>
      </c>
      <c r="F279">
        <v>69</v>
      </c>
      <c r="G279">
        <v>1960</v>
      </c>
      <c r="H279">
        <v>650</v>
      </c>
      <c r="I279">
        <v>0</v>
      </c>
      <c r="J279">
        <v>0</v>
      </c>
      <c r="K279">
        <v>0</v>
      </c>
    </row>
    <row r="280" spans="1:11" x14ac:dyDescent="0.4">
      <c r="A280">
        <v>16029</v>
      </c>
      <c r="B280" t="s">
        <v>857</v>
      </c>
      <c r="C280" t="s">
        <v>513</v>
      </c>
      <c r="D280" t="s">
        <v>378</v>
      </c>
      <c r="E280" t="s">
        <v>488</v>
      </c>
      <c r="F280">
        <v>79</v>
      </c>
      <c r="G280">
        <v>1982</v>
      </c>
      <c r="H280">
        <v>75</v>
      </c>
      <c r="I280">
        <v>28.25</v>
      </c>
      <c r="J280">
        <v>2007.971</v>
      </c>
      <c r="K280">
        <v>833</v>
      </c>
    </row>
    <row r="281" spans="1:11" x14ac:dyDescent="0.4">
      <c r="A281">
        <v>16119</v>
      </c>
      <c r="B281" t="s">
        <v>858</v>
      </c>
      <c r="C281" t="s">
        <v>859</v>
      </c>
      <c r="D281" t="s">
        <v>378</v>
      </c>
      <c r="E281" t="s">
        <v>488</v>
      </c>
      <c r="F281">
        <v>79</v>
      </c>
      <c r="G281">
        <v>1983</v>
      </c>
      <c r="H281">
        <v>651</v>
      </c>
      <c r="I281">
        <v>0</v>
      </c>
      <c r="J281">
        <v>0</v>
      </c>
      <c r="K281">
        <v>0</v>
      </c>
    </row>
    <row r="282" spans="1:11" x14ac:dyDescent="0.4">
      <c r="A282">
        <v>20501</v>
      </c>
      <c r="B282" t="s">
        <v>860</v>
      </c>
      <c r="C282" t="s">
        <v>861</v>
      </c>
      <c r="D282" t="s">
        <v>378</v>
      </c>
      <c r="E282" t="s">
        <v>237</v>
      </c>
      <c r="F282">
        <v>1</v>
      </c>
      <c r="G282">
        <v>1949</v>
      </c>
      <c r="H282">
        <v>506</v>
      </c>
      <c r="I282">
        <v>2.0939999999999999</v>
      </c>
      <c r="J282">
        <v>68.759</v>
      </c>
      <c r="K282">
        <v>0</v>
      </c>
    </row>
    <row r="283" spans="1:11" x14ac:dyDescent="0.4">
      <c r="A283">
        <v>18047</v>
      </c>
      <c r="B283" t="s">
        <v>862</v>
      </c>
      <c r="C283" t="s">
        <v>863</v>
      </c>
      <c r="D283" t="s">
        <v>378</v>
      </c>
      <c r="E283" t="s">
        <v>214</v>
      </c>
      <c r="F283">
        <v>69</v>
      </c>
      <c r="G283">
        <v>1977</v>
      </c>
      <c r="H283">
        <v>305</v>
      </c>
      <c r="I283">
        <v>7.282</v>
      </c>
      <c r="J283">
        <v>422.315</v>
      </c>
      <c r="K283">
        <v>203</v>
      </c>
    </row>
    <row r="284" spans="1:11" x14ac:dyDescent="0.4">
      <c r="A284">
        <v>22103</v>
      </c>
      <c r="B284" t="s">
        <v>864</v>
      </c>
      <c r="C284" t="s">
        <v>569</v>
      </c>
      <c r="E284" t="s">
        <v>714</v>
      </c>
      <c r="F284">
        <v>21</v>
      </c>
      <c r="G284">
        <v>1967</v>
      </c>
      <c r="H284">
        <v>554</v>
      </c>
      <c r="I284">
        <v>1.375</v>
      </c>
      <c r="J284">
        <v>35.204000000000001</v>
      </c>
      <c r="K284">
        <v>0</v>
      </c>
    </row>
    <row r="285" spans="1:11" x14ac:dyDescent="0.4">
      <c r="A285">
        <v>14099</v>
      </c>
      <c r="B285" t="s">
        <v>865</v>
      </c>
      <c r="C285" t="s">
        <v>866</v>
      </c>
      <c r="E285" t="s">
        <v>488</v>
      </c>
      <c r="F285">
        <v>79</v>
      </c>
      <c r="G285">
        <v>1982</v>
      </c>
      <c r="H285">
        <v>78</v>
      </c>
      <c r="I285">
        <v>30.625</v>
      </c>
      <c r="J285">
        <v>1978.7940000000001</v>
      </c>
      <c r="K285">
        <v>866</v>
      </c>
    </row>
    <row r="286" spans="1:11" x14ac:dyDescent="0.4">
      <c r="A286">
        <v>14026</v>
      </c>
      <c r="B286" t="s">
        <v>867</v>
      </c>
      <c r="C286" t="s">
        <v>543</v>
      </c>
      <c r="D286" t="s">
        <v>378</v>
      </c>
      <c r="E286" t="s">
        <v>380</v>
      </c>
      <c r="F286">
        <v>6</v>
      </c>
      <c r="G286">
        <v>1953</v>
      </c>
      <c r="H286">
        <v>502</v>
      </c>
      <c r="I286">
        <v>0.59399999999999997</v>
      </c>
      <c r="J286">
        <v>73.869</v>
      </c>
      <c r="K286">
        <v>42</v>
      </c>
    </row>
    <row r="287" spans="1:11" x14ac:dyDescent="0.4">
      <c r="A287">
        <v>14077</v>
      </c>
      <c r="B287" t="s">
        <v>868</v>
      </c>
      <c r="C287" t="s">
        <v>584</v>
      </c>
      <c r="E287" t="s">
        <v>488</v>
      </c>
      <c r="F287">
        <v>79</v>
      </c>
      <c r="G287">
        <v>1989</v>
      </c>
      <c r="H287">
        <v>652</v>
      </c>
      <c r="I287">
        <v>0</v>
      </c>
      <c r="J287">
        <v>0</v>
      </c>
      <c r="K287">
        <v>0</v>
      </c>
    </row>
    <row r="288" spans="1:11" x14ac:dyDescent="0.4">
      <c r="A288">
        <v>14076</v>
      </c>
      <c r="B288" t="s">
        <v>868</v>
      </c>
      <c r="C288" t="s">
        <v>554</v>
      </c>
      <c r="E288" t="s">
        <v>488</v>
      </c>
      <c r="F288">
        <v>79</v>
      </c>
      <c r="G288">
        <v>1985</v>
      </c>
      <c r="H288">
        <v>118</v>
      </c>
      <c r="I288">
        <v>19.689</v>
      </c>
      <c r="J288">
        <v>1579.4929999999999</v>
      </c>
      <c r="K288">
        <v>731</v>
      </c>
    </row>
    <row r="289" spans="1:11" x14ac:dyDescent="0.4">
      <c r="A289">
        <v>19013</v>
      </c>
      <c r="B289" t="s">
        <v>869</v>
      </c>
      <c r="C289" t="s">
        <v>500</v>
      </c>
      <c r="E289" t="s">
        <v>355</v>
      </c>
      <c r="F289">
        <v>42</v>
      </c>
      <c r="G289">
        <v>1968</v>
      </c>
      <c r="H289">
        <v>246</v>
      </c>
      <c r="I289">
        <v>10.252000000000001</v>
      </c>
      <c r="J289">
        <v>674.01900000000001</v>
      </c>
      <c r="K289">
        <v>238</v>
      </c>
    </row>
    <row r="290" spans="1:11" x14ac:dyDescent="0.4">
      <c r="A290">
        <v>10038</v>
      </c>
      <c r="B290" t="s">
        <v>870</v>
      </c>
      <c r="C290" t="s">
        <v>639</v>
      </c>
      <c r="E290" t="s">
        <v>527</v>
      </c>
      <c r="F290">
        <v>68</v>
      </c>
      <c r="G290">
        <v>1976</v>
      </c>
      <c r="H290">
        <v>653</v>
      </c>
      <c r="I290">
        <v>0</v>
      </c>
      <c r="J290">
        <v>0</v>
      </c>
      <c r="K290">
        <v>0</v>
      </c>
    </row>
    <row r="291" spans="1:11" x14ac:dyDescent="0.4">
      <c r="A291">
        <v>20578</v>
      </c>
      <c r="B291" t="s">
        <v>871</v>
      </c>
      <c r="C291" t="s">
        <v>539</v>
      </c>
      <c r="E291" t="s">
        <v>244</v>
      </c>
      <c r="F291">
        <v>88</v>
      </c>
      <c r="G291">
        <v>1968</v>
      </c>
      <c r="H291">
        <v>227</v>
      </c>
      <c r="I291">
        <v>17.190000000000001</v>
      </c>
      <c r="J291">
        <v>796.15899999999999</v>
      </c>
      <c r="K291">
        <v>186</v>
      </c>
    </row>
    <row r="292" spans="1:11" x14ac:dyDescent="0.4">
      <c r="A292">
        <v>17033</v>
      </c>
      <c r="B292" t="s">
        <v>872</v>
      </c>
      <c r="C292" t="s">
        <v>873</v>
      </c>
      <c r="D292" t="s">
        <v>546</v>
      </c>
      <c r="E292" t="s">
        <v>237</v>
      </c>
      <c r="F292">
        <v>1</v>
      </c>
      <c r="G292">
        <v>2009</v>
      </c>
      <c r="H292">
        <v>272</v>
      </c>
      <c r="I292">
        <v>13.329000000000001</v>
      </c>
      <c r="J292">
        <v>572.80499999999995</v>
      </c>
      <c r="K292">
        <v>95</v>
      </c>
    </row>
    <row r="293" spans="1:11" x14ac:dyDescent="0.4">
      <c r="A293">
        <v>17034</v>
      </c>
      <c r="B293" t="s">
        <v>874</v>
      </c>
      <c r="C293" t="s">
        <v>642</v>
      </c>
      <c r="D293" t="s">
        <v>378</v>
      </c>
      <c r="E293" t="s">
        <v>237</v>
      </c>
      <c r="F293">
        <v>1</v>
      </c>
      <c r="G293">
        <v>1981</v>
      </c>
      <c r="H293">
        <v>182</v>
      </c>
      <c r="I293">
        <v>13.955</v>
      </c>
      <c r="J293">
        <v>1052.826</v>
      </c>
      <c r="K293">
        <v>466</v>
      </c>
    </row>
    <row r="294" spans="1:11" x14ac:dyDescent="0.4">
      <c r="A294">
        <v>23029</v>
      </c>
      <c r="B294" t="s">
        <v>875</v>
      </c>
      <c r="C294" t="s">
        <v>479</v>
      </c>
      <c r="E294" t="s">
        <v>391</v>
      </c>
      <c r="F294">
        <v>14</v>
      </c>
      <c r="G294">
        <v>1967</v>
      </c>
      <c r="H294">
        <v>253</v>
      </c>
      <c r="I294">
        <v>15.125</v>
      </c>
      <c r="J294">
        <v>642.84299999999996</v>
      </c>
      <c r="K294">
        <v>61</v>
      </c>
    </row>
    <row r="295" spans="1:11" x14ac:dyDescent="0.4">
      <c r="A295">
        <v>21759</v>
      </c>
      <c r="B295" t="s">
        <v>876</v>
      </c>
      <c r="C295" t="s">
        <v>564</v>
      </c>
      <c r="E295" t="s">
        <v>501</v>
      </c>
      <c r="F295">
        <v>29</v>
      </c>
      <c r="G295">
        <v>1963</v>
      </c>
      <c r="H295">
        <v>361</v>
      </c>
      <c r="I295">
        <v>8.8439999999999994</v>
      </c>
      <c r="J295">
        <v>276.50700000000001</v>
      </c>
      <c r="K295">
        <v>0</v>
      </c>
    </row>
    <row r="296" spans="1:11" x14ac:dyDescent="0.4">
      <c r="A296">
        <v>22143</v>
      </c>
      <c r="B296" t="s">
        <v>877</v>
      </c>
      <c r="C296" t="s">
        <v>626</v>
      </c>
      <c r="D296" t="s">
        <v>378</v>
      </c>
      <c r="E296" t="s">
        <v>799</v>
      </c>
      <c r="F296">
        <v>97</v>
      </c>
      <c r="G296">
        <v>1973</v>
      </c>
      <c r="H296">
        <v>654</v>
      </c>
      <c r="I296">
        <v>0</v>
      </c>
      <c r="J296">
        <v>0</v>
      </c>
      <c r="K296">
        <v>0</v>
      </c>
    </row>
    <row r="297" spans="1:11" x14ac:dyDescent="0.4">
      <c r="A297">
        <v>22145</v>
      </c>
      <c r="B297" t="s">
        <v>878</v>
      </c>
      <c r="C297" t="s">
        <v>584</v>
      </c>
      <c r="E297" t="s">
        <v>799</v>
      </c>
      <c r="F297">
        <v>97</v>
      </c>
      <c r="G297">
        <v>1991</v>
      </c>
      <c r="H297">
        <v>656</v>
      </c>
      <c r="I297">
        <v>0</v>
      </c>
      <c r="J297">
        <v>0</v>
      </c>
      <c r="K297">
        <v>0</v>
      </c>
    </row>
    <row r="298" spans="1:11" x14ac:dyDescent="0.4">
      <c r="A298">
        <v>22144</v>
      </c>
      <c r="B298" t="s">
        <v>878</v>
      </c>
      <c r="C298" t="s">
        <v>678</v>
      </c>
      <c r="E298" t="s">
        <v>799</v>
      </c>
      <c r="F298">
        <v>97</v>
      </c>
      <c r="G298">
        <v>1973</v>
      </c>
      <c r="H298">
        <v>655</v>
      </c>
      <c r="I298">
        <v>0</v>
      </c>
      <c r="J298">
        <v>0</v>
      </c>
      <c r="K298">
        <v>0</v>
      </c>
    </row>
    <row r="299" spans="1:11" x14ac:dyDescent="0.4">
      <c r="A299">
        <v>98312</v>
      </c>
      <c r="B299" t="s">
        <v>879</v>
      </c>
      <c r="C299" t="s">
        <v>880</v>
      </c>
      <c r="D299" t="s">
        <v>378</v>
      </c>
      <c r="E299" t="s">
        <v>197</v>
      </c>
      <c r="F299">
        <v>15</v>
      </c>
      <c r="G299">
        <v>1967</v>
      </c>
      <c r="H299">
        <v>380</v>
      </c>
      <c r="I299">
        <v>6.5629999999999997</v>
      </c>
      <c r="J299">
        <v>237.267</v>
      </c>
      <c r="K299">
        <v>0</v>
      </c>
    </row>
    <row r="300" spans="1:11" x14ac:dyDescent="0.4">
      <c r="A300">
        <v>98488</v>
      </c>
      <c r="B300" t="s">
        <v>881</v>
      </c>
      <c r="C300" t="s">
        <v>882</v>
      </c>
      <c r="E300" t="s">
        <v>197</v>
      </c>
      <c r="F300">
        <v>15</v>
      </c>
      <c r="G300">
        <v>1988</v>
      </c>
      <c r="H300">
        <v>657</v>
      </c>
      <c r="I300">
        <v>0</v>
      </c>
      <c r="J300">
        <v>0</v>
      </c>
      <c r="K300">
        <v>0</v>
      </c>
    </row>
    <row r="301" spans="1:11" x14ac:dyDescent="0.4">
      <c r="A301">
        <v>98311</v>
      </c>
      <c r="B301" t="s">
        <v>881</v>
      </c>
      <c r="C301" t="s">
        <v>569</v>
      </c>
      <c r="E301" t="s">
        <v>197</v>
      </c>
      <c r="F301">
        <v>15</v>
      </c>
      <c r="G301">
        <v>1965</v>
      </c>
      <c r="H301">
        <v>409</v>
      </c>
      <c r="I301">
        <v>5</v>
      </c>
      <c r="J301">
        <v>171.47200000000001</v>
      </c>
      <c r="K301">
        <v>0</v>
      </c>
    </row>
    <row r="302" spans="1:11" x14ac:dyDescent="0.4">
      <c r="A302">
        <v>12003</v>
      </c>
      <c r="B302" t="s">
        <v>883</v>
      </c>
      <c r="C302" t="s">
        <v>884</v>
      </c>
      <c r="E302" t="s">
        <v>619</v>
      </c>
      <c r="F302">
        <v>28</v>
      </c>
      <c r="G302">
        <v>1948</v>
      </c>
      <c r="H302">
        <v>548</v>
      </c>
      <c r="I302">
        <v>1.125</v>
      </c>
      <c r="J302">
        <v>38.722999999999999</v>
      </c>
      <c r="K302">
        <v>0</v>
      </c>
    </row>
    <row r="303" spans="1:11" x14ac:dyDescent="0.4">
      <c r="A303">
        <v>21032</v>
      </c>
      <c r="B303" t="s">
        <v>885</v>
      </c>
      <c r="C303" t="s">
        <v>886</v>
      </c>
      <c r="D303" t="s">
        <v>378</v>
      </c>
      <c r="E303" t="s">
        <v>729</v>
      </c>
      <c r="F303">
        <v>87</v>
      </c>
      <c r="G303">
        <v>1948</v>
      </c>
      <c r="H303">
        <v>170</v>
      </c>
      <c r="I303">
        <v>12.032</v>
      </c>
      <c r="J303">
        <v>1132.4929999999999</v>
      </c>
      <c r="K303">
        <v>617</v>
      </c>
    </row>
    <row r="304" spans="1:11" x14ac:dyDescent="0.4">
      <c r="A304">
        <v>27025</v>
      </c>
      <c r="B304" t="s">
        <v>887</v>
      </c>
      <c r="C304" t="s">
        <v>610</v>
      </c>
      <c r="E304" t="s">
        <v>560</v>
      </c>
      <c r="F304">
        <v>44</v>
      </c>
      <c r="G304">
        <v>1985</v>
      </c>
      <c r="H304">
        <v>658</v>
      </c>
      <c r="I304">
        <v>0</v>
      </c>
      <c r="J304">
        <v>0</v>
      </c>
      <c r="K304">
        <v>0</v>
      </c>
    </row>
    <row r="305" spans="1:11" x14ac:dyDescent="0.4">
      <c r="A305">
        <v>26075</v>
      </c>
      <c r="B305" t="s">
        <v>888</v>
      </c>
      <c r="C305" t="s">
        <v>610</v>
      </c>
      <c r="E305" t="s">
        <v>189</v>
      </c>
      <c r="F305">
        <v>20</v>
      </c>
      <c r="G305">
        <v>1985</v>
      </c>
      <c r="H305">
        <v>57</v>
      </c>
      <c r="I305">
        <v>27.375</v>
      </c>
      <c r="J305">
        <v>2257.904</v>
      </c>
      <c r="K305">
        <v>1034</v>
      </c>
    </row>
    <row r="306" spans="1:11" x14ac:dyDescent="0.4">
      <c r="A306">
        <v>16106</v>
      </c>
      <c r="B306" t="s">
        <v>888</v>
      </c>
      <c r="C306" t="s">
        <v>889</v>
      </c>
      <c r="E306" t="s">
        <v>391</v>
      </c>
      <c r="F306">
        <v>14</v>
      </c>
      <c r="G306">
        <v>2004</v>
      </c>
      <c r="H306">
        <v>73</v>
      </c>
      <c r="I306">
        <v>35.25</v>
      </c>
      <c r="J306">
        <v>2058.636</v>
      </c>
      <c r="K306">
        <v>808</v>
      </c>
    </row>
    <row r="307" spans="1:11" x14ac:dyDescent="0.4">
      <c r="A307">
        <v>22111</v>
      </c>
      <c r="B307" t="s">
        <v>890</v>
      </c>
      <c r="C307" t="s">
        <v>505</v>
      </c>
      <c r="E307" t="s">
        <v>656</v>
      </c>
      <c r="F307">
        <v>66</v>
      </c>
      <c r="G307">
        <v>1988</v>
      </c>
      <c r="H307">
        <v>147</v>
      </c>
      <c r="I307">
        <v>22.469000000000001</v>
      </c>
      <c r="J307">
        <v>1311.8140000000001</v>
      </c>
      <c r="K307">
        <v>484</v>
      </c>
    </row>
    <row r="308" spans="1:11" x14ac:dyDescent="0.4">
      <c r="A308">
        <v>22991</v>
      </c>
      <c r="B308" t="s">
        <v>891</v>
      </c>
      <c r="C308" t="s">
        <v>526</v>
      </c>
      <c r="E308" t="s">
        <v>739</v>
      </c>
      <c r="F308">
        <v>85</v>
      </c>
      <c r="G308">
        <v>1991</v>
      </c>
      <c r="H308">
        <v>151</v>
      </c>
      <c r="I308">
        <v>12</v>
      </c>
      <c r="J308">
        <v>1279.2660000000001</v>
      </c>
      <c r="K308">
        <v>676</v>
      </c>
    </row>
    <row r="309" spans="1:11" x14ac:dyDescent="0.4">
      <c r="A309">
        <v>21912</v>
      </c>
      <c r="B309" t="s">
        <v>892</v>
      </c>
      <c r="C309" t="s">
        <v>526</v>
      </c>
      <c r="E309" t="s">
        <v>739</v>
      </c>
      <c r="F309">
        <v>85</v>
      </c>
      <c r="G309">
        <v>1956</v>
      </c>
      <c r="H309">
        <v>15</v>
      </c>
      <c r="I309">
        <v>40.5</v>
      </c>
      <c r="J309">
        <v>3277.748</v>
      </c>
      <c r="K309">
        <v>1651</v>
      </c>
    </row>
    <row r="310" spans="1:11" x14ac:dyDescent="0.4">
      <c r="A310">
        <v>21913</v>
      </c>
      <c r="B310" t="s">
        <v>893</v>
      </c>
      <c r="C310" t="s">
        <v>530</v>
      </c>
      <c r="D310" t="s">
        <v>378</v>
      </c>
      <c r="E310" t="s">
        <v>739</v>
      </c>
      <c r="F310">
        <v>85</v>
      </c>
      <c r="G310">
        <v>1957</v>
      </c>
      <c r="H310">
        <v>69</v>
      </c>
      <c r="I310">
        <v>27</v>
      </c>
      <c r="J310">
        <v>2112.4119999999998</v>
      </c>
      <c r="K310">
        <v>969</v>
      </c>
    </row>
    <row r="311" spans="1:11" x14ac:dyDescent="0.4">
      <c r="A311">
        <v>18133</v>
      </c>
      <c r="B311" t="s">
        <v>893</v>
      </c>
      <c r="C311" t="s">
        <v>810</v>
      </c>
      <c r="D311" t="s">
        <v>378</v>
      </c>
      <c r="E311" t="s">
        <v>739</v>
      </c>
      <c r="F311">
        <v>85</v>
      </c>
      <c r="G311">
        <v>1992</v>
      </c>
      <c r="H311">
        <v>659</v>
      </c>
      <c r="I311">
        <v>0</v>
      </c>
      <c r="J311">
        <v>0</v>
      </c>
      <c r="K311">
        <v>0</v>
      </c>
    </row>
    <row r="312" spans="1:11" x14ac:dyDescent="0.4">
      <c r="A312">
        <v>16062</v>
      </c>
      <c r="B312" t="s">
        <v>894</v>
      </c>
      <c r="C312" t="s">
        <v>655</v>
      </c>
      <c r="E312" t="s">
        <v>514</v>
      </c>
      <c r="F312">
        <v>83</v>
      </c>
      <c r="G312">
        <v>1967</v>
      </c>
      <c r="H312">
        <v>660</v>
      </c>
      <c r="I312">
        <v>0</v>
      </c>
      <c r="J312">
        <v>0</v>
      </c>
      <c r="K312">
        <v>0</v>
      </c>
    </row>
    <row r="313" spans="1:11" x14ac:dyDescent="0.4">
      <c r="A313">
        <v>22121</v>
      </c>
      <c r="B313" t="s">
        <v>895</v>
      </c>
      <c r="C313" t="s">
        <v>492</v>
      </c>
      <c r="D313" t="s">
        <v>378</v>
      </c>
      <c r="E313" t="s">
        <v>244</v>
      </c>
      <c r="F313">
        <v>88</v>
      </c>
      <c r="G313">
        <v>1958</v>
      </c>
      <c r="H313">
        <v>534</v>
      </c>
      <c r="I313">
        <v>1.9379999999999999</v>
      </c>
      <c r="J313">
        <v>50.237000000000002</v>
      </c>
      <c r="K313">
        <v>0</v>
      </c>
    </row>
    <row r="314" spans="1:11" x14ac:dyDescent="0.4">
      <c r="A314">
        <v>13077</v>
      </c>
      <c r="B314" t="s">
        <v>896</v>
      </c>
      <c r="C314" t="s">
        <v>569</v>
      </c>
      <c r="E314" t="s">
        <v>499</v>
      </c>
      <c r="F314">
        <v>51</v>
      </c>
      <c r="G314">
        <v>1951</v>
      </c>
      <c r="H314">
        <v>314</v>
      </c>
      <c r="I314">
        <v>9.6579999999999995</v>
      </c>
      <c r="J314">
        <v>393.565</v>
      </c>
      <c r="K314">
        <v>65</v>
      </c>
    </row>
    <row r="315" spans="1:11" x14ac:dyDescent="0.4">
      <c r="A315">
        <v>21798</v>
      </c>
      <c r="B315" t="s">
        <v>897</v>
      </c>
      <c r="C315" t="s">
        <v>487</v>
      </c>
      <c r="E315" t="s">
        <v>415</v>
      </c>
      <c r="F315">
        <v>30</v>
      </c>
      <c r="G315">
        <v>1979</v>
      </c>
      <c r="H315">
        <v>461</v>
      </c>
      <c r="I315">
        <v>3.375</v>
      </c>
      <c r="J315">
        <v>118.5</v>
      </c>
      <c r="K315">
        <v>0</v>
      </c>
    </row>
    <row r="316" spans="1:11" x14ac:dyDescent="0.4">
      <c r="A316">
        <v>13078</v>
      </c>
      <c r="B316" t="s">
        <v>898</v>
      </c>
      <c r="C316" t="s">
        <v>626</v>
      </c>
      <c r="D316" t="s">
        <v>378</v>
      </c>
      <c r="E316" t="s">
        <v>499</v>
      </c>
      <c r="F316">
        <v>51</v>
      </c>
      <c r="G316">
        <v>1949</v>
      </c>
      <c r="H316">
        <v>315</v>
      </c>
      <c r="I316">
        <v>9.6579999999999995</v>
      </c>
      <c r="J316">
        <v>393.565</v>
      </c>
      <c r="K316">
        <v>65</v>
      </c>
    </row>
    <row r="317" spans="1:11" x14ac:dyDescent="0.4">
      <c r="A317">
        <v>18056</v>
      </c>
      <c r="B317" t="s">
        <v>899</v>
      </c>
      <c r="C317" t="s">
        <v>852</v>
      </c>
      <c r="D317" t="s">
        <v>378</v>
      </c>
      <c r="E317" t="s">
        <v>488</v>
      </c>
      <c r="F317">
        <v>79</v>
      </c>
      <c r="G317">
        <v>1988</v>
      </c>
      <c r="H317">
        <v>661</v>
      </c>
      <c r="I317">
        <v>0</v>
      </c>
      <c r="J317">
        <v>0</v>
      </c>
      <c r="K317">
        <v>0</v>
      </c>
    </row>
    <row r="318" spans="1:11" x14ac:dyDescent="0.4">
      <c r="A318">
        <v>18071</v>
      </c>
      <c r="B318" t="s">
        <v>900</v>
      </c>
      <c r="C318" t="s">
        <v>490</v>
      </c>
      <c r="E318" t="s">
        <v>244</v>
      </c>
      <c r="F318">
        <v>88</v>
      </c>
      <c r="G318">
        <v>1956</v>
      </c>
      <c r="H318">
        <v>258</v>
      </c>
      <c r="I318">
        <v>11.782</v>
      </c>
      <c r="J318">
        <v>625.71</v>
      </c>
      <c r="K318">
        <v>169</v>
      </c>
    </row>
    <row r="319" spans="1:11" x14ac:dyDescent="0.4">
      <c r="A319">
        <v>18070</v>
      </c>
      <c r="B319" t="s">
        <v>901</v>
      </c>
      <c r="C319" t="s">
        <v>902</v>
      </c>
      <c r="D319" t="s">
        <v>378</v>
      </c>
      <c r="E319" t="s">
        <v>244</v>
      </c>
      <c r="F319">
        <v>88</v>
      </c>
      <c r="G319">
        <v>1957</v>
      </c>
      <c r="H319">
        <v>231</v>
      </c>
      <c r="I319">
        <v>16.72</v>
      </c>
      <c r="J319">
        <v>773.86500000000001</v>
      </c>
      <c r="K319">
        <v>150</v>
      </c>
    </row>
    <row r="320" spans="1:11" x14ac:dyDescent="0.4">
      <c r="A320">
        <v>24529</v>
      </c>
      <c r="B320" t="s">
        <v>903</v>
      </c>
      <c r="C320" t="s">
        <v>485</v>
      </c>
      <c r="E320" t="s">
        <v>904</v>
      </c>
      <c r="F320">
        <v>101</v>
      </c>
      <c r="G320">
        <v>1960</v>
      </c>
      <c r="H320">
        <v>504</v>
      </c>
      <c r="I320">
        <v>2.375</v>
      </c>
      <c r="J320">
        <v>73.861999999999995</v>
      </c>
      <c r="K320">
        <v>0</v>
      </c>
    </row>
    <row r="321" spans="1:11" x14ac:dyDescent="0.4">
      <c r="A321">
        <v>22150</v>
      </c>
      <c r="B321" t="s">
        <v>905</v>
      </c>
      <c r="C321" t="s">
        <v>485</v>
      </c>
      <c r="E321" t="s">
        <v>269</v>
      </c>
      <c r="F321">
        <v>98</v>
      </c>
      <c r="G321">
        <v>1979</v>
      </c>
      <c r="H321">
        <v>355</v>
      </c>
      <c r="I321">
        <v>8.8759999999999994</v>
      </c>
      <c r="J321">
        <v>291.65800000000002</v>
      </c>
      <c r="K321">
        <v>0</v>
      </c>
    </row>
    <row r="322" spans="1:11" x14ac:dyDescent="0.4">
      <c r="A322">
        <v>22151</v>
      </c>
      <c r="B322" t="s">
        <v>906</v>
      </c>
      <c r="C322" t="s">
        <v>587</v>
      </c>
      <c r="D322" t="s">
        <v>378</v>
      </c>
      <c r="E322" t="s">
        <v>269</v>
      </c>
      <c r="F322">
        <v>98</v>
      </c>
      <c r="G322">
        <v>1976</v>
      </c>
      <c r="H322">
        <v>553</v>
      </c>
      <c r="I322">
        <v>1.0940000000000001</v>
      </c>
      <c r="J322">
        <v>35.503</v>
      </c>
      <c r="K322">
        <v>0</v>
      </c>
    </row>
    <row r="323" spans="1:11" x14ac:dyDescent="0.4">
      <c r="A323">
        <v>22155</v>
      </c>
      <c r="B323" t="s">
        <v>907</v>
      </c>
      <c r="C323" t="s">
        <v>485</v>
      </c>
      <c r="E323" t="s">
        <v>729</v>
      </c>
      <c r="F323">
        <v>87</v>
      </c>
      <c r="G323">
        <v>1961</v>
      </c>
      <c r="H323">
        <v>593</v>
      </c>
      <c r="I323">
        <v>0.5</v>
      </c>
      <c r="J323">
        <v>12.978</v>
      </c>
      <c r="K323">
        <v>0</v>
      </c>
    </row>
    <row r="324" spans="1:11" x14ac:dyDescent="0.4">
      <c r="A324">
        <v>21076</v>
      </c>
      <c r="B324" t="s">
        <v>908</v>
      </c>
      <c r="C324" t="s">
        <v>573</v>
      </c>
      <c r="D324" t="s">
        <v>378</v>
      </c>
      <c r="E324" t="s">
        <v>320</v>
      </c>
      <c r="F324">
        <v>86</v>
      </c>
      <c r="G324">
        <v>1997</v>
      </c>
      <c r="H324">
        <v>589</v>
      </c>
      <c r="I324">
        <v>0.56299999999999994</v>
      </c>
      <c r="J324">
        <v>17.719000000000001</v>
      </c>
      <c r="K324">
        <v>0</v>
      </c>
    </row>
    <row r="325" spans="1:11" x14ac:dyDescent="0.4">
      <c r="A325">
        <v>18075</v>
      </c>
      <c r="B325" t="s">
        <v>909</v>
      </c>
      <c r="C325" t="s">
        <v>810</v>
      </c>
      <c r="D325" t="s">
        <v>378</v>
      </c>
      <c r="E325" t="s">
        <v>180</v>
      </c>
      <c r="F325">
        <v>89</v>
      </c>
      <c r="G325">
        <v>1997</v>
      </c>
      <c r="H325">
        <v>342</v>
      </c>
      <c r="I325">
        <v>6.125</v>
      </c>
      <c r="J325">
        <v>321.00099999999998</v>
      </c>
      <c r="K325">
        <v>109</v>
      </c>
    </row>
    <row r="326" spans="1:11" x14ac:dyDescent="0.4">
      <c r="A326">
        <v>10082</v>
      </c>
      <c r="B326" t="s">
        <v>910</v>
      </c>
      <c r="C326" t="s">
        <v>580</v>
      </c>
      <c r="E326" t="s">
        <v>214</v>
      </c>
      <c r="F326">
        <v>69</v>
      </c>
      <c r="G326">
        <v>1961</v>
      </c>
      <c r="H326">
        <v>595</v>
      </c>
      <c r="I326">
        <v>1.625</v>
      </c>
      <c r="J326">
        <v>11.234</v>
      </c>
      <c r="K326">
        <v>0</v>
      </c>
    </row>
    <row r="327" spans="1:11" x14ac:dyDescent="0.4">
      <c r="A327">
        <v>21066</v>
      </c>
      <c r="B327" t="s">
        <v>911</v>
      </c>
      <c r="C327" t="s">
        <v>912</v>
      </c>
      <c r="D327" t="s">
        <v>508</v>
      </c>
      <c r="E327" t="s">
        <v>180</v>
      </c>
      <c r="F327">
        <v>89</v>
      </c>
      <c r="G327">
        <v>2018</v>
      </c>
      <c r="H327">
        <v>662</v>
      </c>
      <c r="I327">
        <v>0</v>
      </c>
      <c r="J327">
        <v>0</v>
      </c>
      <c r="K327">
        <v>0</v>
      </c>
    </row>
    <row r="328" spans="1:11" x14ac:dyDescent="0.4">
      <c r="A328">
        <v>23250</v>
      </c>
      <c r="B328" t="s">
        <v>911</v>
      </c>
      <c r="C328" t="s">
        <v>913</v>
      </c>
      <c r="D328" t="s">
        <v>378</v>
      </c>
      <c r="E328" t="s">
        <v>237</v>
      </c>
      <c r="F328">
        <v>1</v>
      </c>
      <c r="G328">
        <v>1952</v>
      </c>
      <c r="H328">
        <v>525</v>
      </c>
      <c r="I328">
        <v>1.8440000000000001</v>
      </c>
      <c r="J328">
        <v>59.762</v>
      </c>
      <c r="K328">
        <v>0</v>
      </c>
    </row>
    <row r="329" spans="1:11" x14ac:dyDescent="0.4">
      <c r="A329">
        <v>12038</v>
      </c>
      <c r="B329" t="s">
        <v>914</v>
      </c>
      <c r="C329" t="s">
        <v>915</v>
      </c>
      <c r="E329" t="s">
        <v>533</v>
      </c>
      <c r="F329">
        <v>73</v>
      </c>
      <c r="G329">
        <v>1955</v>
      </c>
      <c r="H329">
        <v>33</v>
      </c>
      <c r="I329">
        <v>26.312999999999999</v>
      </c>
      <c r="J329">
        <v>2705.0740000000001</v>
      </c>
      <c r="K329">
        <v>1528</v>
      </c>
    </row>
    <row r="330" spans="1:11" x14ac:dyDescent="0.4">
      <c r="A330">
        <v>12037</v>
      </c>
      <c r="B330" t="s">
        <v>916</v>
      </c>
      <c r="C330" t="s">
        <v>758</v>
      </c>
      <c r="D330" t="s">
        <v>378</v>
      </c>
      <c r="E330" t="s">
        <v>533</v>
      </c>
      <c r="F330">
        <v>73</v>
      </c>
      <c r="G330">
        <v>1951</v>
      </c>
      <c r="H330">
        <v>35</v>
      </c>
      <c r="I330">
        <v>30.187999999999999</v>
      </c>
      <c r="J330">
        <v>2667.7350000000001</v>
      </c>
      <c r="K330">
        <v>1355</v>
      </c>
    </row>
    <row r="331" spans="1:11" x14ac:dyDescent="0.4">
      <c r="A331">
        <v>22117</v>
      </c>
      <c r="B331" t="s">
        <v>917</v>
      </c>
      <c r="C331" t="s">
        <v>526</v>
      </c>
      <c r="E331" t="s">
        <v>514</v>
      </c>
      <c r="F331">
        <v>83</v>
      </c>
      <c r="G331">
        <v>1974</v>
      </c>
      <c r="H331">
        <v>663</v>
      </c>
      <c r="I331">
        <v>0</v>
      </c>
      <c r="J331">
        <v>0</v>
      </c>
      <c r="K331">
        <v>0</v>
      </c>
    </row>
    <row r="332" spans="1:11" x14ac:dyDescent="0.4">
      <c r="A332">
        <v>16060</v>
      </c>
      <c r="B332" t="s">
        <v>917</v>
      </c>
      <c r="C332" t="s">
        <v>500</v>
      </c>
      <c r="E332" t="s">
        <v>514</v>
      </c>
      <c r="F332">
        <v>83</v>
      </c>
      <c r="G332">
        <v>1972</v>
      </c>
      <c r="H332">
        <v>264</v>
      </c>
      <c r="I332">
        <v>7.782</v>
      </c>
      <c r="J332">
        <v>606.423</v>
      </c>
      <c r="K332">
        <v>261</v>
      </c>
    </row>
    <row r="333" spans="1:11" x14ac:dyDescent="0.4">
      <c r="A333">
        <v>24506</v>
      </c>
      <c r="B333" t="s">
        <v>918</v>
      </c>
      <c r="C333" t="s">
        <v>919</v>
      </c>
      <c r="D333" t="s">
        <v>378</v>
      </c>
      <c r="E333" t="s">
        <v>514</v>
      </c>
      <c r="F333">
        <v>83</v>
      </c>
      <c r="G333">
        <v>1985</v>
      </c>
      <c r="H333">
        <v>664</v>
      </c>
      <c r="I333">
        <v>0</v>
      </c>
      <c r="J333">
        <v>0</v>
      </c>
      <c r="K333">
        <v>0</v>
      </c>
    </row>
    <row r="334" spans="1:11" x14ac:dyDescent="0.4">
      <c r="A334">
        <v>23215</v>
      </c>
      <c r="B334" t="s">
        <v>920</v>
      </c>
      <c r="C334" t="s">
        <v>693</v>
      </c>
      <c r="D334" t="s">
        <v>378</v>
      </c>
      <c r="E334" t="s">
        <v>533</v>
      </c>
      <c r="F334">
        <v>73</v>
      </c>
      <c r="G334">
        <v>1956</v>
      </c>
      <c r="H334">
        <v>378</v>
      </c>
      <c r="I334">
        <v>4.6280000000000001</v>
      </c>
      <c r="J334">
        <v>241.75399999999999</v>
      </c>
      <c r="K334">
        <v>49</v>
      </c>
    </row>
    <row r="335" spans="1:11" x14ac:dyDescent="0.4">
      <c r="A335">
        <v>29039</v>
      </c>
      <c r="B335" t="s">
        <v>921</v>
      </c>
      <c r="C335" t="s">
        <v>574</v>
      </c>
      <c r="D335" t="s">
        <v>378</v>
      </c>
      <c r="E335" t="s">
        <v>391</v>
      </c>
      <c r="F335">
        <v>14</v>
      </c>
      <c r="G335">
        <v>1956</v>
      </c>
      <c r="H335">
        <v>43</v>
      </c>
      <c r="I335">
        <v>31.501000000000001</v>
      </c>
      <c r="J335">
        <v>2390.8609999999999</v>
      </c>
      <c r="K335">
        <v>1016</v>
      </c>
    </row>
    <row r="336" spans="1:11" x14ac:dyDescent="0.4">
      <c r="A336">
        <v>16105</v>
      </c>
      <c r="B336" t="s">
        <v>922</v>
      </c>
      <c r="C336" t="s">
        <v>678</v>
      </c>
      <c r="E336" t="s">
        <v>391</v>
      </c>
      <c r="F336">
        <v>14</v>
      </c>
      <c r="G336">
        <v>1959</v>
      </c>
      <c r="H336">
        <v>77</v>
      </c>
      <c r="I336">
        <v>31.625</v>
      </c>
      <c r="J336">
        <v>1981.643</v>
      </c>
      <c r="K336">
        <v>793</v>
      </c>
    </row>
    <row r="337" spans="1:11" x14ac:dyDescent="0.4">
      <c r="A337">
        <v>29040</v>
      </c>
      <c r="B337" t="s">
        <v>922</v>
      </c>
      <c r="C337" t="s">
        <v>500</v>
      </c>
      <c r="E337" t="s">
        <v>391</v>
      </c>
      <c r="F337">
        <v>14</v>
      </c>
      <c r="G337">
        <v>1961</v>
      </c>
      <c r="H337">
        <v>26</v>
      </c>
      <c r="I337">
        <v>39.5</v>
      </c>
      <c r="J337">
        <v>2896.3440000000001</v>
      </c>
      <c r="K337">
        <v>1269</v>
      </c>
    </row>
    <row r="338" spans="1:11" x14ac:dyDescent="0.4">
      <c r="A338">
        <v>11045</v>
      </c>
      <c r="B338" t="s">
        <v>923</v>
      </c>
      <c r="C338" t="s">
        <v>526</v>
      </c>
      <c r="E338" t="s">
        <v>522</v>
      </c>
      <c r="F338">
        <v>2</v>
      </c>
      <c r="G338">
        <v>1954</v>
      </c>
      <c r="H338">
        <v>222</v>
      </c>
      <c r="I338">
        <v>13.096</v>
      </c>
      <c r="J338">
        <v>807.27499999999998</v>
      </c>
      <c r="K338">
        <v>267</v>
      </c>
    </row>
    <row r="339" spans="1:11" x14ac:dyDescent="0.4">
      <c r="A339">
        <v>23256</v>
      </c>
      <c r="B339" t="s">
        <v>924</v>
      </c>
      <c r="C339" t="s">
        <v>678</v>
      </c>
      <c r="E339" t="s">
        <v>176</v>
      </c>
      <c r="F339">
        <v>95</v>
      </c>
      <c r="G339">
        <v>1989</v>
      </c>
      <c r="H339">
        <v>225</v>
      </c>
      <c r="I339">
        <v>19.814</v>
      </c>
      <c r="J339">
        <v>797.04899999999998</v>
      </c>
      <c r="K339">
        <v>40</v>
      </c>
    </row>
    <row r="340" spans="1:11" x14ac:dyDescent="0.4">
      <c r="A340">
        <v>21776</v>
      </c>
      <c r="B340" t="s">
        <v>924</v>
      </c>
      <c r="C340" t="s">
        <v>727</v>
      </c>
      <c r="E340" t="s">
        <v>263</v>
      </c>
      <c r="F340">
        <v>17</v>
      </c>
      <c r="G340">
        <v>1971</v>
      </c>
      <c r="H340">
        <v>552</v>
      </c>
      <c r="I340">
        <v>1.2809999999999999</v>
      </c>
      <c r="J340">
        <v>36.779000000000003</v>
      </c>
      <c r="K340">
        <v>0</v>
      </c>
    </row>
    <row r="341" spans="1:11" x14ac:dyDescent="0.4">
      <c r="A341">
        <v>15013</v>
      </c>
      <c r="B341" t="s">
        <v>925</v>
      </c>
      <c r="C341" t="s">
        <v>926</v>
      </c>
      <c r="D341" t="s">
        <v>378</v>
      </c>
      <c r="E341" t="s">
        <v>263</v>
      </c>
      <c r="F341">
        <v>17</v>
      </c>
      <c r="G341">
        <v>1972</v>
      </c>
      <c r="H341">
        <v>665</v>
      </c>
      <c r="I341">
        <v>0</v>
      </c>
      <c r="J341">
        <v>0</v>
      </c>
      <c r="K341">
        <v>0</v>
      </c>
    </row>
    <row r="342" spans="1:11" x14ac:dyDescent="0.4">
      <c r="A342">
        <v>24534</v>
      </c>
      <c r="B342" t="s">
        <v>925</v>
      </c>
      <c r="C342" t="s">
        <v>927</v>
      </c>
      <c r="D342" t="s">
        <v>508</v>
      </c>
      <c r="E342" t="s">
        <v>176</v>
      </c>
      <c r="F342">
        <v>95</v>
      </c>
      <c r="G342">
        <v>2013</v>
      </c>
      <c r="H342">
        <v>527</v>
      </c>
      <c r="I342">
        <v>1.375</v>
      </c>
      <c r="J342">
        <v>58.662999999999997</v>
      </c>
      <c r="K342">
        <v>0</v>
      </c>
    </row>
    <row r="343" spans="1:11" x14ac:dyDescent="0.4">
      <c r="A343">
        <v>15050</v>
      </c>
      <c r="B343" t="s">
        <v>928</v>
      </c>
      <c r="C343" t="s">
        <v>530</v>
      </c>
      <c r="D343" t="s">
        <v>378</v>
      </c>
      <c r="E343" t="s">
        <v>194</v>
      </c>
      <c r="F343">
        <v>33</v>
      </c>
      <c r="G343">
        <v>1949</v>
      </c>
      <c r="H343">
        <v>256</v>
      </c>
      <c r="I343">
        <v>13.345000000000001</v>
      </c>
      <c r="J343">
        <v>631.51599999999996</v>
      </c>
      <c r="K343">
        <v>114</v>
      </c>
    </row>
    <row r="344" spans="1:11" x14ac:dyDescent="0.4">
      <c r="A344">
        <v>17006</v>
      </c>
      <c r="B344" t="s">
        <v>929</v>
      </c>
      <c r="C344" t="s">
        <v>566</v>
      </c>
      <c r="D344" t="s">
        <v>546</v>
      </c>
      <c r="E344" t="s">
        <v>739</v>
      </c>
      <c r="F344">
        <v>85</v>
      </c>
      <c r="G344">
        <v>2009</v>
      </c>
      <c r="H344">
        <v>668</v>
      </c>
      <c r="I344">
        <v>0</v>
      </c>
      <c r="J344">
        <v>0</v>
      </c>
      <c r="K344">
        <v>0</v>
      </c>
    </row>
    <row r="345" spans="1:11" x14ac:dyDescent="0.4">
      <c r="A345">
        <v>17005</v>
      </c>
      <c r="B345" t="s">
        <v>929</v>
      </c>
      <c r="C345" t="s">
        <v>526</v>
      </c>
      <c r="D345" t="s">
        <v>546</v>
      </c>
      <c r="E345" t="s">
        <v>739</v>
      </c>
      <c r="F345">
        <v>85</v>
      </c>
      <c r="G345">
        <v>2008</v>
      </c>
      <c r="H345">
        <v>667</v>
      </c>
      <c r="I345">
        <v>0</v>
      </c>
      <c r="J345">
        <v>0</v>
      </c>
      <c r="K345">
        <v>0</v>
      </c>
    </row>
    <row r="346" spans="1:11" x14ac:dyDescent="0.4">
      <c r="A346">
        <v>26043</v>
      </c>
      <c r="B346" t="s">
        <v>929</v>
      </c>
      <c r="C346" t="s">
        <v>569</v>
      </c>
      <c r="E346" t="s">
        <v>304</v>
      </c>
      <c r="F346">
        <v>45</v>
      </c>
      <c r="G346">
        <v>1969</v>
      </c>
      <c r="H346">
        <v>121</v>
      </c>
      <c r="I346">
        <v>27.032</v>
      </c>
      <c r="J346">
        <v>1560.2539999999999</v>
      </c>
      <c r="K346">
        <v>541</v>
      </c>
    </row>
    <row r="347" spans="1:11" x14ac:dyDescent="0.4">
      <c r="A347">
        <v>17004</v>
      </c>
      <c r="B347" t="s">
        <v>929</v>
      </c>
      <c r="C347" t="s">
        <v>655</v>
      </c>
      <c r="E347" t="s">
        <v>739</v>
      </c>
      <c r="F347">
        <v>85</v>
      </c>
      <c r="G347">
        <v>2006</v>
      </c>
      <c r="H347">
        <v>666</v>
      </c>
      <c r="I347">
        <v>0</v>
      </c>
      <c r="J347">
        <v>0</v>
      </c>
      <c r="K347">
        <v>0</v>
      </c>
    </row>
    <row r="348" spans="1:11" x14ac:dyDescent="0.4">
      <c r="A348">
        <v>17003</v>
      </c>
      <c r="B348" t="s">
        <v>930</v>
      </c>
      <c r="C348" t="s">
        <v>530</v>
      </c>
      <c r="D348" t="s">
        <v>378</v>
      </c>
      <c r="E348" t="s">
        <v>739</v>
      </c>
      <c r="F348">
        <v>85</v>
      </c>
      <c r="G348">
        <v>1979</v>
      </c>
      <c r="H348">
        <v>669</v>
      </c>
      <c r="I348">
        <v>0</v>
      </c>
      <c r="J348">
        <v>0</v>
      </c>
      <c r="K348">
        <v>0</v>
      </c>
    </row>
    <row r="349" spans="1:11" x14ac:dyDescent="0.4">
      <c r="A349">
        <v>20605</v>
      </c>
      <c r="B349" t="s">
        <v>931</v>
      </c>
      <c r="C349" t="s">
        <v>630</v>
      </c>
      <c r="E349" t="s">
        <v>176</v>
      </c>
      <c r="F349">
        <v>95</v>
      </c>
      <c r="G349">
        <v>1982</v>
      </c>
      <c r="H349">
        <v>511</v>
      </c>
      <c r="I349">
        <v>1.984</v>
      </c>
      <c r="J349">
        <v>65.793000000000006</v>
      </c>
      <c r="K349">
        <v>0</v>
      </c>
    </row>
    <row r="350" spans="1:11" x14ac:dyDescent="0.4">
      <c r="A350">
        <v>26025</v>
      </c>
      <c r="B350" t="s">
        <v>932</v>
      </c>
      <c r="C350" t="s">
        <v>933</v>
      </c>
      <c r="D350" t="s">
        <v>378</v>
      </c>
      <c r="E350" t="s">
        <v>185</v>
      </c>
      <c r="F350">
        <v>63</v>
      </c>
      <c r="G350">
        <v>1971</v>
      </c>
      <c r="H350">
        <v>670</v>
      </c>
      <c r="I350">
        <v>0</v>
      </c>
      <c r="J350">
        <v>0</v>
      </c>
      <c r="K350">
        <v>0</v>
      </c>
    </row>
    <row r="351" spans="1:11" x14ac:dyDescent="0.4">
      <c r="A351">
        <v>24236</v>
      </c>
      <c r="B351" t="s">
        <v>934</v>
      </c>
      <c r="C351" t="s">
        <v>784</v>
      </c>
      <c r="E351" t="s">
        <v>285</v>
      </c>
      <c r="F351">
        <v>19</v>
      </c>
      <c r="G351">
        <v>1959</v>
      </c>
      <c r="H351">
        <v>363</v>
      </c>
      <c r="I351">
        <v>3.8130000000000002</v>
      </c>
      <c r="J351">
        <v>275.92099999999999</v>
      </c>
      <c r="K351">
        <v>136</v>
      </c>
    </row>
    <row r="352" spans="1:11" x14ac:dyDescent="0.4">
      <c r="A352">
        <v>20564</v>
      </c>
      <c r="B352" t="s">
        <v>935</v>
      </c>
      <c r="C352" t="s">
        <v>485</v>
      </c>
      <c r="E352" t="s">
        <v>488</v>
      </c>
      <c r="F352">
        <v>79</v>
      </c>
      <c r="G352">
        <v>1964</v>
      </c>
      <c r="H352">
        <v>339</v>
      </c>
      <c r="I352">
        <v>4.5</v>
      </c>
      <c r="J352">
        <v>324.57499999999999</v>
      </c>
      <c r="K352">
        <v>111</v>
      </c>
    </row>
    <row r="353" spans="1:11" x14ac:dyDescent="0.4">
      <c r="A353">
        <v>17078</v>
      </c>
      <c r="B353" t="s">
        <v>936</v>
      </c>
      <c r="C353" t="s">
        <v>639</v>
      </c>
      <c r="E353" t="s">
        <v>320</v>
      </c>
      <c r="F353">
        <v>86</v>
      </c>
      <c r="G353">
        <v>1991</v>
      </c>
      <c r="H353">
        <v>485</v>
      </c>
      <c r="I353">
        <v>2</v>
      </c>
      <c r="J353">
        <v>92.617999999999995</v>
      </c>
      <c r="K353">
        <v>0</v>
      </c>
    </row>
    <row r="354" spans="1:11" x14ac:dyDescent="0.4">
      <c r="A354">
        <v>23247</v>
      </c>
      <c r="B354" t="s">
        <v>937</v>
      </c>
      <c r="C354" t="s">
        <v>658</v>
      </c>
      <c r="D354" t="s">
        <v>378</v>
      </c>
      <c r="E354" t="s">
        <v>304</v>
      </c>
      <c r="F354">
        <v>45</v>
      </c>
      <c r="G354">
        <v>1953</v>
      </c>
      <c r="H354">
        <v>282</v>
      </c>
      <c r="I354">
        <v>15.315</v>
      </c>
      <c r="J354">
        <v>528.06299999999999</v>
      </c>
      <c r="K354">
        <v>80</v>
      </c>
    </row>
    <row r="355" spans="1:11" x14ac:dyDescent="0.4">
      <c r="A355">
        <v>13018</v>
      </c>
      <c r="B355" t="s">
        <v>938</v>
      </c>
      <c r="C355" t="s">
        <v>566</v>
      </c>
      <c r="E355" t="s">
        <v>570</v>
      </c>
      <c r="F355">
        <v>75</v>
      </c>
      <c r="G355">
        <v>1965</v>
      </c>
      <c r="H355">
        <v>671</v>
      </c>
      <c r="I355">
        <v>0</v>
      </c>
      <c r="J355">
        <v>0</v>
      </c>
      <c r="K355">
        <v>0</v>
      </c>
    </row>
    <row r="356" spans="1:11" x14ac:dyDescent="0.4">
      <c r="A356">
        <v>23231</v>
      </c>
      <c r="B356" t="s">
        <v>939</v>
      </c>
      <c r="C356" t="s">
        <v>554</v>
      </c>
      <c r="E356" t="s">
        <v>380</v>
      </c>
      <c r="F356">
        <v>6</v>
      </c>
      <c r="G356">
        <v>1990</v>
      </c>
      <c r="H356">
        <v>503</v>
      </c>
      <c r="I356">
        <v>0.59399999999999997</v>
      </c>
      <c r="J356">
        <v>73.869</v>
      </c>
      <c r="K356">
        <v>42</v>
      </c>
    </row>
    <row r="357" spans="1:11" x14ac:dyDescent="0.4">
      <c r="A357">
        <v>11006</v>
      </c>
      <c r="B357" t="s">
        <v>940</v>
      </c>
      <c r="C357" t="s">
        <v>498</v>
      </c>
      <c r="E357" t="s">
        <v>166</v>
      </c>
      <c r="F357">
        <v>54</v>
      </c>
      <c r="G357">
        <v>1957</v>
      </c>
      <c r="H357">
        <v>109</v>
      </c>
      <c r="I357">
        <v>22.5</v>
      </c>
      <c r="J357">
        <v>1665.665</v>
      </c>
      <c r="K357">
        <v>808</v>
      </c>
    </row>
    <row r="358" spans="1:11" x14ac:dyDescent="0.4">
      <c r="A358">
        <v>19039</v>
      </c>
      <c r="B358" t="s">
        <v>941</v>
      </c>
      <c r="C358" t="s">
        <v>569</v>
      </c>
      <c r="E358" t="s">
        <v>708</v>
      </c>
      <c r="F358">
        <v>82</v>
      </c>
      <c r="G358">
        <v>1974</v>
      </c>
      <c r="H358">
        <v>481</v>
      </c>
      <c r="I358">
        <v>5</v>
      </c>
      <c r="J358">
        <v>96.99</v>
      </c>
      <c r="K358">
        <v>0</v>
      </c>
    </row>
    <row r="359" spans="1:11" x14ac:dyDescent="0.4">
      <c r="A359">
        <v>21072</v>
      </c>
      <c r="B359" t="s">
        <v>942</v>
      </c>
      <c r="C359" t="s">
        <v>943</v>
      </c>
      <c r="E359" t="s">
        <v>522</v>
      </c>
      <c r="F359">
        <v>2</v>
      </c>
      <c r="G359">
        <v>1983</v>
      </c>
      <c r="H359">
        <v>164</v>
      </c>
      <c r="I359">
        <v>21.187999999999999</v>
      </c>
      <c r="J359">
        <v>1173.328</v>
      </c>
      <c r="K359">
        <v>308</v>
      </c>
    </row>
    <row r="360" spans="1:11" x14ac:dyDescent="0.4">
      <c r="A360">
        <v>27030</v>
      </c>
      <c r="B360" t="s">
        <v>944</v>
      </c>
      <c r="C360" t="s">
        <v>945</v>
      </c>
      <c r="D360" t="s">
        <v>378</v>
      </c>
      <c r="E360" t="s">
        <v>724</v>
      </c>
      <c r="F360">
        <v>56</v>
      </c>
      <c r="G360">
        <v>1962</v>
      </c>
      <c r="H360">
        <v>22</v>
      </c>
      <c r="I360">
        <v>38.25</v>
      </c>
      <c r="J360">
        <v>2995.13</v>
      </c>
      <c r="K360">
        <v>1490</v>
      </c>
    </row>
    <row r="361" spans="1:11" x14ac:dyDescent="0.4">
      <c r="A361">
        <v>25061</v>
      </c>
      <c r="B361" t="s">
        <v>946</v>
      </c>
      <c r="C361" t="s">
        <v>554</v>
      </c>
      <c r="E361" t="s">
        <v>724</v>
      </c>
      <c r="F361">
        <v>56</v>
      </c>
      <c r="G361">
        <v>1988</v>
      </c>
      <c r="H361">
        <v>322</v>
      </c>
      <c r="I361">
        <v>11</v>
      </c>
      <c r="J361">
        <v>360.637</v>
      </c>
      <c r="K361">
        <v>0</v>
      </c>
    </row>
    <row r="362" spans="1:11" x14ac:dyDescent="0.4">
      <c r="A362">
        <v>18060</v>
      </c>
      <c r="B362" t="s">
        <v>947</v>
      </c>
      <c r="C362" t="s">
        <v>948</v>
      </c>
      <c r="E362" t="s">
        <v>708</v>
      </c>
      <c r="F362">
        <v>82</v>
      </c>
      <c r="G362">
        <v>1980</v>
      </c>
      <c r="H362">
        <v>360</v>
      </c>
      <c r="I362">
        <v>8.75</v>
      </c>
      <c r="J362">
        <v>280.04300000000001</v>
      </c>
      <c r="K362">
        <v>0</v>
      </c>
    </row>
    <row r="363" spans="1:11" x14ac:dyDescent="0.4">
      <c r="A363">
        <v>24521</v>
      </c>
      <c r="B363" t="s">
        <v>949</v>
      </c>
      <c r="C363" t="s">
        <v>569</v>
      </c>
      <c r="E363" t="s">
        <v>237</v>
      </c>
      <c r="F363">
        <v>1</v>
      </c>
      <c r="G363">
        <v>1965</v>
      </c>
      <c r="H363">
        <v>673</v>
      </c>
      <c r="I363">
        <v>0</v>
      </c>
      <c r="J363">
        <v>0</v>
      </c>
      <c r="K363">
        <v>0</v>
      </c>
    </row>
    <row r="364" spans="1:11" x14ac:dyDescent="0.4">
      <c r="A364">
        <v>23241</v>
      </c>
      <c r="B364" t="s">
        <v>949</v>
      </c>
      <c r="C364" t="s">
        <v>485</v>
      </c>
      <c r="E364" t="s">
        <v>237</v>
      </c>
      <c r="F364">
        <v>1</v>
      </c>
      <c r="G364">
        <v>1963</v>
      </c>
      <c r="H364">
        <v>672</v>
      </c>
      <c r="I364">
        <v>0</v>
      </c>
      <c r="J364">
        <v>0</v>
      </c>
      <c r="K364">
        <v>0</v>
      </c>
    </row>
    <row r="365" spans="1:11" x14ac:dyDescent="0.4">
      <c r="A365">
        <v>16151</v>
      </c>
      <c r="B365" t="s">
        <v>950</v>
      </c>
      <c r="C365" t="s">
        <v>566</v>
      </c>
      <c r="E365" t="s">
        <v>320</v>
      </c>
      <c r="F365">
        <v>86</v>
      </c>
      <c r="G365">
        <v>1991</v>
      </c>
      <c r="H365">
        <v>184</v>
      </c>
      <c r="I365">
        <v>14.314</v>
      </c>
      <c r="J365">
        <v>1045.8920000000001</v>
      </c>
      <c r="K365">
        <v>435</v>
      </c>
    </row>
    <row r="366" spans="1:11" x14ac:dyDescent="0.4">
      <c r="A366">
        <v>20532</v>
      </c>
      <c r="B366" t="s">
        <v>951</v>
      </c>
      <c r="C366" t="s">
        <v>952</v>
      </c>
      <c r="E366" t="s">
        <v>499</v>
      </c>
      <c r="F366">
        <v>51</v>
      </c>
      <c r="G366">
        <v>1951</v>
      </c>
      <c r="H366">
        <v>134</v>
      </c>
      <c r="I366">
        <v>24.562999999999999</v>
      </c>
      <c r="J366">
        <v>1438.3779999999999</v>
      </c>
      <c r="K366">
        <v>568</v>
      </c>
    </row>
    <row r="367" spans="1:11" x14ac:dyDescent="0.4">
      <c r="A367">
        <v>19043</v>
      </c>
      <c r="B367" t="s">
        <v>953</v>
      </c>
      <c r="C367" t="s">
        <v>490</v>
      </c>
      <c r="E367" t="s">
        <v>237</v>
      </c>
      <c r="F367">
        <v>1</v>
      </c>
      <c r="G367">
        <v>2006</v>
      </c>
      <c r="H367">
        <v>674</v>
      </c>
      <c r="I367">
        <v>0</v>
      </c>
      <c r="J367">
        <v>0</v>
      </c>
      <c r="K367">
        <v>0</v>
      </c>
    </row>
    <row r="368" spans="1:11" x14ac:dyDescent="0.4">
      <c r="A368">
        <v>97252</v>
      </c>
      <c r="B368" t="s">
        <v>954</v>
      </c>
      <c r="C368" t="s">
        <v>554</v>
      </c>
      <c r="E368" t="s">
        <v>415</v>
      </c>
      <c r="F368">
        <v>30</v>
      </c>
      <c r="G368">
        <v>1982</v>
      </c>
      <c r="H368">
        <v>567</v>
      </c>
      <c r="I368">
        <v>0.75</v>
      </c>
      <c r="J368">
        <v>29.247</v>
      </c>
      <c r="K368">
        <v>0</v>
      </c>
    </row>
    <row r="369" spans="1:11" x14ac:dyDescent="0.4">
      <c r="A369">
        <v>99540</v>
      </c>
      <c r="B369" t="s">
        <v>955</v>
      </c>
      <c r="C369" t="s">
        <v>819</v>
      </c>
      <c r="E369" t="s">
        <v>166</v>
      </c>
      <c r="F369">
        <v>54</v>
      </c>
      <c r="G369">
        <v>1974</v>
      </c>
      <c r="H369">
        <v>287</v>
      </c>
      <c r="I369">
        <v>10.407</v>
      </c>
      <c r="J369">
        <v>507.12900000000002</v>
      </c>
      <c r="K369">
        <v>104</v>
      </c>
    </row>
    <row r="370" spans="1:11" x14ac:dyDescent="0.4">
      <c r="A370">
        <v>99539</v>
      </c>
      <c r="B370" t="s">
        <v>956</v>
      </c>
      <c r="C370" t="s">
        <v>498</v>
      </c>
      <c r="E370" t="s">
        <v>166</v>
      </c>
      <c r="F370">
        <v>54</v>
      </c>
      <c r="G370">
        <v>1974</v>
      </c>
      <c r="H370">
        <v>259</v>
      </c>
      <c r="I370">
        <v>11.25</v>
      </c>
      <c r="J370">
        <v>623.80600000000004</v>
      </c>
      <c r="K370">
        <v>176</v>
      </c>
    </row>
    <row r="371" spans="1:11" x14ac:dyDescent="0.4">
      <c r="A371">
        <v>20730</v>
      </c>
      <c r="B371" t="s">
        <v>957</v>
      </c>
      <c r="C371" t="s">
        <v>498</v>
      </c>
      <c r="E371" t="s">
        <v>166</v>
      </c>
      <c r="F371">
        <v>54</v>
      </c>
      <c r="G371">
        <v>1952</v>
      </c>
      <c r="H371">
        <v>675</v>
      </c>
      <c r="I371">
        <v>0</v>
      </c>
      <c r="J371">
        <v>0</v>
      </c>
      <c r="K371">
        <v>0</v>
      </c>
    </row>
    <row r="372" spans="1:11" x14ac:dyDescent="0.4">
      <c r="A372">
        <v>19052</v>
      </c>
      <c r="B372" t="s">
        <v>958</v>
      </c>
      <c r="C372" t="s">
        <v>587</v>
      </c>
      <c r="D372" t="s">
        <v>378</v>
      </c>
      <c r="E372" t="s">
        <v>779</v>
      </c>
      <c r="F372">
        <v>91</v>
      </c>
      <c r="G372">
        <v>1955</v>
      </c>
      <c r="H372">
        <v>590</v>
      </c>
      <c r="I372">
        <v>0.90600000000000003</v>
      </c>
      <c r="J372">
        <v>17.579000000000001</v>
      </c>
      <c r="K372">
        <v>0</v>
      </c>
    </row>
    <row r="373" spans="1:11" x14ac:dyDescent="0.4">
      <c r="A373">
        <v>96216</v>
      </c>
      <c r="B373" t="s">
        <v>959</v>
      </c>
      <c r="C373" t="s">
        <v>960</v>
      </c>
      <c r="E373" t="s">
        <v>172</v>
      </c>
      <c r="F373">
        <v>5</v>
      </c>
      <c r="G373">
        <v>1951</v>
      </c>
      <c r="H373">
        <v>562</v>
      </c>
      <c r="I373">
        <v>0.68799999999999994</v>
      </c>
      <c r="J373">
        <v>31.98</v>
      </c>
      <c r="K373">
        <v>0</v>
      </c>
    </row>
    <row r="374" spans="1:11" x14ac:dyDescent="0.4">
      <c r="A374">
        <v>17007</v>
      </c>
      <c r="B374" t="s">
        <v>961</v>
      </c>
      <c r="C374" t="s">
        <v>485</v>
      </c>
      <c r="E374" t="s">
        <v>739</v>
      </c>
      <c r="F374">
        <v>85</v>
      </c>
      <c r="G374">
        <v>1952</v>
      </c>
      <c r="H374">
        <v>676</v>
      </c>
      <c r="I374">
        <v>0</v>
      </c>
      <c r="J374">
        <v>0</v>
      </c>
      <c r="K374">
        <v>0</v>
      </c>
    </row>
    <row r="375" spans="1:11" x14ac:dyDescent="0.4">
      <c r="A375">
        <v>21040</v>
      </c>
      <c r="B375" t="s">
        <v>962</v>
      </c>
      <c r="C375" t="s">
        <v>963</v>
      </c>
      <c r="E375" t="s">
        <v>647</v>
      </c>
      <c r="F375">
        <v>90</v>
      </c>
      <c r="G375">
        <v>1979</v>
      </c>
      <c r="H375">
        <v>281</v>
      </c>
      <c r="I375">
        <v>10.782</v>
      </c>
      <c r="J375">
        <v>531.75800000000004</v>
      </c>
      <c r="K375">
        <v>113</v>
      </c>
    </row>
    <row r="376" spans="1:11" x14ac:dyDescent="0.4">
      <c r="A376">
        <v>24515</v>
      </c>
      <c r="B376" t="s">
        <v>964</v>
      </c>
      <c r="C376" t="s">
        <v>965</v>
      </c>
      <c r="E376" t="s">
        <v>185</v>
      </c>
      <c r="F376">
        <v>63</v>
      </c>
      <c r="G376">
        <v>1957</v>
      </c>
      <c r="H376">
        <v>521</v>
      </c>
      <c r="I376">
        <v>1.8129999999999999</v>
      </c>
      <c r="J376">
        <v>62.386000000000003</v>
      </c>
      <c r="K376">
        <v>0</v>
      </c>
    </row>
    <row r="377" spans="1:11" x14ac:dyDescent="0.4">
      <c r="A377">
        <v>24516</v>
      </c>
      <c r="B377" t="s">
        <v>966</v>
      </c>
      <c r="C377" t="s">
        <v>967</v>
      </c>
      <c r="D377" t="s">
        <v>378</v>
      </c>
      <c r="E377" t="s">
        <v>185</v>
      </c>
      <c r="F377">
        <v>63</v>
      </c>
      <c r="G377">
        <v>1967</v>
      </c>
      <c r="H377">
        <v>522</v>
      </c>
      <c r="I377">
        <v>1.8129999999999999</v>
      </c>
      <c r="J377">
        <v>62.386000000000003</v>
      </c>
      <c r="K377">
        <v>0</v>
      </c>
    </row>
    <row r="378" spans="1:11" x14ac:dyDescent="0.4">
      <c r="A378">
        <v>20601</v>
      </c>
      <c r="B378" t="s">
        <v>968</v>
      </c>
      <c r="C378" t="s">
        <v>969</v>
      </c>
      <c r="E378" t="s">
        <v>176</v>
      </c>
      <c r="F378">
        <v>95</v>
      </c>
      <c r="G378">
        <v>1977</v>
      </c>
      <c r="H378">
        <v>446</v>
      </c>
      <c r="I378">
        <v>4.0629999999999997</v>
      </c>
      <c r="J378">
        <v>140.48099999999999</v>
      </c>
      <c r="K378">
        <v>0</v>
      </c>
    </row>
    <row r="379" spans="1:11" x14ac:dyDescent="0.4">
      <c r="A379">
        <v>20587</v>
      </c>
      <c r="B379" t="s">
        <v>970</v>
      </c>
      <c r="C379" t="s">
        <v>545</v>
      </c>
      <c r="D379" t="s">
        <v>546</v>
      </c>
      <c r="E379" t="s">
        <v>176</v>
      </c>
      <c r="F379">
        <v>95</v>
      </c>
      <c r="G379">
        <v>2008</v>
      </c>
      <c r="H379">
        <v>677</v>
      </c>
      <c r="I379">
        <v>0</v>
      </c>
      <c r="J379">
        <v>0</v>
      </c>
      <c r="K379">
        <v>0</v>
      </c>
    </row>
    <row r="380" spans="1:11" x14ac:dyDescent="0.4">
      <c r="A380">
        <v>20570</v>
      </c>
      <c r="B380" t="s">
        <v>971</v>
      </c>
      <c r="C380" t="s">
        <v>564</v>
      </c>
      <c r="E380" t="s">
        <v>578</v>
      </c>
      <c r="F380">
        <v>92</v>
      </c>
      <c r="G380">
        <v>1959</v>
      </c>
      <c r="H380">
        <v>303</v>
      </c>
      <c r="I380">
        <v>9.5640000000000001</v>
      </c>
      <c r="J380">
        <v>430.33</v>
      </c>
      <c r="K380">
        <v>0</v>
      </c>
    </row>
    <row r="381" spans="1:11" x14ac:dyDescent="0.4">
      <c r="A381">
        <v>18063</v>
      </c>
      <c r="B381" t="s">
        <v>972</v>
      </c>
      <c r="C381" t="s">
        <v>552</v>
      </c>
      <c r="E381" t="s">
        <v>189</v>
      </c>
      <c r="F381">
        <v>20</v>
      </c>
      <c r="G381">
        <v>1988</v>
      </c>
      <c r="H381">
        <v>350</v>
      </c>
      <c r="I381">
        <v>8.6579999999999995</v>
      </c>
      <c r="J381">
        <v>310.47199999999998</v>
      </c>
      <c r="K381">
        <v>0</v>
      </c>
    </row>
    <row r="382" spans="1:11" x14ac:dyDescent="0.4">
      <c r="A382">
        <v>21796</v>
      </c>
      <c r="B382" t="s">
        <v>973</v>
      </c>
      <c r="C382" t="s">
        <v>642</v>
      </c>
      <c r="D382" t="s">
        <v>378</v>
      </c>
      <c r="E382" t="s">
        <v>259</v>
      </c>
      <c r="F382">
        <v>27</v>
      </c>
      <c r="G382">
        <v>1992</v>
      </c>
      <c r="H382">
        <v>539</v>
      </c>
      <c r="I382">
        <v>1.125</v>
      </c>
      <c r="J382">
        <v>43.743000000000002</v>
      </c>
      <c r="K382">
        <v>0</v>
      </c>
    </row>
    <row r="383" spans="1:11" x14ac:dyDescent="0.4">
      <c r="A383">
        <v>23257</v>
      </c>
      <c r="B383" t="s">
        <v>974</v>
      </c>
      <c r="C383" t="s">
        <v>664</v>
      </c>
      <c r="D383" t="s">
        <v>378</v>
      </c>
      <c r="E383" t="s">
        <v>176</v>
      </c>
      <c r="F383">
        <v>95</v>
      </c>
      <c r="G383">
        <v>1992</v>
      </c>
      <c r="H383">
        <v>226</v>
      </c>
      <c r="I383">
        <v>19.814</v>
      </c>
      <c r="J383">
        <v>797.04899999999998</v>
      </c>
      <c r="K383">
        <v>40</v>
      </c>
    </row>
    <row r="384" spans="1:11" x14ac:dyDescent="0.4">
      <c r="A384">
        <v>19015</v>
      </c>
      <c r="B384" t="s">
        <v>975</v>
      </c>
      <c r="C384" t="s">
        <v>566</v>
      </c>
      <c r="E384" t="s">
        <v>320</v>
      </c>
      <c r="F384">
        <v>86</v>
      </c>
      <c r="G384">
        <v>1991</v>
      </c>
      <c r="H384">
        <v>374</v>
      </c>
      <c r="I384">
        <v>2.6880000000000002</v>
      </c>
      <c r="J384">
        <v>247.65199999999999</v>
      </c>
      <c r="K384">
        <v>115</v>
      </c>
    </row>
    <row r="385" spans="1:11" x14ac:dyDescent="0.4">
      <c r="A385">
        <v>21022</v>
      </c>
      <c r="B385" t="s">
        <v>976</v>
      </c>
      <c r="C385" t="s">
        <v>513</v>
      </c>
      <c r="D385" t="s">
        <v>378</v>
      </c>
      <c r="E385" t="s">
        <v>320</v>
      </c>
      <c r="F385">
        <v>86</v>
      </c>
      <c r="G385">
        <v>1988</v>
      </c>
      <c r="H385">
        <v>678</v>
      </c>
      <c r="I385">
        <v>0</v>
      </c>
      <c r="J385">
        <v>0</v>
      </c>
      <c r="K385">
        <v>0</v>
      </c>
    </row>
    <row r="386" spans="1:11" x14ac:dyDescent="0.4">
      <c r="A386">
        <v>18074</v>
      </c>
      <c r="B386" t="s">
        <v>977</v>
      </c>
      <c r="C386" t="s">
        <v>610</v>
      </c>
      <c r="E386" t="s">
        <v>237</v>
      </c>
      <c r="F386">
        <v>1</v>
      </c>
      <c r="G386">
        <v>2006</v>
      </c>
      <c r="H386">
        <v>107</v>
      </c>
      <c r="I386">
        <v>23.5</v>
      </c>
      <c r="J386">
        <v>1673.3240000000001</v>
      </c>
      <c r="K386">
        <v>664</v>
      </c>
    </row>
    <row r="387" spans="1:11" x14ac:dyDescent="0.4">
      <c r="A387">
        <v>22125</v>
      </c>
      <c r="B387" t="s">
        <v>977</v>
      </c>
      <c r="C387" t="s">
        <v>526</v>
      </c>
      <c r="E387" t="s">
        <v>176</v>
      </c>
      <c r="F387">
        <v>95</v>
      </c>
      <c r="G387">
        <v>1952</v>
      </c>
      <c r="H387">
        <v>679</v>
      </c>
      <c r="I387">
        <v>0</v>
      </c>
      <c r="J387">
        <v>0</v>
      </c>
      <c r="K387">
        <v>0</v>
      </c>
    </row>
    <row r="388" spans="1:11" x14ac:dyDescent="0.4">
      <c r="A388">
        <v>11001</v>
      </c>
      <c r="B388" t="s">
        <v>481</v>
      </c>
      <c r="C388" t="s">
        <v>485</v>
      </c>
      <c r="E388" t="s">
        <v>978</v>
      </c>
      <c r="F388">
        <v>80</v>
      </c>
      <c r="G388">
        <v>1954</v>
      </c>
      <c r="H388">
        <v>31</v>
      </c>
      <c r="I388">
        <v>37.625</v>
      </c>
      <c r="J388">
        <v>2783.0590000000002</v>
      </c>
      <c r="K388">
        <v>1262</v>
      </c>
    </row>
    <row r="389" spans="1:11" x14ac:dyDescent="0.4">
      <c r="A389">
        <v>11039</v>
      </c>
      <c r="B389" t="s">
        <v>481</v>
      </c>
      <c r="C389" t="s">
        <v>585</v>
      </c>
      <c r="E389" t="s">
        <v>978</v>
      </c>
      <c r="F389">
        <v>80</v>
      </c>
      <c r="G389">
        <v>1980</v>
      </c>
      <c r="H389">
        <v>3</v>
      </c>
      <c r="I389">
        <v>57.5</v>
      </c>
      <c r="J389">
        <v>4178.942</v>
      </c>
      <c r="K389">
        <v>1683</v>
      </c>
    </row>
    <row r="390" spans="1:11" x14ac:dyDescent="0.4">
      <c r="A390">
        <v>15002</v>
      </c>
      <c r="B390" t="s">
        <v>481</v>
      </c>
      <c r="C390" t="s">
        <v>979</v>
      </c>
      <c r="E390" t="s">
        <v>978</v>
      </c>
      <c r="F390">
        <v>80</v>
      </c>
      <c r="G390">
        <v>1978</v>
      </c>
      <c r="H390">
        <v>680</v>
      </c>
      <c r="I390">
        <v>0</v>
      </c>
      <c r="J390">
        <v>0</v>
      </c>
      <c r="K390">
        <v>0</v>
      </c>
    </row>
    <row r="391" spans="1:11" x14ac:dyDescent="0.4">
      <c r="A391">
        <v>11002</v>
      </c>
      <c r="B391" t="s">
        <v>980</v>
      </c>
      <c r="C391" t="s">
        <v>574</v>
      </c>
      <c r="D391" t="s">
        <v>378</v>
      </c>
      <c r="E391" t="s">
        <v>978</v>
      </c>
      <c r="F391">
        <v>80</v>
      </c>
      <c r="G391">
        <v>1956</v>
      </c>
      <c r="H391">
        <v>56</v>
      </c>
      <c r="I391">
        <v>21.001000000000001</v>
      </c>
      <c r="J391">
        <v>2273.02</v>
      </c>
      <c r="K391">
        <v>1284</v>
      </c>
    </row>
    <row r="392" spans="1:11" x14ac:dyDescent="0.4">
      <c r="A392">
        <v>21063</v>
      </c>
      <c r="B392" t="s">
        <v>980</v>
      </c>
      <c r="C392" t="s">
        <v>658</v>
      </c>
      <c r="D392" t="s">
        <v>378</v>
      </c>
      <c r="E392" t="s">
        <v>779</v>
      </c>
      <c r="F392">
        <v>91</v>
      </c>
      <c r="G392">
        <v>1958</v>
      </c>
      <c r="H392">
        <v>471</v>
      </c>
      <c r="I392">
        <v>3.5950000000000002</v>
      </c>
      <c r="J392">
        <v>105.236</v>
      </c>
      <c r="K392">
        <v>0</v>
      </c>
    </row>
    <row r="393" spans="1:11" x14ac:dyDescent="0.4">
      <c r="A393">
        <v>21823</v>
      </c>
      <c r="B393" t="s">
        <v>981</v>
      </c>
      <c r="C393" t="s">
        <v>580</v>
      </c>
      <c r="E393" t="s">
        <v>424</v>
      </c>
      <c r="F393">
        <v>36</v>
      </c>
      <c r="G393">
        <v>1970</v>
      </c>
      <c r="H393">
        <v>681</v>
      </c>
      <c r="I393">
        <v>0</v>
      </c>
      <c r="J393">
        <v>0</v>
      </c>
      <c r="K393">
        <v>0</v>
      </c>
    </row>
    <row r="394" spans="1:11" x14ac:dyDescent="0.4">
      <c r="A394">
        <v>24507</v>
      </c>
      <c r="B394" t="s">
        <v>982</v>
      </c>
      <c r="C394" t="s">
        <v>564</v>
      </c>
      <c r="E394" t="s">
        <v>522</v>
      </c>
      <c r="F394">
        <v>2</v>
      </c>
      <c r="G394">
        <v>1983</v>
      </c>
      <c r="H394">
        <v>509</v>
      </c>
      <c r="I394">
        <v>1.6879999999999999</v>
      </c>
      <c r="J394">
        <v>67.322999999999993</v>
      </c>
      <c r="K394">
        <v>0</v>
      </c>
    </row>
    <row r="395" spans="1:11" x14ac:dyDescent="0.4">
      <c r="A395">
        <v>20511</v>
      </c>
      <c r="B395" t="s">
        <v>983</v>
      </c>
      <c r="C395" t="s">
        <v>678</v>
      </c>
      <c r="E395" t="s">
        <v>656</v>
      </c>
      <c r="F395">
        <v>66</v>
      </c>
      <c r="G395">
        <v>1969</v>
      </c>
      <c r="H395">
        <v>260</v>
      </c>
      <c r="I395">
        <v>11.438000000000001</v>
      </c>
      <c r="J395">
        <v>615.29300000000001</v>
      </c>
      <c r="K395">
        <v>166</v>
      </c>
    </row>
    <row r="396" spans="1:11" x14ac:dyDescent="0.4">
      <c r="A396">
        <v>13056</v>
      </c>
      <c r="B396" t="s">
        <v>984</v>
      </c>
      <c r="C396" t="s">
        <v>505</v>
      </c>
      <c r="E396" t="s">
        <v>415</v>
      </c>
      <c r="F396">
        <v>30</v>
      </c>
      <c r="G396">
        <v>1978</v>
      </c>
      <c r="H396">
        <v>324</v>
      </c>
      <c r="I396">
        <v>8.282</v>
      </c>
      <c r="J396">
        <v>357.82100000000003</v>
      </c>
      <c r="K396">
        <v>78</v>
      </c>
    </row>
    <row r="397" spans="1:11" x14ac:dyDescent="0.4">
      <c r="A397">
        <v>10071</v>
      </c>
      <c r="B397" t="s">
        <v>985</v>
      </c>
      <c r="C397" t="s">
        <v>559</v>
      </c>
      <c r="E397" t="s">
        <v>714</v>
      </c>
      <c r="F397">
        <v>21</v>
      </c>
      <c r="G397">
        <v>1958</v>
      </c>
      <c r="H397">
        <v>229</v>
      </c>
      <c r="I397">
        <v>13.141</v>
      </c>
      <c r="J397">
        <v>784.375</v>
      </c>
      <c r="K397">
        <v>279</v>
      </c>
    </row>
    <row r="398" spans="1:11" x14ac:dyDescent="0.4">
      <c r="A398">
        <v>23056</v>
      </c>
      <c r="B398" t="s">
        <v>986</v>
      </c>
      <c r="C398" t="s">
        <v>987</v>
      </c>
      <c r="D398" t="s">
        <v>378</v>
      </c>
      <c r="E398" t="s">
        <v>438</v>
      </c>
      <c r="F398">
        <v>43</v>
      </c>
      <c r="G398">
        <v>1981</v>
      </c>
      <c r="H398">
        <v>139</v>
      </c>
      <c r="I398">
        <v>23.937999999999999</v>
      </c>
      <c r="J398">
        <v>1390.846</v>
      </c>
      <c r="K398">
        <v>438</v>
      </c>
    </row>
    <row r="399" spans="1:11" x14ac:dyDescent="0.4">
      <c r="A399">
        <v>16124</v>
      </c>
      <c r="B399" t="s">
        <v>986</v>
      </c>
      <c r="C399" t="s">
        <v>493</v>
      </c>
      <c r="D399" t="s">
        <v>378</v>
      </c>
      <c r="E399" t="s">
        <v>647</v>
      </c>
      <c r="F399">
        <v>90</v>
      </c>
      <c r="G399">
        <v>1987</v>
      </c>
      <c r="H399">
        <v>119</v>
      </c>
      <c r="I399">
        <v>26.814</v>
      </c>
      <c r="J399">
        <v>1579.067</v>
      </c>
      <c r="K399">
        <v>553</v>
      </c>
    </row>
    <row r="400" spans="1:11" x14ac:dyDescent="0.4">
      <c r="A400">
        <v>12058</v>
      </c>
      <c r="B400" t="s">
        <v>988</v>
      </c>
      <c r="C400" t="s">
        <v>593</v>
      </c>
      <c r="D400" t="s">
        <v>378</v>
      </c>
      <c r="E400" t="s">
        <v>237</v>
      </c>
      <c r="F400">
        <v>1</v>
      </c>
      <c r="G400">
        <v>1979</v>
      </c>
      <c r="H400">
        <v>541</v>
      </c>
      <c r="I400">
        <v>1.375</v>
      </c>
      <c r="J400">
        <v>42.991999999999997</v>
      </c>
      <c r="K400">
        <v>0</v>
      </c>
    </row>
    <row r="401" spans="1:11" x14ac:dyDescent="0.4">
      <c r="A401">
        <v>23249</v>
      </c>
      <c r="B401" t="s">
        <v>989</v>
      </c>
      <c r="C401" t="s">
        <v>566</v>
      </c>
      <c r="D401" t="s">
        <v>546</v>
      </c>
      <c r="E401" t="s">
        <v>237</v>
      </c>
      <c r="F401">
        <v>1</v>
      </c>
      <c r="G401">
        <v>2014</v>
      </c>
      <c r="H401">
        <v>520</v>
      </c>
      <c r="I401">
        <v>1.75</v>
      </c>
      <c r="J401">
        <v>62.976999999999997</v>
      </c>
      <c r="K401">
        <v>0</v>
      </c>
    </row>
    <row r="402" spans="1:11" x14ac:dyDescent="0.4">
      <c r="A402">
        <v>16122</v>
      </c>
      <c r="B402" t="s">
        <v>990</v>
      </c>
      <c r="C402" t="s">
        <v>554</v>
      </c>
      <c r="E402" t="s">
        <v>456</v>
      </c>
      <c r="F402">
        <v>52</v>
      </c>
      <c r="G402">
        <v>1982</v>
      </c>
      <c r="H402">
        <v>280</v>
      </c>
      <c r="I402">
        <v>13.093999999999999</v>
      </c>
      <c r="J402">
        <v>538.029</v>
      </c>
      <c r="K402">
        <v>0</v>
      </c>
    </row>
    <row r="403" spans="1:11" x14ac:dyDescent="0.4">
      <c r="A403">
        <v>27088</v>
      </c>
      <c r="B403" t="s">
        <v>991</v>
      </c>
      <c r="C403" t="s">
        <v>992</v>
      </c>
      <c r="D403" t="s">
        <v>378</v>
      </c>
      <c r="E403" t="s">
        <v>189</v>
      </c>
      <c r="F403">
        <v>20</v>
      </c>
      <c r="G403">
        <v>1970</v>
      </c>
      <c r="H403">
        <v>163</v>
      </c>
      <c r="I403">
        <v>11.298</v>
      </c>
      <c r="J403">
        <v>1175.182</v>
      </c>
      <c r="K403">
        <v>628</v>
      </c>
    </row>
    <row r="404" spans="1:11" x14ac:dyDescent="0.4">
      <c r="A404">
        <v>20565</v>
      </c>
      <c r="B404" t="s">
        <v>993</v>
      </c>
      <c r="C404" t="s">
        <v>994</v>
      </c>
      <c r="E404" t="s">
        <v>522</v>
      </c>
      <c r="F404">
        <v>2</v>
      </c>
      <c r="G404">
        <v>1980</v>
      </c>
      <c r="H404">
        <v>215</v>
      </c>
      <c r="I404">
        <v>16.75</v>
      </c>
      <c r="J404">
        <v>838.274</v>
      </c>
      <c r="K404">
        <v>144</v>
      </c>
    </row>
    <row r="405" spans="1:11" x14ac:dyDescent="0.4">
      <c r="A405">
        <v>98482</v>
      </c>
      <c r="B405" t="s">
        <v>995</v>
      </c>
      <c r="C405" t="s">
        <v>552</v>
      </c>
      <c r="E405" t="s">
        <v>391</v>
      </c>
      <c r="F405">
        <v>14</v>
      </c>
      <c r="G405">
        <v>1970</v>
      </c>
      <c r="H405">
        <v>106</v>
      </c>
      <c r="I405">
        <v>24.094999999999999</v>
      </c>
      <c r="J405">
        <v>1681.3710000000001</v>
      </c>
      <c r="K405">
        <v>788</v>
      </c>
    </row>
    <row r="406" spans="1:11" x14ac:dyDescent="0.4">
      <c r="A406">
        <v>22129</v>
      </c>
      <c r="B406" t="s">
        <v>996</v>
      </c>
      <c r="C406" t="s">
        <v>601</v>
      </c>
      <c r="D406" t="s">
        <v>378</v>
      </c>
      <c r="E406" t="s">
        <v>176</v>
      </c>
      <c r="F406">
        <v>95</v>
      </c>
      <c r="G406">
        <v>1969</v>
      </c>
      <c r="H406">
        <v>682</v>
      </c>
      <c r="I406">
        <v>0</v>
      </c>
      <c r="J406">
        <v>0</v>
      </c>
      <c r="K406">
        <v>0</v>
      </c>
    </row>
    <row r="407" spans="1:11" x14ac:dyDescent="0.4">
      <c r="A407">
        <v>23248</v>
      </c>
      <c r="B407" t="s">
        <v>997</v>
      </c>
      <c r="C407" t="s">
        <v>569</v>
      </c>
      <c r="E407" t="s">
        <v>708</v>
      </c>
      <c r="F407">
        <v>82</v>
      </c>
      <c r="G407">
        <v>1967</v>
      </c>
      <c r="H407">
        <v>217</v>
      </c>
      <c r="I407">
        <v>13.750999999999999</v>
      </c>
      <c r="J407">
        <v>831.85400000000004</v>
      </c>
      <c r="K407">
        <v>255</v>
      </c>
    </row>
    <row r="408" spans="1:11" x14ac:dyDescent="0.4">
      <c r="A408">
        <v>18131</v>
      </c>
      <c r="B408" t="s">
        <v>998</v>
      </c>
      <c r="C408" t="s">
        <v>999</v>
      </c>
      <c r="D408" t="s">
        <v>378</v>
      </c>
      <c r="E408" t="s">
        <v>708</v>
      </c>
      <c r="F408">
        <v>82</v>
      </c>
      <c r="G408">
        <v>1968</v>
      </c>
      <c r="H408">
        <v>98</v>
      </c>
      <c r="I408">
        <v>28.062999999999999</v>
      </c>
      <c r="J408">
        <v>1811.32</v>
      </c>
      <c r="K408">
        <v>740</v>
      </c>
    </row>
    <row r="409" spans="1:11" x14ac:dyDescent="0.4">
      <c r="A409">
        <v>29049</v>
      </c>
      <c r="B409" t="s">
        <v>1000</v>
      </c>
      <c r="C409" t="s">
        <v>566</v>
      </c>
      <c r="E409" t="s">
        <v>160</v>
      </c>
      <c r="F409">
        <v>64</v>
      </c>
      <c r="G409">
        <v>1987</v>
      </c>
      <c r="H409">
        <v>20</v>
      </c>
      <c r="I409">
        <v>40.5</v>
      </c>
      <c r="J409">
        <v>3076.692</v>
      </c>
      <c r="K409">
        <v>1275</v>
      </c>
    </row>
    <row r="410" spans="1:11" x14ac:dyDescent="0.4">
      <c r="A410">
        <v>17031</v>
      </c>
      <c r="B410" t="s">
        <v>1001</v>
      </c>
      <c r="C410" t="s">
        <v>610</v>
      </c>
      <c r="E410" t="s">
        <v>237</v>
      </c>
      <c r="F410">
        <v>1</v>
      </c>
      <c r="G410">
        <v>2004</v>
      </c>
      <c r="H410">
        <v>556</v>
      </c>
      <c r="I410">
        <v>0.875</v>
      </c>
      <c r="J410">
        <v>33.786999999999999</v>
      </c>
      <c r="K410">
        <v>0</v>
      </c>
    </row>
    <row r="411" spans="1:11" x14ac:dyDescent="0.4">
      <c r="A411">
        <v>14046</v>
      </c>
      <c r="B411" t="s">
        <v>1002</v>
      </c>
      <c r="C411" t="s">
        <v>552</v>
      </c>
      <c r="E411" t="s">
        <v>237</v>
      </c>
      <c r="F411">
        <v>1</v>
      </c>
      <c r="G411">
        <v>1953</v>
      </c>
      <c r="H411">
        <v>529</v>
      </c>
      <c r="I411">
        <v>2.0939999999999999</v>
      </c>
      <c r="J411">
        <v>58.079000000000001</v>
      </c>
      <c r="K411">
        <v>0</v>
      </c>
    </row>
    <row r="412" spans="1:11" x14ac:dyDescent="0.4">
      <c r="A412">
        <v>18001</v>
      </c>
      <c r="B412" t="s">
        <v>1003</v>
      </c>
      <c r="C412" t="s">
        <v>552</v>
      </c>
      <c r="E412" t="s">
        <v>708</v>
      </c>
      <c r="F412">
        <v>82</v>
      </c>
      <c r="G412">
        <v>1988</v>
      </c>
      <c r="H412">
        <v>125</v>
      </c>
      <c r="I412">
        <v>32.625999999999998</v>
      </c>
      <c r="J412">
        <v>1507.405</v>
      </c>
      <c r="K412">
        <v>332</v>
      </c>
    </row>
    <row r="413" spans="1:11" x14ac:dyDescent="0.4">
      <c r="A413">
        <v>13004</v>
      </c>
      <c r="B413" t="s">
        <v>1004</v>
      </c>
      <c r="C413" t="s">
        <v>569</v>
      </c>
      <c r="E413" t="s">
        <v>163</v>
      </c>
      <c r="F413">
        <v>96</v>
      </c>
      <c r="G413">
        <v>1965</v>
      </c>
      <c r="H413">
        <v>257</v>
      </c>
      <c r="I413">
        <v>14.689</v>
      </c>
      <c r="J413">
        <v>630.15700000000004</v>
      </c>
      <c r="K413">
        <v>90</v>
      </c>
    </row>
    <row r="414" spans="1:11" x14ac:dyDescent="0.4">
      <c r="A414">
        <v>13001</v>
      </c>
      <c r="B414" t="s">
        <v>1005</v>
      </c>
      <c r="C414" t="s">
        <v>1006</v>
      </c>
      <c r="D414" t="s">
        <v>378</v>
      </c>
      <c r="E414" t="s">
        <v>163</v>
      </c>
      <c r="F414">
        <v>96</v>
      </c>
      <c r="G414">
        <v>1970</v>
      </c>
      <c r="H414">
        <v>181</v>
      </c>
      <c r="I414">
        <v>14.002000000000001</v>
      </c>
      <c r="J414">
        <v>1054.1959999999999</v>
      </c>
      <c r="K414">
        <v>475</v>
      </c>
    </row>
    <row r="415" spans="1:11" x14ac:dyDescent="0.4">
      <c r="A415">
        <v>21821</v>
      </c>
      <c r="B415" t="s">
        <v>1007</v>
      </c>
      <c r="C415" t="s">
        <v>630</v>
      </c>
      <c r="E415" t="s">
        <v>424</v>
      </c>
      <c r="F415">
        <v>36</v>
      </c>
      <c r="G415">
        <v>1960</v>
      </c>
      <c r="H415">
        <v>683</v>
      </c>
      <c r="I415">
        <v>0</v>
      </c>
      <c r="J415">
        <v>0</v>
      </c>
      <c r="K415">
        <v>0</v>
      </c>
    </row>
    <row r="416" spans="1:11" x14ac:dyDescent="0.4">
      <c r="A416">
        <v>19041</v>
      </c>
      <c r="B416" t="s">
        <v>1007</v>
      </c>
      <c r="C416" t="s">
        <v>498</v>
      </c>
      <c r="E416" t="s">
        <v>237</v>
      </c>
      <c r="F416">
        <v>1</v>
      </c>
      <c r="G416">
        <v>1969</v>
      </c>
      <c r="H416">
        <v>304</v>
      </c>
      <c r="I416">
        <v>12</v>
      </c>
      <c r="J416">
        <v>423.02499999999998</v>
      </c>
      <c r="K416">
        <v>0</v>
      </c>
    </row>
    <row r="417" spans="1:11" x14ac:dyDescent="0.4">
      <c r="A417">
        <v>23054</v>
      </c>
      <c r="B417" t="s">
        <v>1007</v>
      </c>
      <c r="C417" t="s">
        <v>569</v>
      </c>
      <c r="E417" t="s">
        <v>237</v>
      </c>
      <c r="F417">
        <v>1</v>
      </c>
      <c r="G417">
        <v>1978</v>
      </c>
      <c r="H417">
        <v>429</v>
      </c>
      <c r="I417">
        <v>4.3129999999999997</v>
      </c>
      <c r="J417">
        <v>155.95099999999999</v>
      </c>
      <c r="K417">
        <v>0</v>
      </c>
    </row>
    <row r="418" spans="1:11" x14ac:dyDescent="0.4">
      <c r="A418">
        <v>19025</v>
      </c>
      <c r="B418" t="s">
        <v>1008</v>
      </c>
      <c r="C418" t="s">
        <v>566</v>
      </c>
      <c r="E418" t="s">
        <v>488</v>
      </c>
      <c r="F418">
        <v>79</v>
      </c>
      <c r="G418">
        <v>1967</v>
      </c>
      <c r="H418">
        <v>137</v>
      </c>
      <c r="I418">
        <v>22.280999999999999</v>
      </c>
      <c r="J418">
        <v>1413.2280000000001</v>
      </c>
      <c r="K418">
        <v>571</v>
      </c>
    </row>
    <row r="419" spans="1:11" x14ac:dyDescent="0.4">
      <c r="A419">
        <v>18076</v>
      </c>
      <c r="B419" t="s">
        <v>1009</v>
      </c>
      <c r="C419" t="s">
        <v>1010</v>
      </c>
      <c r="E419" t="s">
        <v>180</v>
      </c>
      <c r="F419">
        <v>89</v>
      </c>
      <c r="G419">
        <v>1960</v>
      </c>
      <c r="H419">
        <v>291</v>
      </c>
      <c r="I419">
        <v>10.313000000000001</v>
      </c>
      <c r="J419">
        <v>494.24400000000003</v>
      </c>
      <c r="K419">
        <v>126</v>
      </c>
    </row>
    <row r="420" spans="1:11" x14ac:dyDescent="0.4">
      <c r="A420">
        <v>18077</v>
      </c>
      <c r="B420" t="s">
        <v>1011</v>
      </c>
      <c r="C420" t="s">
        <v>781</v>
      </c>
      <c r="D420" t="s">
        <v>378</v>
      </c>
      <c r="E420" t="s">
        <v>180</v>
      </c>
      <c r="F420">
        <v>89</v>
      </c>
      <c r="G420">
        <v>1965</v>
      </c>
      <c r="H420">
        <v>684</v>
      </c>
      <c r="I420">
        <v>0</v>
      </c>
      <c r="J420">
        <v>0</v>
      </c>
      <c r="K420">
        <v>0</v>
      </c>
    </row>
    <row r="421" spans="1:11" x14ac:dyDescent="0.4">
      <c r="A421">
        <v>16061</v>
      </c>
      <c r="B421" t="s">
        <v>1012</v>
      </c>
      <c r="C421" t="s">
        <v>539</v>
      </c>
      <c r="E421" t="s">
        <v>514</v>
      </c>
      <c r="F421">
        <v>83</v>
      </c>
      <c r="G421">
        <v>1969</v>
      </c>
      <c r="H421">
        <v>528</v>
      </c>
      <c r="I421">
        <v>1.375</v>
      </c>
      <c r="J421">
        <v>58.387</v>
      </c>
      <c r="K421">
        <v>0</v>
      </c>
    </row>
    <row r="422" spans="1:11" x14ac:dyDescent="0.4">
      <c r="A422">
        <v>10012</v>
      </c>
      <c r="B422" t="s">
        <v>1013</v>
      </c>
      <c r="C422" t="s">
        <v>566</v>
      </c>
      <c r="E422" t="s">
        <v>656</v>
      </c>
      <c r="F422">
        <v>66</v>
      </c>
      <c r="G422">
        <v>1975</v>
      </c>
      <c r="H422">
        <v>117</v>
      </c>
      <c r="I422">
        <v>29</v>
      </c>
      <c r="J422">
        <v>1600.4639999999999</v>
      </c>
      <c r="K422">
        <v>560</v>
      </c>
    </row>
    <row r="423" spans="1:11" x14ac:dyDescent="0.4">
      <c r="A423">
        <v>12076</v>
      </c>
      <c r="B423" t="s">
        <v>1014</v>
      </c>
      <c r="C423" t="s">
        <v>513</v>
      </c>
      <c r="D423" t="s">
        <v>378</v>
      </c>
      <c r="E423" t="s">
        <v>714</v>
      </c>
      <c r="F423">
        <v>21</v>
      </c>
      <c r="G423">
        <v>1991</v>
      </c>
      <c r="H423">
        <v>685</v>
      </c>
      <c r="I423">
        <v>0</v>
      </c>
      <c r="J423">
        <v>0</v>
      </c>
      <c r="K423">
        <v>0</v>
      </c>
    </row>
    <row r="424" spans="1:11" x14ac:dyDescent="0.4">
      <c r="A424">
        <v>16128</v>
      </c>
      <c r="B424" t="s">
        <v>1015</v>
      </c>
      <c r="C424" t="s">
        <v>1016</v>
      </c>
      <c r="D424" t="s">
        <v>546</v>
      </c>
      <c r="E424" t="s">
        <v>522</v>
      </c>
      <c r="F424">
        <v>2</v>
      </c>
      <c r="G424">
        <v>2009</v>
      </c>
      <c r="H424">
        <v>185</v>
      </c>
      <c r="I424">
        <v>18</v>
      </c>
      <c r="J424">
        <v>1043.4179999999999</v>
      </c>
      <c r="K424">
        <v>308</v>
      </c>
    </row>
    <row r="425" spans="1:11" x14ac:dyDescent="0.4">
      <c r="A425">
        <v>18099</v>
      </c>
      <c r="B425" t="s">
        <v>1015</v>
      </c>
      <c r="C425" t="s">
        <v>481</v>
      </c>
      <c r="E425" t="s">
        <v>522</v>
      </c>
      <c r="F425">
        <v>2</v>
      </c>
      <c r="G425">
        <v>1974</v>
      </c>
      <c r="H425">
        <v>112</v>
      </c>
      <c r="I425">
        <v>30.75</v>
      </c>
      <c r="J425">
        <v>1632.9169999999999</v>
      </c>
      <c r="K425">
        <v>411</v>
      </c>
    </row>
    <row r="426" spans="1:11" x14ac:dyDescent="0.4">
      <c r="A426">
        <v>13064</v>
      </c>
      <c r="B426" t="s">
        <v>1017</v>
      </c>
      <c r="C426" t="s">
        <v>481</v>
      </c>
      <c r="E426" t="s">
        <v>237</v>
      </c>
      <c r="F426">
        <v>1</v>
      </c>
      <c r="G426">
        <v>1998</v>
      </c>
      <c r="H426">
        <v>9</v>
      </c>
      <c r="I426">
        <v>52.5</v>
      </c>
      <c r="J426">
        <v>3559.1039999999998</v>
      </c>
      <c r="K426">
        <v>1540</v>
      </c>
    </row>
    <row r="427" spans="1:11" x14ac:dyDescent="0.4">
      <c r="A427">
        <v>28029</v>
      </c>
      <c r="B427" t="s">
        <v>1018</v>
      </c>
      <c r="C427" t="s">
        <v>574</v>
      </c>
      <c r="D427" t="s">
        <v>378</v>
      </c>
      <c r="E427" t="s">
        <v>225</v>
      </c>
      <c r="F427">
        <v>62</v>
      </c>
      <c r="G427">
        <v>1968</v>
      </c>
      <c r="H427">
        <v>411</v>
      </c>
      <c r="I427">
        <v>5.875</v>
      </c>
      <c r="J427">
        <v>169.29400000000001</v>
      </c>
      <c r="K427">
        <v>0</v>
      </c>
    </row>
    <row r="428" spans="1:11" x14ac:dyDescent="0.4">
      <c r="A428">
        <v>28030</v>
      </c>
      <c r="B428" t="s">
        <v>1019</v>
      </c>
      <c r="C428" t="s">
        <v>526</v>
      </c>
      <c r="E428" t="s">
        <v>225</v>
      </c>
      <c r="F428">
        <v>62</v>
      </c>
      <c r="G428">
        <v>1967</v>
      </c>
      <c r="H428">
        <v>204</v>
      </c>
      <c r="I428">
        <v>16.158000000000001</v>
      </c>
      <c r="J428">
        <v>907.51499999999999</v>
      </c>
      <c r="K428">
        <v>333</v>
      </c>
    </row>
    <row r="429" spans="1:11" x14ac:dyDescent="0.4">
      <c r="A429">
        <v>99532</v>
      </c>
      <c r="B429" t="s">
        <v>1020</v>
      </c>
      <c r="C429" t="s">
        <v>603</v>
      </c>
      <c r="E429" t="s">
        <v>263</v>
      </c>
      <c r="F429">
        <v>17</v>
      </c>
      <c r="G429">
        <v>1965</v>
      </c>
      <c r="H429">
        <v>1</v>
      </c>
      <c r="I429">
        <v>59</v>
      </c>
      <c r="J429">
        <v>4518.4359999999997</v>
      </c>
      <c r="K429">
        <v>1890</v>
      </c>
    </row>
    <row r="430" spans="1:11" x14ac:dyDescent="0.4">
      <c r="A430">
        <v>21775</v>
      </c>
      <c r="B430" t="s">
        <v>1020</v>
      </c>
      <c r="C430" t="s">
        <v>566</v>
      </c>
      <c r="E430" t="s">
        <v>263</v>
      </c>
      <c r="F430">
        <v>17</v>
      </c>
      <c r="G430">
        <v>1991</v>
      </c>
      <c r="H430">
        <v>12</v>
      </c>
      <c r="I430">
        <v>37.938000000000002</v>
      </c>
      <c r="J430">
        <v>3369.1170000000002</v>
      </c>
      <c r="K430">
        <v>1504</v>
      </c>
    </row>
    <row r="431" spans="1:11" x14ac:dyDescent="0.4">
      <c r="A431">
        <v>21774</v>
      </c>
      <c r="B431" t="s">
        <v>1020</v>
      </c>
      <c r="C431" t="s">
        <v>554</v>
      </c>
      <c r="E431" t="s">
        <v>263</v>
      </c>
      <c r="F431">
        <v>17</v>
      </c>
      <c r="G431">
        <v>1994</v>
      </c>
      <c r="H431">
        <v>7</v>
      </c>
      <c r="I431">
        <v>49.75</v>
      </c>
      <c r="J431">
        <v>3660.69</v>
      </c>
      <c r="K431">
        <v>1668</v>
      </c>
    </row>
    <row r="432" spans="1:11" x14ac:dyDescent="0.4">
      <c r="A432">
        <v>24235</v>
      </c>
      <c r="B432" t="s">
        <v>1021</v>
      </c>
      <c r="C432" t="s">
        <v>574</v>
      </c>
      <c r="D432" t="s">
        <v>378</v>
      </c>
      <c r="E432" t="s">
        <v>197</v>
      </c>
      <c r="F432">
        <v>15</v>
      </c>
      <c r="G432">
        <v>1995</v>
      </c>
      <c r="H432">
        <v>123</v>
      </c>
      <c r="I432">
        <v>18.314</v>
      </c>
      <c r="J432">
        <v>1538.6559999999999</v>
      </c>
      <c r="K432">
        <v>688</v>
      </c>
    </row>
    <row r="433" spans="1:11" x14ac:dyDescent="0.4">
      <c r="A433">
        <v>20702</v>
      </c>
      <c r="B433" t="s">
        <v>1021</v>
      </c>
      <c r="C433" t="s">
        <v>852</v>
      </c>
      <c r="D433" t="s">
        <v>378</v>
      </c>
      <c r="E433" t="s">
        <v>263</v>
      </c>
      <c r="F433">
        <v>17</v>
      </c>
      <c r="G433">
        <v>1969</v>
      </c>
      <c r="H433">
        <v>279</v>
      </c>
      <c r="I433">
        <v>7.5</v>
      </c>
      <c r="J433">
        <v>538.75</v>
      </c>
      <c r="K433">
        <v>185</v>
      </c>
    </row>
    <row r="434" spans="1:11" x14ac:dyDescent="0.4">
      <c r="A434">
        <v>15076</v>
      </c>
      <c r="B434" t="s">
        <v>1022</v>
      </c>
      <c r="C434" t="s">
        <v>495</v>
      </c>
      <c r="E434" t="s">
        <v>248</v>
      </c>
      <c r="F434">
        <v>13</v>
      </c>
      <c r="G434">
        <v>1984</v>
      </c>
      <c r="H434">
        <v>588</v>
      </c>
      <c r="I434">
        <v>0.78100000000000003</v>
      </c>
      <c r="J434">
        <v>17.783000000000001</v>
      </c>
      <c r="K434">
        <v>0</v>
      </c>
    </row>
    <row r="435" spans="1:11" x14ac:dyDescent="0.4">
      <c r="A435">
        <v>26060</v>
      </c>
      <c r="B435" t="s">
        <v>1023</v>
      </c>
      <c r="C435" t="s">
        <v>566</v>
      </c>
      <c r="E435" t="s">
        <v>259</v>
      </c>
      <c r="F435">
        <v>27</v>
      </c>
      <c r="G435">
        <v>1953</v>
      </c>
      <c r="H435">
        <v>400</v>
      </c>
      <c r="I435">
        <v>5.9690000000000003</v>
      </c>
      <c r="J435">
        <v>193.57300000000001</v>
      </c>
      <c r="K435">
        <v>0</v>
      </c>
    </row>
    <row r="436" spans="1:11" x14ac:dyDescent="0.4">
      <c r="A436">
        <v>15047</v>
      </c>
      <c r="B436" t="s">
        <v>1024</v>
      </c>
      <c r="C436" t="s">
        <v>498</v>
      </c>
      <c r="E436" t="s">
        <v>166</v>
      </c>
      <c r="F436">
        <v>54</v>
      </c>
      <c r="G436">
        <v>1978</v>
      </c>
      <c r="H436">
        <v>213</v>
      </c>
      <c r="I436">
        <v>10.750999999999999</v>
      </c>
      <c r="J436">
        <v>846.82299999999998</v>
      </c>
      <c r="K436">
        <v>384</v>
      </c>
    </row>
    <row r="437" spans="1:11" x14ac:dyDescent="0.4">
      <c r="A437">
        <v>16137</v>
      </c>
      <c r="B437" t="s">
        <v>1025</v>
      </c>
      <c r="C437" t="s">
        <v>1026</v>
      </c>
      <c r="D437" t="s">
        <v>378</v>
      </c>
      <c r="E437" t="s">
        <v>488</v>
      </c>
      <c r="F437">
        <v>79</v>
      </c>
      <c r="G437">
        <v>1986</v>
      </c>
      <c r="H437">
        <v>686</v>
      </c>
      <c r="I437">
        <v>0</v>
      </c>
      <c r="J437">
        <v>0</v>
      </c>
      <c r="K437">
        <v>0</v>
      </c>
    </row>
    <row r="438" spans="1:11" x14ac:dyDescent="0.4">
      <c r="A438">
        <v>24225</v>
      </c>
      <c r="B438" t="s">
        <v>1027</v>
      </c>
      <c r="C438" t="s">
        <v>498</v>
      </c>
      <c r="E438" t="s">
        <v>499</v>
      </c>
      <c r="F438">
        <v>51</v>
      </c>
      <c r="G438">
        <v>1945</v>
      </c>
      <c r="H438">
        <v>687</v>
      </c>
      <c r="I438">
        <v>0</v>
      </c>
      <c r="J438">
        <v>0</v>
      </c>
      <c r="K438">
        <v>0</v>
      </c>
    </row>
    <row r="439" spans="1:11" x14ac:dyDescent="0.4">
      <c r="A439">
        <v>23253</v>
      </c>
      <c r="B439" t="s">
        <v>1028</v>
      </c>
      <c r="C439" t="s">
        <v>655</v>
      </c>
      <c r="E439" t="s">
        <v>160</v>
      </c>
      <c r="F439">
        <v>64</v>
      </c>
      <c r="G439">
        <v>1990</v>
      </c>
      <c r="H439">
        <v>237</v>
      </c>
      <c r="I439">
        <v>15.313000000000001</v>
      </c>
      <c r="J439">
        <v>712.28599999999994</v>
      </c>
      <c r="K439">
        <v>145</v>
      </c>
    </row>
    <row r="440" spans="1:11" x14ac:dyDescent="0.4">
      <c r="A440">
        <v>23239</v>
      </c>
      <c r="B440" t="s">
        <v>1029</v>
      </c>
      <c r="C440" t="s">
        <v>587</v>
      </c>
      <c r="D440" t="s">
        <v>378</v>
      </c>
      <c r="E440" t="s">
        <v>516</v>
      </c>
      <c r="F440">
        <v>81</v>
      </c>
      <c r="G440">
        <v>1961</v>
      </c>
      <c r="H440">
        <v>236</v>
      </c>
      <c r="I440">
        <v>14.861000000000001</v>
      </c>
      <c r="J440">
        <v>721.16399999999999</v>
      </c>
      <c r="K440">
        <v>134</v>
      </c>
    </row>
    <row r="441" spans="1:11" x14ac:dyDescent="0.4">
      <c r="A441">
        <v>23211</v>
      </c>
      <c r="B441" t="s">
        <v>1030</v>
      </c>
      <c r="C441" t="s">
        <v>585</v>
      </c>
      <c r="E441" t="s">
        <v>185</v>
      </c>
      <c r="F441">
        <v>63</v>
      </c>
      <c r="G441">
        <v>2001</v>
      </c>
      <c r="H441">
        <v>422</v>
      </c>
      <c r="I441">
        <v>5.625</v>
      </c>
      <c r="J441">
        <v>161.70500000000001</v>
      </c>
      <c r="K441">
        <v>0</v>
      </c>
    </row>
    <row r="442" spans="1:11" x14ac:dyDescent="0.4">
      <c r="A442">
        <v>29037</v>
      </c>
      <c r="B442" t="s">
        <v>1031</v>
      </c>
      <c r="C442" t="s">
        <v>1032</v>
      </c>
      <c r="E442" t="s">
        <v>263</v>
      </c>
      <c r="F442">
        <v>17</v>
      </c>
      <c r="G442">
        <v>1974</v>
      </c>
      <c r="H442">
        <v>312</v>
      </c>
      <c r="I442">
        <v>7.157</v>
      </c>
      <c r="J442">
        <v>400.41899999999998</v>
      </c>
      <c r="K442">
        <v>140</v>
      </c>
    </row>
    <row r="443" spans="1:11" x14ac:dyDescent="0.4">
      <c r="A443">
        <v>24535</v>
      </c>
      <c r="B443" t="s">
        <v>1033</v>
      </c>
      <c r="C443" t="s">
        <v>557</v>
      </c>
      <c r="D443" t="s">
        <v>546</v>
      </c>
      <c r="E443" t="s">
        <v>237</v>
      </c>
      <c r="F443">
        <v>1</v>
      </c>
      <c r="G443">
        <v>2011</v>
      </c>
      <c r="H443">
        <v>688</v>
      </c>
      <c r="I443">
        <v>0</v>
      </c>
      <c r="J443">
        <v>0</v>
      </c>
      <c r="K443">
        <v>0</v>
      </c>
    </row>
    <row r="444" spans="1:11" x14ac:dyDescent="0.4">
      <c r="A444">
        <v>98446</v>
      </c>
      <c r="B444" t="s">
        <v>1034</v>
      </c>
      <c r="C444" t="s">
        <v>485</v>
      </c>
      <c r="E444" t="s">
        <v>189</v>
      </c>
      <c r="F444">
        <v>20</v>
      </c>
      <c r="G444">
        <v>1969</v>
      </c>
      <c r="H444">
        <v>114</v>
      </c>
      <c r="I444">
        <v>29.875</v>
      </c>
      <c r="J444">
        <v>1623.3489999999999</v>
      </c>
      <c r="K444">
        <v>328</v>
      </c>
    </row>
    <row r="445" spans="1:11" x14ac:dyDescent="0.4">
      <c r="A445">
        <v>19019</v>
      </c>
      <c r="B445" t="s">
        <v>1035</v>
      </c>
      <c r="C445" t="s">
        <v>1036</v>
      </c>
      <c r="E445" t="s">
        <v>391</v>
      </c>
      <c r="F445">
        <v>14</v>
      </c>
      <c r="G445">
        <v>1986</v>
      </c>
      <c r="H445">
        <v>42</v>
      </c>
      <c r="I445">
        <v>29.626000000000001</v>
      </c>
      <c r="J445">
        <v>2402.6390000000001</v>
      </c>
      <c r="K445">
        <v>1048</v>
      </c>
    </row>
    <row r="446" spans="1:11" x14ac:dyDescent="0.4">
      <c r="A446">
        <v>22178</v>
      </c>
      <c r="B446" t="s">
        <v>1037</v>
      </c>
      <c r="C446" t="s">
        <v>886</v>
      </c>
      <c r="D446" t="s">
        <v>378</v>
      </c>
      <c r="E446" t="s">
        <v>391</v>
      </c>
      <c r="F446">
        <v>14</v>
      </c>
      <c r="G446">
        <v>1975</v>
      </c>
      <c r="H446">
        <v>573</v>
      </c>
      <c r="I446">
        <v>0.625</v>
      </c>
      <c r="J446">
        <v>23.745000000000001</v>
      </c>
      <c r="K446">
        <v>0</v>
      </c>
    </row>
    <row r="447" spans="1:11" x14ac:dyDescent="0.4">
      <c r="A447">
        <v>16001</v>
      </c>
      <c r="B447" t="s">
        <v>1038</v>
      </c>
      <c r="C447" t="s">
        <v>589</v>
      </c>
      <c r="E447" t="s">
        <v>355</v>
      </c>
      <c r="F447">
        <v>42</v>
      </c>
      <c r="G447">
        <v>1981</v>
      </c>
      <c r="H447">
        <v>301</v>
      </c>
      <c r="I447">
        <v>6.0629999999999997</v>
      </c>
      <c r="J447">
        <v>431.93200000000002</v>
      </c>
      <c r="K447">
        <v>133</v>
      </c>
    </row>
    <row r="448" spans="1:11" x14ac:dyDescent="0.4">
      <c r="A448">
        <v>24519</v>
      </c>
      <c r="B448" t="s">
        <v>1039</v>
      </c>
      <c r="C448" t="s">
        <v>652</v>
      </c>
      <c r="D448" t="s">
        <v>378</v>
      </c>
      <c r="E448" t="s">
        <v>799</v>
      </c>
      <c r="F448">
        <v>97</v>
      </c>
      <c r="G448">
        <v>2002</v>
      </c>
      <c r="H448">
        <v>689</v>
      </c>
      <c r="I448">
        <v>0</v>
      </c>
      <c r="J448">
        <v>0</v>
      </c>
      <c r="K448">
        <v>0</v>
      </c>
    </row>
    <row r="449" spans="1:11" x14ac:dyDescent="0.4">
      <c r="A449">
        <v>27062</v>
      </c>
      <c r="B449" t="s">
        <v>1040</v>
      </c>
      <c r="C449" t="s">
        <v>630</v>
      </c>
      <c r="E449" t="s">
        <v>304</v>
      </c>
      <c r="F449">
        <v>45</v>
      </c>
      <c r="G449">
        <v>1954</v>
      </c>
      <c r="H449">
        <v>159</v>
      </c>
      <c r="I449">
        <v>25.375</v>
      </c>
      <c r="J449">
        <v>1194.8789999999999</v>
      </c>
      <c r="K449">
        <v>359</v>
      </c>
    </row>
    <row r="450" spans="1:11" x14ac:dyDescent="0.4">
      <c r="A450">
        <v>21080</v>
      </c>
      <c r="B450" t="s">
        <v>1041</v>
      </c>
      <c r="C450" t="s">
        <v>526</v>
      </c>
      <c r="E450" t="s">
        <v>739</v>
      </c>
      <c r="F450">
        <v>85</v>
      </c>
      <c r="G450">
        <v>1991</v>
      </c>
      <c r="H450">
        <v>690</v>
      </c>
      <c r="I450">
        <v>0</v>
      </c>
      <c r="J450">
        <v>0</v>
      </c>
      <c r="K450">
        <v>0</v>
      </c>
    </row>
    <row r="451" spans="1:11" x14ac:dyDescent="0.4">
      <c r="A451">
        <v>18087</v>
      </c>
      <c r="B451" t="s">
        <v>1042</v>
      </c>
      <c r="C451" t="s">
        <v>490</v>
      </c>
      <c r="E451" t="s">
        <v>647</v>
      </c>
      <c r="F451">
        <v>90</v>
      </c>
      <c r="G451">
        <v>1960</v>
      </c>
      <c r="H451">
        <v>570</v>
      </c>
      <c r="I451">
        <v>0.84399999999999997</v>
      </c>
      <c r="J451">
        <v>28.058</v>
      </c>
      <c r="K451">
        <v>0</v>
      </c>
    </row>
    <row r="452" spans="1:11" x14ac:dyDescent="0.4">
      <c r="A452">
        <v>18088</v>
      </c>
      <c r="B452" t="s">
        <v>1043</v>
      </c>
      <c r="C452" t="s">
        <v>1044</v>
      </c>
      <c r="D452" t="s">
        <v>378</v>
      </c>
      <c r="E452" t="s">
        <v>647</v>
      </c>
      <c r="F452">
        <v>90</v>
      </c>
      <c r="G452">
        <v>1965</v>
      </c>
      <c r="H452">
        <v>691</v>
      </c>
      <c r="I452">
        <v>0</v>
      </c>
      <c r="J452">
        <v>0</v>
      </c>
      <c r="K452">
        <v>0</v>
      </c>
    </row>
    <row r="453" spans="1:11" x14ac:dyDescent="0.4">
      <c r="A453">
        <v>98457</v>
      </c>
      <c r="B453" t="s">
        <v>1045</v>
      </c>
      <c r="C453" t="s">
        <v>539</v>
      </c>
      <c r="E453" t="s">
        <v>189</v>
      </c>
      <c r="F453">
        <v>20</v>
      </c>
      <c r="G453">
        <v>1960</v>
      </c>
      <c r="H453">
        <v>337</v>
      </c>
      <c r="I453">
        <v>7.532</v>
      </c>
      <c r="J453">
        <v>336.70600000000002</v>
      </c>
      <c r="K453">
        <v>0</v>
      </c>
    </row>
    <row r="454" spans="1:11" x14ac:dyDescent="0.4">
      <c r="A454">
        <v>18045</v>
      </c>
      <c r="B454" t="s">
        <v>1046</v>
      </c>
      <c r="C454" t="s">
        <v>1047</v>
      </c>
      <c r="D454" t="s">
        <v>378</v>
      </c>
      <c r="E454" t="s">
        <v>415</v>
      </c>
      <c r="F454">
        <v>30</v>
      </c>
      <c r="G454">
        <v>1977</v>
      </c>
      <c r="H454">
        <v>692</v>
      </c>
      <c r="I454">
        <v>0</v>
      </c>
      <c r="J454">
        <v>0</v>
      </c>
      <c r="K454">
        <v>0</v>
      </c>
    </row>
    <row r="455" spans="1:11" x14ac:dyDescent="0.4">
      <c r="A455">
        <v>20614</v>
      </c>
      <c r="B455" t="s">
        <v>1048</v>
      </c>
      <c r="C455" t="s">
        <v>626</v>
      </c>
      <c r="D455" t="s">
        <v>378</v>
      </c>
      <c r="E455" t="s">
        <v>729</v>
      </c>
      <c r="F455">
        <v>87</v>
      </c>
      <c r="G455">
        <v>1950</v>
      </c>
      <c r="H455">
        <v>174</v>
      </c>
      <c r="I455">
        <v>14.936999999999999</v>
      </c>
      <c r="J455">
        <v>1110.338</v>
      </c>
      <c r="K455">
        <v>604</v>
      </c>
    </row>
    <row r="456" spans="1:11" x14ac:dyDescent="0.4">
      <c r="A456">
        <v>12053</v>
      </c>
      <c r="B456" t="s">
        <v>1049</v>
      </c>
      <c r="C456" t="s">
        <v>603</v>
      </c>
      <c r="E456" t="s">
        <v>724</v>
      </c>
      <c r="F456">
        <v>56</v>
      </c>
      <c r="G456">
        <v>1970</v>
      </c>
      <c r="H456">
        <v>532</v>
      </c>
      <c r="I456">
        <v>1.3129999999999999</v>
      </c>
      <c r="J456">
        <v>51.895000000000003</v>
      </c>
      <c r="K456">
        <v>0</v>
      </c>
    </row>
    <row r="457" spans="1:11" x14ac:dyDescent="0.4">
      <c r="A457">
        <v>22108</v>
      </c>
      <c r="B457" t="s">
        <v>1050</v>
      </c>
      <c r="C457" t="s">
        <v>778</v>
      </c>
      <c r="E457" t="s">
        <v>194</v>
      </c>
      <c r="F457">
        <v>33</v>
      </c>
      <c r="G457">
        <v>1979</v>
      </c>
      <c r="H457">
        <v>693</v>
      </c>
      <c r="I457">
        <v>0</v>
      </c>
      <c r="J457">
        <v>0</v>
      </c>
      <c r="K457">
        <v>0</v>
      </c>
    </row>
    <row r="458" spans="1:11" x14ac:dyDescent="0.4">
      <c r="A458">
        <v>13011</v>
      </c>
      <c r="B458" t="s">
        <v>1050</v>
      </c>
      <c r="C458" t="s">
        <v>485</v>
      </c>
      <c r="E458" t="s">
        <v>570</v>
      </c>
      <c r="F458">
        <v>75</v>
      </c>
      <c r="G458">
        <v>1958</v>
      </c>
      <c r="H458">
        <v>347</v>
      </c>
      <c r="I458">
        <v>6.407</v>
      </c>
      <c r="J458">
        <v>312.548</v>
      </c>
      <c r="K458">
        <v>61</v>
      </c>
    </row>
    <row r="459" spans="1:11" x14ac:dyDescent="0.4">
      <c r="A459">
        <v>23224</v>
      </c>
      <c r="B459" t="s">
        <v>1051</v>
      </c>
      <c r="C459" t="s">
        <v>1006</v>
      </c>
      <c r="D459" t="s">
        <v>378</v>
      </c>
      <c r="E459" t="s">
        <v>729</v>
      </c>
      <c r="F459">
        <v>87</v>
      </c>
      <c r="G459">
        <v>1950</v>
      </c>
      <c r="H459">
        <v>518</v>
      </c>
      <c r="I459">
        <v>1.032</v>
      </c>
      <c r="J459">
        <v>63.037999999999997</v>
      </c>
      <c r="K459">
        <v>21</v>
      </c>
    </row>
    <row r="460" spans="1:11" x14ac:dyDescent="0.4">
      <c r="A460">
        <v>16058</v>
      </c>
      <c r="B460" t="s">
        <v>1052</v>
      </c>
      <c r="C460" t="s">
        <v>539</v>
      </c>
      <c r="E460" t="s">
        <v>514</v>
      </c>
      <c r="F460">
        <v>83</v>
      </c>
      <c r="G460">
        <v>1975</v>
      </c>
      <c r="H460">
        <v>249</v>
      </c>
      <c r="I460">
        <v>9.0630000000000006</v>
      </c>
      <c r="J460">
        <v>656.03700000000003</v>
      </c>
      <c r="K460">
        <v>261</v>
      </c>
    </row>
    <row r="461" spans="1:11" x14ac:dyDescent="0.4">
      <c r="A461">
        <v>24511</v>
      </c>
      <c r="B461" t="s">
        <v>1053</v>
      </c>
      <c r="C461" t="s">
        <v>646</v>
      </c>
      <c r="D461" t="s">
        <v>546</v>
      </c>
      <c r="E461" t="s">
        <v>647</v>
      </c>
      <c r="F461">
        <v>90</v>
      </c>
      <c r="G461">
        <v>2013</v>
      </c>
      <c r="H461">
        <v>694</v>
      </c>
      <c r="I461">
        <v>0</v>
      </c>
      <c r="J461">
        <v>0</v>
      </c>
      <c r="K461">
        <v>0</v>
      </c>
    </row>
    <row r="462" spans="1:11" x14ac:dyDescent="0.4">
      <c r="A462">
        <v>24310</v>
      </c>
      <c r="B462" t="s">
        <v>1054</v>
      </c>
      <c r="C462" t="s">
        <v>963</v>
      </c>
      <c r="E462" t="s">
        <v>653</v>
      </c>
      <c r="F462">
        <v>16</v>
      </c>
      <c r="G462">
        <v>1990</v>
      </c>
      <c r="H462">
        <v>93</v>
      </c>
      <c r="I462">
        <v>26.5</v>
      </c>
      <c r="J462">
        <v>1839.0309999999999</v>
      </c>
      <c r="K462">
        <v>624</v>
      </c>
    </row>
    <row r="463" spans="1:11" x14ac:dyDescent="0.4">
      <c r="A463">
        <v>20576</v>
      </c>
      <c r="B463" t="s">
        <v>1055</v>
      </c>
      <c r="C463" t="s">
        <v>1056</v>
      </c>
      <c r="D463" t="s">
        <v>508</v>
      </c>
      <c r="E463" t="s">
        <v>237</v>
      </c>
      <c r="F463">
        <v>1</v>
      </c>
      <c r="G463">
        <v>2012</v>
      </c>
      <c r="H463">
        <v>362</v>
      </c>
      <c r="I463">
        <v>3.1560000000000001</v>
      </c>
      <c r="J463">
        <v>276.37099999999998</v>
      </c>
      <c r="K463">
        <v>139</v>
      </c>
    </row>
    <row r="464" spans="1:11" x14ac:dyDescent="0.4">
      <c r="A464">
        <v>21039</v>
      </c>
      <c r="B464" t="s">
        <v>1057</v>
      </c>
      <c r="C464" t="s">
        <v>630</v>
      </c>
      <c r="E464" t="s">
        <v>647</v>
      </c>
      <c r="F464">
        <v>90</v>
      </c>
      <c r="G464">
        <v>1956</v>
      </c>
      <c r="H464">
        <v>384</v>
      </c>
      <c r="I464">
        <v>4.2190000000000003</v>
      </c>
      <c r="J464">
        <v>231.28700000000001</v>
      </c>
      <c r="K464">
        <v>50</v>
      </c>
    </row>
    <row r="465" spans="1:11" x14ac:dyDescent="0.4">
      <c r="A465">
        <v>10026</v>
      </c>
      <c r="B465" t="s">
        <v>1057</v>
      </c>
      <c r="C465" t="s">
        <v>500</v>
      </c>
      <c r="E465" t="s">
        <v>298</v>
      </c>
      <c r="F465">
        <v>67</v>
      </c>
      <c r="G465">
        <v>1962</v>
      </c>
      <c r="H465">
        <v>561</v>
      </c>
      <c r="I465">
        <v>1.25</v>
      </c>
      <c r="J465">
        <v>32.444000000000003</v>
      </c>
      <c r="K465">
        <v>0</v>
      </c>
    </row>
    <row r="466" spans="1:11" x14ac:dyDescent="0.4">
      <c r="A466">
        <v>15093</v>
      </c>
      <c r="B466" t="s">
        <v>1057</v>
      </c>
      <c r="C466" t="s">
        <v>552</v>
      </c>
      <c r="E466" t="s">
        <v>189</v>
      </c>
      <c r="F466">
        <v>20</v>
      </c>
      <c r="G466">
        <v>1969</v>
      </c>
      <c r="H466">
        <v>695</v>
      </c>
      <c r="I466">
        <v>0</v>
      </c>
      <c r="J466">
        <v>0</v>
      </c>
      <c r="K466">
        <v>0</v>
      </c>
    </row>
    <row r="467" spans="1:11" x14ac:dyDescent="0.4">
      <c r="A467">
        <v>11018</v>
      </c>
      <c r="B467" t="s">
        <v>1058</v>
      </c>
      <c r="C467" t="s">
        <v>526</v>
      </c>
      <c r="E467" t="s">
        <v>304</v>
      </c>
      <c r="F467">
        <v>45</v>
      </c>
      <c r="G467">
        <v>1947</v>
      </c>
      <c r="H467">
        <v>240</v>
      </c>
      <c r="I467">
        <v>18.846</v>
      </c>
      <c r="J467">
        <v>695.55499999999995</v>
      </c>
      <c r="K467">
        <v>56</v>
      </c>
    </row>
    <row r="468" spans="1:11" x14ac:dyDescent="0.4">
      <c r="A468">
        <v>18053</v>
      </c>
      <c r="B468" t="s">
        <v>1059</v>
      </c>
      <c r="C468" t="s">
        <v>1060</v>
      </c>
      <c r="D468" t="s">
        <v>378</v>
      </c>
      <c r="E468" t="s">
        <v>724</v>
      </c>
      <c r="F468">
        <v>56</v>
      </c>
      <c r="G468">
        <v>1967</v>
      </c>
      <c r="H468">
        <v>320</v>
      </c>
      <c r="I468">
        <v>10.093999999999999</v>
      </c>
      <c r="J468">
        <v>375.50599999999997</v>
      </c>
      <c r="K468">
        <v>0</v>
      </c>
    </row>
    <row r="469" spans="1:11" x14ac:dyDescent="0.4">
      <c r="A469">
        <v>16125</v>
      </c>
      <c r="B469" t="s">
        <v>1061</v>
      </c>
      <c r="C469" t="s">
        <v>1062</v>
      </c>
      <c r="E469" t="s">
        <v>237</v>
      </c>
      <c r="F469">
        <v>1</v>
      </c>
      <c r="G469">
        <v>1996</v>
      </c>
      <c r="H469">
        <v>508</v>
      </c>
      <c r="I469">
        <v>1.8129999999999999</v>
      </c>
      <c r="J469">
        <v>67.525000000000006</v>
      </c>
      <c r="K469">
        <v>0</v>
      </c>
    </row>
    <row r="470" spans="1:11" x14ac:dyDescent="0.4">
      <c r="A470">
        <v>19040</v>
      </c>
      <c r="B470" t="s">
        <v>1063</v>
      </c>
      <c r="C470" t="s">
        <v>554</v>
      </c>
      <c r="E470" t="s">
        <v>708</v>
      </c>
      <c r="F470">
        <v>82</v>
      </c>
      <c r="G470">
        <v>1975</v>
      </c>
      <c r="H470">
        <v>298</v>
      </c>
      <c r="I470">
        <v>13.75</v>
      </c>
      <c r="J470">
        <v>440.27800000000002</v>
      </c>
      <c r="K470">
        <v>0</v>
      </c>
    </row>
    <row r="471" spans="1:11" x14ac:dyDescent="0.4">
      <c r="A471">
        <v>10058</v>
      </c>
      <c r="B471" t="s">
        <v>1064</v>
      </c>
      <c r="C471" t="s">
        <v>1065</v>
      </c>
      <c r="E471" t="s">
        <v>415</v>
      </c>
      <c r="F471">
        <v>30</v>
      </c>
      <c r="G471">
        <v>1977</v>
      </c>
      <c r="H471">
        <v>198</v>
      </c>
      <c r="I471">
        <v>18.814</v>
      </c>
      <c r="J471">
        <v>963.87400000000002</v>
      </c>
      <c r="K471">
        <v>267</v>
      </c>
    </row>
    <row r="472" spans="1:11" x14ac:dyDescent="0.4">
      <c r="A472">
        <v>13066</v>
      </c>
      <c r="B472" t="s">
        <v>1066</v>
      </c>
      <c r="C472" t="s">
        <v>569</v>
      </c>
      <c r="E472" t="s">
        <v>724</v>
      </c>
      <c r="F472">
        <v>56</v>
      </c>
      <c r="G472">
        <v>1967</v>
      </c>
      <c r="H472">
        <v>426</v>
      </c>
      <c r="I472">
        <v>4.4059999999999997</v>
      </c>
      <c r="J472">
        <v>157.35300000000001</v>
      </c>
      <c r="K472">
        <v>0</v>
      </c>
    </row>
    <row r="473" spans="1:11" x14ac:dyDescent="0.4">
      <c r="A473">
        <v>18066</v>
      </c>
      <c r="B473" t="s">
        <v>1067</v>
      </c>
      <c r="C473" t="s">
        <v>490</v>
      </c>
      <c r="E473" t="s">
        <v>244</v>
      </c>
      <c r="F473">
        <v>88</v>
      </c>
      <c r="G473">
        <v>1969</v>
      </c>
      <c r="H473">
        <v>148</v>
      </c>
      <c r="I473">
        <v>33</v>
      </c>
      <c r="J473">
        <v>1295.489</v>
      </c>
      <c r="K473">
        <v>109</v>
      </c>
    </row>
    <row r="474" spans="1:11" x14ac:dyDescent="0.4">
      <c r="A474">
        <v>18072</v>
      </c>
      <c r="B474" t="s">
        <v>1067</v>
      </c>
      <c r="C474" t="s">
        <v>481</v>
      </c>
      <c r="E474" t="s">
        <v>244</v>
      </c>
      <c r="F474">
        <v>88</v>
      </c>
      <c r="G474">
        <v>2005</v>
      </c>
      <c r="H474">
        <v>194</v>
      </c>
      <c r="I474">
        <v>22.751000000000001</v>
      </c>
      <c r="J474">
        <v>970.58199999999999</v>
      </c>
      <c r="K474">
        <v>195</v>
      </c>
    </row>
    <row r="475" spans="1:11" x14ac:dyDescent="0.4">
      <c r="A475">
        <v>23021</v>
      </c>
      <c r="B475" t="s">
        <v>1068</v>
      </c>
      <c r="C475" t="s">
        <v>526</v>
      </c>
      <c r="E475" t="s">
        <v>438</v>
      </c>
      <c r="F475">
        <v>43</v>
      </c>
      <c r="G475">
        <v>1958</v>
      </c>
      <c r="H475">
        <v>245</v>
      </c>
      <c r="I475">
        <v>12.250999999999999</v>
      </c>
      <c r="J475">
        <v>683.41300000000001</v>
      </c>
      <c r="K475">
        <v>180</v>
      </c>
    </row>
    <row r="476" spans="1:11" x14ac:dyDescent="0.4">
      <c r="A476">
        <v>23240</v>
      </c>
      <c r="B476" t="s">
        <v>1069</v>
      </c>
      <c r="C476" t="s">
        <v>500</v>
      </c>
      <c r="E476" t="s">
        <v>779</v>
      </c>
      <c r="F476">
        <v>91</v>
      </c>
      <c r="G476">
        <v>1956</v>
      </c>
      <c r="H476">
        <v>293</v>
      </c>
      <c r="I476">
        <v>14.627000000000001</v>
      </c>
      <c r="J476">
        <v>475.52499999999998</v>
      </c>
      <c r="K476">
        <v>0</v>
      </c>
    </row>
    <row r="477" spans="1:11" x14ac:dyDescent="0.4">
      <c r="A477">
        <v>25073</v>
      </c>
      <c r="B477" t="s">
        <v>1070</v>
      </c>
      <c r="C477" t="s">
        <v>576</v>
      </c>
      <c r="E477" t="s">
        <v>285</v>
      </c>
      <c r="F477">
        <v>19</v>
      </c>
      <c r="G477">
        <v>1980</v>
      </c>
      <c r="H477">
        <v>596</v>
      </c>
      <c r="I477">
        <v>1.5</v>
      </c>
      <c r="J477">
        <v>10.37</v>
      </c>
      <c r="K477">
        <v>0</v>
      </c>
    </row>
    <row r="478" spans="1:11" x14ac:dyDescent="0.4">
      <c r="A478">
        <v>15065</v>
      </c>
      <c r="B478" t="s">
        <v>1071</v>
      </c>
      <c r="C478" t="s">
        <v>569</v>
      </c>
      <c r="E478" t="s">
        <v>499</v>
      </c>
      <c r="F478">
        <v>51</v>
      </c>
      <c r="G478">
        <v>1963</v>
      </c>
      <c r="H478">
        <v>44</v>
      </c>
      <c r="I478">
        <v>32.125</v>
      </c>
      <c r="J478">
        <v>2371.5450000000001</v>
      </c>
      <c r="K478">
        <v>1142</v>
      </c>
    </row>
    <row r="479" spans="1:11" x14ac:dyDescent="0.4">
      <c r="A479">
        <v>14024</v>
      </c>
      <c r="B479" t="s">
        <v>1072</v>
      </c>
      <c r="C479" t="s">
        <v>1073</v>
      </c>
      <c r="D479" t="s">
        <v>378</v>
      </c>
      <c r="E479" t="s">
        <v>978</v>
      </c>
      <c r="F479">
        <v>80</v>
      </c>
      <c r="G479">
        <v>1973</v>
      </c>
      <c r="H479">
        <v>696</v>
      </c>
      <c r="I479">
        <v>0</v>
      </c>
      <c r="J479">
        <v>0</v>
      </c>
      <c r="K479">
        <v>0</v>
      </c>
    </row>
    <row r="480" spans="1:11" x14ac:dyDescent="0.4">
      <c r="A480">
        <v>19046</v>
      </c>
      <c r="B480" t="s">
        <v>1074</v>
      </c>
      <c r="C480" t="s">
        <v>557</v>
      </c>
      <c r="E480" t="s">
        <v>724</v>
      </c>
      <c r="F480">
        <v>56</v>
      </c>
      <c r="G480">
        <v>1996</v>
      </c>
      <c r="H480">
        <v>462</v>
      </c>
      <c r="I480">
        <v>3.4689999999999999</v>
      </c>
      <c r="J480">
        <v>118.42100000000001</v>
      </c>
      <c r="K480">
        <v>0</v>
      </c>
    </row>
    <row r="481" spans="1:11" x14ac:dyDescent="0.4">
      <c r="A481">
        <v>16082</v>
      </c>
      <c r="B481" t="s">
        <v>1075</v>
      </c>
      <c r="C481" t="s">
        <v>539</v>
      </c>
      <c r="E481" t="s">
        <v>729</v>
      </c>
      <c r="F481">
        <v>87</v>
      </c>
      <c r="G481">
        <v>1946</v>
      </c>
      <c r="H481">
        <v>141</v>
      </c>
      <c r="I481">
        <v>23.876000000000001</v>
      </c>
      <c r="J481">
        <v>1373.7639999999999</v>
      </c>
      <c r="K481">
        <v>794</v>
      </c>
    </row>
    <row r="482" spans="1:11" x14ac:dyDescent="0.4">
      <c r="A482">
        <v>18073</v>
      </c>
      <c r="B482" t="s">
        <v>1076</v>
      </c>
      <c r="C482" t="s">
        <v>505</v>
      </c>
      <c r="E482" t="s">
        <v>244</v>
      </c>
      <c r="F482">
        <v>88</v>
      </c>
      <c r="G482">
        <v>1982</v>
      </c>
      <c r="H482">
        <v>697</v>
      </c>
      <c r="I482">
        <v>0</v>
      </c>
      <c r="J482">
        <v>0</v>
      </c>
      <c r="K482">
        <v>0</v>
      </c>
    </row>
    <row r="483" spans="1:11" x14ac:dyDescent="0.4">
      <c r="A483">
        <v>18101</v>
      </c>
      <c r="B483" t="s">
        <v>1077</v>
      </c>
      <c r="C483" t="s">
        <v>703</v>
      </c>
      <c r="D483" t="s">
        <v>378</v>
      </c>
      <c r="E483" t="s">
        <v>244</v>
      </c>
      <c r="F483">
        <v>88</v>
      </c>
      <c r="G483">
        <v>1984</v>
      </c>
      <c r="H483">
        <v>698</v>
      </c>
      <c r="I483">
        <v>0</v>
      </c>
      <c r="J483">
        <v>0</v>
      </c>
      <c r="K483">
        <v>0</v>
      </c>
    </row>
    <row r="484" spans="1:11" x14ac:dyDescent="0.4">
      <c r="A484">
        <v>29052</v>
      </c>
      <c r="B484" t="s">
        <v>1078</v>
      </c>
      <c r="C484" t="s">
        <v>566</v>
      </c>
      <c r="E484" t="s">
        <v>160</v>
      </c>
      <c r="F484">
        <v>64</v>
      </c>
      <c r="G484">
        <v>1973</v>
      </c>
      <c r="H484">
        <v>277</v>
      </c>
      <c r="I484">
        <v>11.938000000000001</v>
      </c>
      <c r="J484">
        <v>540.42899999999997</v>
      </c>
      <c r="K484">
        <v>75</v>
      </c>
    </row>
    <row r="485" spans="1:11" x14ac:dyDescent="0.4">
      <c r="A485">
        <v>21049</v>
      </c>
      <c r="B485" t="s">
        <v>1079</v>
      </c>
      <c r="C485" t="s">
        <v>819</v>
      </c>
      <c r="E485" t="s">
        <v>259</v>
      </c>
      <c r="F485">
        <v>27</v>
      </c>
      <c r="G485">
        <v>1973</v>
      </c>
      <c r="H485">
        <v>196</v>
      </c>
      <c r="I485">
        <v>23.687999999999999</v>
      </c>
      <c r="J485">
        <v>964.72400000000005</v>
      </c>
      <c r="K485">
        <v>131</v>
      </c>
    </row>
    <row r="486" spans="1:11" x14ac:dyDescent="0.4">
      <c r="A486">
        <v>20598</v>
      </c>
      <c r="B486" t="s">
        <v>1080</v>
      </c>
      <c r="C486" t="s">
        <v>819</v>
      </c>
      <c r="E486" t="s">
        <v>176</v>
      </c>
      <c r="F486">
        <v>95</v>
      </c>
      <c r="G486">
        <v>1968</v>
      </c>
      <c r="H486">
        <v>699</v>
      </c>
      <c r="I486">
        <v>0</v>
      </c>
      <c r="J486">
        <v>0</v>
      </c>
      <c r="K486">
        <v>0</v>
      </c>
    </row>
    <row r="487" spans="1:11" x14ac:dyDescent="0.4">
      <c r="A487">
        <v>20592</v>
      </c>
      <c r="B487" t="s">
        <v>1081</v>
      </c>
      <c r="C487" t="s">
        <v>601</v>
      </c>
      <c r="D487" t="s">
        <v>378</v>
      </c>
      <c r="E487" t="s">
        <v>176</v>
      </c>
      <c r="F487">
        <v>95</v>
      </c>
      <c r="G487">
        <v>1972</v>
      </c>
      <c r="H487">
        <v>700</v>
      </c>
      <c r="I487">
        <v>0</v>
      </c>
      <c r="J487">
        <v>0</v>
      </c>
      <c r="K487">
        <v>0</v>
      </c>
    </row>
    <row r="488" spans="1:11" x14ac:dyDescent="0.4">
      <c r="A488">
        <v>15074</v>
      </c>
      <c r="B488" t="s">
        <v>1082</v>
      </c>
      <c r="C488" t="s">
        <v>487</v>
      </c>
      <c r="E488" t="s">
        <v>214</v>
      </c>
      <c r="F488">
        <v>69</v>
      </c>
      <c r="G488">
        <v>1975</v>
      </c>
      <c r="H488">
        <v>275</v>
      </c>
      <c r="I488">
        <v>9.3439999999999994</v>
      </c>
      <c r="J488">
        <v>545.87199999999996</v>
      </c>
      <c r="K488">
        <v>257</v>
      </c>
    </row>
    <row r="489" spans="1:11" x14ac:dyDescent="0.4">
      <c r="A489">
        <v>15079</v>
      </c>
      <c r="B489" t="s">
        <v>1083</v>
      </c>
      <c r="C489" t="s">
        <v>639</v>
      </c>
      <c r="E489" t="s">
        <v>248</v>
      </c>
      <c r="F489">
        <v>13</v>
      </c>
      <c r="G489">
        <v>1982</v>
      </c>
      <c r="H489">
        <v>423</v>
      </c>
      <c r="I489">
        <v>6.8129999999999997</v>
      </c>
      <c r="J489">
        <v>160.50800000000001</v>
      </c>
      <c r="K489">
        <v>0</v>
      </c>
    </row>
    <row r="490" spans="1:11" x14ac:dyDescent="0.4">
      <c r="A490">
        <v>23236</v>
      </c>
      <c r="B490" t="s">
        <v>1084</v>
      </c>
      <c r="C490" t="s">
        <v>1085</v>
      </c>
      <c r="E490" t="s">
        <v>263</v>
      </c>
      <c r="F490">
        <v>17</v>
      </c>
      <c r="G490">
        <v>1994</v>
      </c>
      <c r="H490">
        <v>188</v>
      </c>
      <c r="I490">
        <v>24.219000000000001</v>
      </c>
      <c r="J490">
        <v>1026.098</v>
      </c>
      <c r="K490">
        <v>139</v>
      </c>
    </row>
    <row r="491" spans="1:11" x14ac:dyDescent="0.4">
      <c r="A491">
        <v>10060</v>
      </c>
      <c r="B491" t="s">
        <v>1086</v>
      </c>
      <c r="C491" t="s">
        <v>587</v>
      </c>
      <c r="D491" t="s">
        <v>378</v>
      </c>
      <c r="E491" t="s">
        <v>225</v>
      </c>
      <c r="F491">
        <v>62</v>
      </c>
      <c r="G491">
        <v>1979</v>
      </c>
      <c r="H491">
        <v>581</v>
      </c>
      <c r="I491">
        <v>0.75</v>
      </c>
      <c r="J491">
        <v>18.384</v>
      </c>
      <c r="K491">
        <v>0</v>
      </c>
    </row>
    <row r="492" spans="1:11" x14ac:dyDescent="0.4">
      <c r="A492">
        <v>19067</v>
      </c>
      <c r="B492" t="s">
        <v>1087</v>
      </c>
      <c r="C492" t="s">
        <v>490</v>
      </c>
      <c r="E492" t="s">
        <v>522</v>
      </c>
      <c r="F492">
        <v>2</v>
      </c>
      <c r="G492">
        <v>1963</v>
      </c>
      <c r="H492">
        <v>233</v>
      </c>
      <c r="I492">
        <v>17.625</v>
      </c>
      <c r="J492">
        <v>770.45500000000004</v>
      </c>
      <c r="K492">
        <v>144</v>
      </c>
    </row>
    <row r="493" spans="1:11" x14ac:dyDescent="0.4">
      <c r="A493">
        <v>24239</v>
      </c>
      <c r="B493" t="s">
        <v>1088</v>
      </c>
      <c r="C493" t="s">
        <v>664</v>
      </c>
      <c r="D493" t="s">
        <v>378</v>
      </c>
      <c r="E493" t="s">
        <v>263</v>
      </c>
      <c r="F493">
        <v>17</v>
      </c>
      <c r="G493">
        <v>1975</v>
      </c>
      <c r="H493">
        <v>517</v>
      </c>
      <c r="I493">
        <v>1.625</v>
      </c>
      <c r="J493">
        <v>63.185000000000002</v>
      </c>
      <c r="K493">
        <v>0</v>
      </c>
    </row>
    <row r="494" spans="1:11" x14ac:dyDescent="0.4">
      <c r="A494">
        <v>97240</v>
      </c>
      <c r="B494" t="s">
        <v>1089</v>
      </c>
      <c r="C494" t="s">
        <v>539</v>
      </c>
      <c r="E494" t="s">
        <v>522</v>
      </c>
      <c r="F494">
        <v>2</v>
      </c>
      <c r="G494">
        <v>1950</v>
      </c>
      <c r="H494">
        <v>546</v>
      </c>
      <c r="I494">
        <v>1</v>
      </c>
      <c r="J494">
        <v>38.883000000000003</v>
      </c>
      <c r="K494">
        <v>0</v>
      </c>
    </row>
    <row r="495" spans="1:11" x14ac:dyDescent="0.4">
      <c r="A495">
        <v>22166</v>
      </c>
      <c r="B495" t="s">
        <v>1090</v>
      </c>
      <c r="C495" t="s">
        <v>485</v>
      </c>
      <c r="E495" t="s">
        <v>185</v>
      </c>
      <c r="F495">
        <v>63</v>
      </c>
      <c r="G495">
        <v>1986</v>
      </c>
      <c r="H495">
        <v>701</v>
      </c>
      <c r="I495">
        <v>0</v>
      </c>
      <c r="J495">
        <v>0</v>
      </c>
      <c r="K495">
        <v>0</v>
      </c>
    </row>
    <row r="496" spans="1:11" x14ac:dyDescent="0.4">
      <c r="A496">
        <v>10027</v>
      </c>
      <c r="B496" t="s">
        <v>1091</v>
      </c>
      <c r="C496" t="s">
        <v>500</v>
      </c>
      <c r="E496" t="s">
        <v>298</v>
      </c>
      <c r="F496">
        <v>67</v>
      </c>
      <c r="G496">
        <v>1954</v>
      </c>
      <c r="H496">
        <v>473</v>
      </c>
      <c r="I496">
        <v>0.81299999999999994</v>
      </c>
      <c r="J496">
        <v>103.446</v>
      </c>
      <c r="K496">
        <v>69</v>
      </c>
    </row>
    <row r="497" spans="1:11" x14ac:dyDescent="0.4">
      <c r="A497">
        <v>18054</v>
      </c>
      <c r="B497" t="s">
        <v>1092</v>
      </c>
      <c r="C497" t="s">
        <v>495</v>
      </c>
      <c r="E497" t="s">
        <v>488</v>
      </c>
      <c r="F497">
        <v>79</v>
      </c>
      <c r="G497">
        <v>1978</v>
      </c>
      <c r="H497">
        <v>702</v>
      </c>
      <c r="I497">
        <v>0</v>
      </c>
      <c r="J497">
        <v>0</v>
      </c>
      <c r="K497">
        <v>0</v>
      </c>
    </row>
    <row r="498" spans="1:11" x14ac:dyDescent="0.4">
      <c r="A498">
        <v>21836</v>
      </c>
      <c r="B498" t="s">
        <v>1093</v>
      </c>
      <c r="C498" t="s">
        <v>554</v>
      </c>
      <c r="E498" t="s">
        <v>166</v>
      </c>
      <c r="F498">
        <v>54</v>
      </c>
      <c r="G498">
        <v>1963</v>
      </c>
      <c r="H498">
        <v>186</v>
      </c>
      <c r="I498">
        <v>15.002000000000001</v>
      </c>
      <c r="J498">
        <v>1039.27</v>
      </c>
      <c r="K498">
        <v>424</v>
      </c>
    </row>
    <row r="499" spans="1:11" x14ac:dyDescent="0.4">
      <c r="A499">
        <v>28001</v>
      </c>
      <c r="B499" t="s">
        <v>1094</v>
      </c>
      <c r="C499" t="s">
        <v>836</v>
      </c>
      <c r="D499" t="s">
        <v>378</v>
      </c>
      <c r="E499" t="s">
        <v>166</v>
      </c>
      <c r="F499">
        <v>54</v>
      </c>
      <c r="G499">
        <v>1965</v>
      </c>
      <c r="H499">
        <v>180</v>
      </c>
      <c r="I499">
        <v>15.782999999999999</v>
      </c>
      <c r="J499">
        <v>1063.9970000000001</v>
      </c>
      <c r="K499">
        <v>415</v>
      </c>
    </row>
    <row r="500" spans="1:11" x14ac:dyDescent="0.4">
      <c r="A500">
        <v>12042</v>
      </c>
      <c r="B500" t="s">
        <v>1095</v>
      </c>
      <c r="C500" t="s">
        <v>485</v>
      </c>
      <c r="E500" t="s">
        <v>533</v>
      </c>
      <c r="F500">
        <v>73</v>
      </c>
      <c r="G500">
        <v>1945</v>
      </c>
      <c r="H500">
        <v>155</v>
      </c>
      <c r="I500">
        <v>23.251000000000001</v>
      </c>
      <c r="J500">
        <v>1260.751</v>
      </c>
      <c r="K500">
        <v>534</v>
      </c>
    </row>
    <row r="501" spans="1:11" x14ac:dyDescent="0.4">
      <c r="A501">
        <v>24512</v>
      </c>
      <c r="B501" t="s">
        <v>1096</v>
      </c>
      <c r="C501" t="s">
        <v>548</v>
      </c>
      <c r="D501" t="s">
        <v>546</v>
      </c>
      <c r="E501" t="s">
        <v>647</v>
      </c>
      <c r="F501">
        <v>90</v>
      </c>
      <c r="G501">
        <v>2012</v>
      </c>
      <c r="H501">
        <v>703</v>
      </c>
      <c r="I501">
        <v>0</v>
      </c>
      <c r="J501">
        <v>0</v>
      </c>
      <c r="K501">
        <v>0</v>
      </c>
    </row>
    <row r="502" spans="1:11" x14ac:dyDescent="0.4">
      <c r="A502">
        <v>10029</v>
      </c>
      <c r="B502" t="s">
        <v>1097</v>
      </c>
      <c r="C502" t="s">
        <v>566</v>
      </c>
      <c r="E502" t="s">
        <v>298</v>
      </c>
      <c r="F502">
        <v>67</v>
      </c>
      <c r="G502">
        <v>1954</v>
      </c>
      <c r="H502">
        <v>474</v>
      </c>
      <c r="I502">
        <v>0.81299999999999994</v>
      </c>
      <c r="J502">
        <v>103.446</v>
      </c>
      <c r="K502">
        <v>69</v>
      </c>
    </row>
    <row r="503" spans="1:11" x14ac:dyDescent="0.4">
      <c r="A503">
        <v>96229</v>
      </c>
      <c r="B503" t="s">
        <v>1098</v>
      </c>
      <c r="C503" t="s">
        <v>552</v>
      </c>
      <c r="E503" t="s">
        <v>619</v>
      </c>
      <c r="F503">
        <v>28</v>
      </c>
      <c r="G503">
        <v>1959</v>
      </c>
      <c r="H503">
        <v>482</v>
      </c>
      <c r="I503">
        <v>2.5640000000000001</v>
      </c>
      <c r="J503">
        <v>95.376999999999995</v>
      </c>
      <c r="K503">
        <v>0</v>
      </c>
    </row>
    <row r="504" spans="1:11" x14ac:dyDescent="0.4">
      <c r="A504">
        <v>21768</v>
      </c>
      <c r="B504" t="s">
        <v>1099</v>
      </c>
      <c r="C504" t="s">
        <v>485</v>
      </c>
      <c r="E504" t="s">
        <v>285</v>
      </c>
      <c r="F504">
        <v>19</v>
      </c>
      <c r="G504">
        <v>1963</v>
      </c>
      <c r="H504">
        <v>366</v>
      </c>
      <c r="I504">
        <v>3.5</v>
      </c>
      <c r="J504">
        <v>267.81</v>
      </c>
      <c r="K504">
        <v>136</v>
      </c>
    </row>
    <row r="505" spans="1:11" x14ac:dyDescent="0.4">
      <c r="A505">
        <v>19055</v>
      </c>
      <c r="B505" t="s">
        <v>1100</v>
      </c>
      <c r="C505" t="s">
        <v>1101</v>
      </c>
      <c r="D505" t="s">
        <v>378</v>
      </c>
      <c r="E505" t="s">
        <v>189</v>
      </c>
      <c r="F505">
        <v>20</v>
      </c>
      <c r="G505">
        <v>1977</v>
      </c>
      <c r="H505">
        <v>704</v>
      </c>
      <c r="I505">
        <v>0</v>
      </c>
      <c r="J505">
        <v>0</v>
      </c>
      <c r="K505">
        <v>0</v>
      </c>
    </row>
    <row r="506" spans="1:11" x14ac:dyDescent="0.4">
      <c r="A506">
        <v>20555</v>
      </c>
      <c r="B506" t="s">
        <v>1102</v>
      </c>
      <c r="C506" t="s">
        <v>500</v>
      </c>
      <c r="E506" t="s">
        <v>714</v>
      </c>
      <c r="F506">
        <v>21</v>
      </c>
      <c r="G506">
        <v>1949</v>
      </c>
      <c r="H506">
        <v>705</v>
      </c>
      <c r="I506">
        <v>0</v>
      </c>
      <c r="J506">
        <v>0</v>
      </c>
      <c r="K506">
        <v>0</v>
      </c>
    </row>
    <row r="507" spans="1:11" x14ac:dyDescent="0.4">
      <c r="A507">
        <v>20545</v>
      </c>
      <c r="B507" t="s">
        <v>1103</v>
      </c>
      <c r="C507" t="s">
        <v>532</v>
      </c>
      <c r="D507" t="s">
        <v>378</v>
      </c>
      <c r="E507" t="s">
        <v>496</v>
      </c>
      <c r="F507">
        <v>93</v>
      </c>
      <c r="G507">
        <v>1960</v>
      </c>
      <c r="H507">
        <v>706</v>
      </c>
      <c r="I507">
        <v>0</v>
      </c>
      <c r="J507">
        <v>0</v>
      </c>
      <c r="K507">
        <v>0</v>
      </c>
    </row>
    <row r="508" spans="1:11" x14ac:dyDescent="0.4">
      <c r="A508">
        <v>20503</v>
      </c>
      <c r="B508" t="s">
        <v>1103</v>
      </c>
      <c r="C508" t="s">
        <v>711</v>
      </c>
      <c r="D508" t="s">
        <v>378</v>
      </c>
      <c r="E508" t="s">
        <v>263</v>
      </c>
      <c r="F508">
        <v>17</v>
      </c>
      <c r="G508">
        <v>1996</v>
      </c>
      <c r="H508">
        <v>212</v>
      </c>
      <c r="I508">
        <v>15.657</v>
      </c>
      <c r="J508">
        <v>863.01400000000001</v>
      </c>
      <c r="K508">
        <v>265</v>
      </c>
    </row>
    <row r="509" spans="1:11" x14ac:dyDescent="0.4">
      <c r="A509">
        <v>23223</v>
      </c>
      <c r="B509" t="s">
        <v>1104</v>
      </c>
      <c r="C509" t="s">
        <v>603</v>
      </c>
      <c r="E509" t="s">
        <v>729</v>
      </c>
      <c r="F509">
        <v>87</v>
      </c>
      <c r="G509">
        <v>1976</v>
      </c>
      <c r="H509">
        <v>597</v>
      </c>
      <c r="I509">
        <v>0.188</v>
      </c>
      <c r="J509">
        <v>8.7219999999999995</v>
      </c>
      <c r="K509">
        <v>0</v>
      </c>
    </row>
    <row r="510" spans="1:11" x14ac:dyDescent="0.4">
      <c r="A510">
        <v>20546</v>
      </c>
      <c r="B510" t="s">
        <v>1104</v>
      </c>
      <c r="C510" t="s">
        <v>485</v>
      </c>
      <c r="E510" t="s">
        <v>496</v>
      </c>
      <c r="F510">
        <v>93</v>
      </c>
      <c r="G510">
        <v>1988</v>
      </c>
      <c r="H510">
        <v>707</v>
      </c>
      <c r="I510">
        <v>0</v>
      </c>
      <c r="J510">
        <v>0</v>
      </c>
      <c r="K510">
        <v>0</v>
      </c>
    </row>
    <row r="511" spans="1:11" x14ac:dyDescent="0.4">
      <c r="A511">
        <v>29042</v>
      </c>
      <c r="B511" t="s">
        <v>1105</v>
      </c>
      <c r="C511" t="s">
        <v>778</v>
      </c>
      <c r="E511" t="s">
        <v>185</v>
      </c>
      <c r="F511">
        <v>63</v>
      </c>
      <c r="G511">
        <v>1964</v>
      </c>
      <c r="H511">
        <v>401</v>
      </c>
      <c r="I511">
        <v>6.3129999999999997</v>
      </c>
      <c r="J511">
        <v>191.458</v>
      </c>
      <c r="K511">
        <v>0</v>
      </c>
    </row>
    <row r="512" spans="1:11" x14ac:dyDescent="0.4">
      <c r="A512">
        <v>10046</v>
      </c>
      <c r="B512" t="s">
        <v>1106</v>
      </c>
      <c r="C512" t="s">
        <v>573</v>
      </c>
      <c r="D512" t="s">
        <v>378</v>
      </c>
      <c r="E512" t="s">
        <v>185</v>
      </c>
      <c r="F512">
        <v>63</v>
      </c>
      <c r="G512">
        <v>2001</v>
      </c>
      <c r="H512">
        <v>418</v>
      </c>
      <c r="I512">
        <v>5.75</v>
      </c>
      <c r="J512">
        <v>164.703</v>
      </c>
      <c r="K512">
        <v>0</v>
      </c>
    </row>
    <row r="513" spans="1:11" x14ac:dyDescent="0.4">
      <c r="A513">
        <v>21859</v>
      </c>
      <c r="B513" t="s">
        <v>1107</v>
      </c>
      <c r="C513" t="s">
        <v>490</v>
      </c>
      <c r="E513" t="s">
        <v>194</v>
      </c>
      <c r="F513">
        <v>33</v>
      </c>
      <c r="G513">
        <v>1958</v>
      </c>
      <c r="H513">
        <v>708</v>
      </c>
      <c r="I513">
        <v>0</v>
      </c>
      <c r="J513">
        <v>0</v>
      </c>
      <c r="K513">
        <v>0</v>
      </c>
    </row>
    <row r="514" spans="1:11" x14ac:dyDescent="0.4">
      <c r="A514">
        <v>12060</v>
      </c>
      <c r="B514" t="s">
        <v>1108</v>
      </c>
      <c r="C514" t="s">
        <v>1109</v>
      </c>
      <c r="D514" t="s">
        <v>378</v>
      </c>
      <c r="E514" t="s">
        <v>488</v>
      </c>
      <c r="F514">
        <v>79</v>
      </c>
      <c r="G514">
        <v>1991</v>
      </c>
      <c r="H514">
        <v>709</v>
      </c>
      <c r="I514">
        <v>0</v>
      </c>
      <c r="J514">
        <v>0</v>
      </c>
      <c r="K514">
        <v>0</v>
      </c>
    </row>
    <row r="515" spans="1:11" x14ac:dyDescent="0.4">
      <c r="A515">
        <v>21807</v>
      </c>
      <c r="B515" t="s">
        <v>1110</v>
      </c>
      <c r="C515" t="s">
        <v>593</v>
      </c>
      <c r="D515" t="s">
        <v>378</v>
      </c>
      <c r="E515" t="s">
        <v>355</v>
      </c>
      <c r="F515">
        <v>42</v>
      </c>
      <c r="G515">
        <v>1968</v>
      </c>
      <c r="H515">
        <v>266</v>
      </c>
      <c r="I515">
        <v>9.7189999999999994</v>
      </c>
      <c r="J515">
        <v>601.63400000000001</v>
      </c>
      <c r="K515">
        <v>133</v>
      </c>
    </row>
    <row r="516" spans="1:11" x14ac:dyDescent="0.4">
      <c r="A516">
        <v>21006</v>
      </c>
      <c r="B516" t="s">
        <v>1111</v>
      </c>
      <c r="C516" t="s">
        <v>580</v>
      </c>
      <c r="E516" t="s">
        <v>355</v>
      </c>
      <c r="F516">
        <v>42</v>
      </c>
      <c r="G516">
        <v>1959</v>
      </c>
      <c r="H516">
        <v>267</v>
      </c>
      <c r="I516">
        <v>9.7189999999999994</v>
      </c>
      <c r="J516">
        <v>601.63400000000001</v>
      </c>
      <c r="K516">
        <v>133</v>
      </c>
    </row>
    <row r="517" spans="1:11" x14ac:dyDescent="0.4">
      <c r="A517">
        <v>20506</v>
      </c>
      <c r="B517" t="s">
        <v>1112</v>
      </c>
      <c r="C517" t="s">
        <v>564</v>
      </c>
      <c r="E517" t="s">
        <v>194</v>
      </c>
      <c r="F517">
        <v>33</v>
      </c>
      <c r="G517">
        <v>1955</v>
      </c>
      <c r="H517">
        <v>505</v>
      </c>
      <c r="I517">
        <v>1.9690000000000001</v>
      </c>
      <c r="J517">
        <v>71.965999999999994</v>
      </c>
      <c r="K517">
        <v>0</v>
      </c>
    </row>
    <row r="518" spans="1:11" x14ac:dyDescent="0.4">
      <c r="A518">
        <v>10065</v>
      </c>
      <c r="B518" t="s">
        <v>1113</v>
      </c>
      <c r="C518" t="s">
        <v>1062</v>
      </c>
      <c r="E518" t="s">
        <v>391</v>
      </c>
      <c r="F518">
        <v>14</v>
      </c>
      <c r="G518">
        <v>1992</v>
      </c>
      <c r="H518">
        <v>451</v>
      </c>
      <c r="I518">
        <v>3.5</v>
      </c>
      <c r="J518">
        <v>132.97200000000001</v>
      </c>
      <c r="K518">
        <v>0</v>
      </c>
    </row>
    <row r="519" spans="1:11" x14ac:dyDescent="0.4">
      <c r="A519">
        <v>10064</v>
      </c>
      <c r="B519" t="s">
        <v>1113</v>
      </c>
      <c r="C519" t="s">
        <v>1114</v>
      </c>
      <c r="E519" t="s">
        <v>391</v>
      </c>
      <c r="F519">
        <v>14</v>
      </c>
      <c r="G519">
        <v>1987</v>
      </c>
      <c r="H519">
        <v>408</v>
      </c>
      <c r="I519">
        <v>2.75</v>
      </c>
      <c r="J519">
        <v>177.11099999999999</v>
      </c>
      <c r="K519">
        <v>61</v>
      </c>
    </row>
    <row r="520" spans="1:11" x14ac:dyDescent="0.4">
      <c r="A520">
        <v>16121</v>
      </c>
      <c r="B520" t="s">
        <v>1115</v>
      </c>
      <c r="C520" t="s">
        <v>530</v>
      </c>
      <c r="D520" t="s">
        <v>378</v>
      </c>
      <c r="E520" t="s">
        <v>355</v>
      </c>
      <c r="F520">
        <v>42</v>
      </c>
      <c r="G520">
        <v>1933</v>
      </c>
      <c r="H520">
        <v>352</v>
      </c>
      <c r="I520">
        <v>5.6890000000000001</v>
      </c>
      <c r="J520">
        <v>306.75200000000001</v>
      </c>
      <c r="K520">
        <v>47</v>
      </c>
    </row>
    <row r="521" spans="1:11" x14ac:dyDescent="0.4">
      <c r="A521">
        <v>27069</v>
      </c>
      <c r="B521" t="s">
        <v>1116</v>
      </c>
      <c r="C521" t="s">
        <v>639</v>
      </c>
      <c r="E521" t="s">
        <v>631</v>
      </c>
      <c r="F521">
        <v>24</v>
      </c>
      <c r="G521">
        <v>1986</v>
      </c>
      <c r="H521">
        <v>344</v>
      </c>
      <c r="I521">
        <v>4.0940000000000003</v>
      </c>
      <c r="J521">
        <v>318.40800000000002</v>
      </c>
      <c r="K521">
        <v>127</v>
      </c>
    </row>
    <row r="522" spans="1:11" x14ac:dyDescent="0.4">
      <c r="A522">
        <v>26074</v>
      </c>
      <c r="B522" t="s">
        <v>1116</v>
      </c>
      <c r="C522" t="s">
        <v>495</v>
      </c>
      <c r="E522" t="s">
        <v>631</v>
      </c>
      <c r="F522">
        <v>24</v>
      </c>
      <c r="G522">
        <v>1984</v>
      </c>
      <c r="H522">
        <v>218</v>
      </c>
      <c r="I522">
        <v>12.157</v>
      </c>
      <c r="J522">
        <v>831.48500000000001</v>
      </c>
      <c r="K522">
        <v>322</v>
      </c>
    </row>
    <row r="523" spans="1:11" x14ac:dyDescent="0.4">
      <c r="A523">
        <v>29009</v>
      </c>
      <c r="B523" t="s">
        <v>1117</v>
      </c>
      <c r="C523" t="s">
        <v>693</v>
      </c>
      <c r="D523" t="s">
        <v>378</v>
      </c>
      <c r="E523" t="s">
        <v>456</v>
      </c>
      <c r="F523">
        <v>52</v>
      </c>
      <c r="G523">
        <v>1969</v>
      </c>
      <c r="H523">
        <v>191</v>
      </c>
      <c r="I523">
        <v>13.22</v>
      </c>
      <c r="J523">
        <v>979.78499999999997</v>
      </c>
      <c r="K523">
        <v>370</v>
      </c>
    </row>
    <row r="524" spans="1:11" x14ac:dyDescent="0.4">
      <c r="A524">
        <v>22104</v>
      </c>
      <c r="B524" t="s">
        <v>1118</v>
      </c>
      <c r="C524" t="s">
        <v>919</v>
      </c>
      <c r="D524" t="s">
        <v>508</v>
      </c>
      <c r="E524" t="s">
        <v>714</v>
      </c>
      <c r="F524">
        <v>21</v>
      </c>
      <c r="G524">
        <v>2009</v>
      </c>
      <c r="H524">
        <v>486</v>
      </c>
      <c r="I524">
        <v>2.0939999999999999</v>
      </c>
      <c r="J524">
        <v>92.161000000000001</v>
      </c>
      <c r="K524">
        <v>25</v>
      </c>
    </row>
    <row r="525" spans="1:11" x14ac:dyDescent="0.4">
      <c r="A525">
        <v>20554</v>
      </c>
      <c r="B525" t="s">
        <v>1119</v>
      </c>
      <c r="C525" t="s">
        <v>589</v>
      </c>
      <c r="E525" t="s">
        <v>391</v>
      </c>
      <c r="F525">
        <v>14</v>
      </c>
      <c r="G525">
        <v>1965</v>
      </c>
      <c r="H525">
        <v>88</v>
      </c>
      <c r="I525">
        <v>27.937999999999999</v>
      </c>
      <c r="J525">
        <v>1891.6849999999999</v>
      </c>
      <c r="K525">
        <v>907</v>
      </c>
    </row>
    <row r="526" spans="1:11" x14ac:dyDescent="0.4">
      <c r="A526">
        <v>16086</v>
      </c>
      <c r="B526" t="s">
        <v>1119</v>
      </c>
      <c r="C526" t="s">
        <v>500</v>
      </c>
      <c r="E526" t="s">
        <v>729</v>
      </c>
      <c r="F526">
        <v>87</v>
      </c>
      <c r="G526">
        <v>1950</v>
      </c>
      <c r="H526">
        <v>146</v>
      </c>
      <c r="I526">
        <v>19.439</v>
      </c>
      <c r="J526">
        <v>1315.5840000000001</v>
      </c>
      <c r="K526">
        <v>626</v>
      </c>
    </row>
    <row r="527" spans="1:11" x14ac:dyDescent="0.4">
      <c r="A527">
        <v>21052</v>
      </c>
      <c r="B527" t="s">
        <v>1120</v>
      </c>
      <c r="C527" t="s">
        <v>1121</v>
      </c>
      <c r="D527" t="s">
        <v>378</v>
      </c>
      <c r="E527" t="s">
        <v>391</v>
      </c>
      <c r="F527">
        <v>14</v>
      </c>
      <c r="G527">
        <v>1968</v>
      </c>
      <c r="H527">
        <v>290</v>
      </c>
      <c r="I527">
        <v>8.6890000000000001</v>
      </c>
      <c r="J527">
        <v>496.233</v>
      </c>
      <c r="K527">
        <v>98</v>
      </c>
    </row>
    <row r="528" spans="1:11" x14ac:dyDescent="0.4">
      <c r="A528">
        <v>21053</v>
      </c>
      <c r="B528" t="s">
        <v>1120</v>
      </c>
      <c r="C528" t="s">
        <v>532</v>
      </c>
      <c r="D528" t="s">
        <v>378</v>
      </c>
      <c r="E528" t="s">
        <v>391</v>
      </c>
      <c r="F528">
        <v>14</v>
      </c>
      <c r="G528">
        <v>1997</v>
      </c>
      <c r="H528">
        <v>85</v>
      </c>
      <c r="I528">
        <v>29.812999999999999</v>
      </c>
      <c r="J528">
        <v>1926.6130000000001</v>
      </c>
      <c r="K528">
        <v>830</v>
      </c>
    </row>
    <row r="529" spans="1:11" x14ac:dyDescent="0.4">
      <c r="A529">
        <v>98379</v>
      </c>
      <c r="B529" t="s">
        <v>1122</v>
      </c>
      <c r="C529" t="s">
        <v>1123</v>
      </c>
      <c r="E529" t="s">
        <v>185</v>
      </c>
      <c r="F529">
        <v>63</v>
      </c>
      <c r="G529">
        <v>1953</v>
      </c>
      <c r="H529">
        <v>510</v>
      </c>
      <c r="I529">
        <v>1.5629999999999999</v>
      </c>
      <c r="J529">
        <v>65.795000000000002</v>
      </c>
      <c r="K529">
        <v>0</v>
      </c>
    </row>
    <row r="530" spans="1:11" x14ac:dyDescent="0.4">
      <c r="A530">
        <v>12048</v>
      </c>
      <c r="B530" t="s">
        <v>1124</v>
      </c>
      <c r="C530" t="s">
        <v>1125</v>
      </c>
      <c r="E530" t="s">
        <v>391</v>
      </c>
      <c r="F530">
        <v>14</v>
      </c>
      <c r="G530">
        <v>1966</v>
      </c>
      <c r="H530">
        <v>244</v>
      </c>
      <c r="I530">
        <v>16.030999999999999</v>
      </c>
      <c r="J530">
        <v>687.49099999999999</v>
      </c>
      <c r="K530">
        <v>61</v>
      </c>
    </row>
    <row r="531" spans="1:11" x14ac:dyDescent="0.4">
      <c r="A531">
        <v>22102</v>
      </c>
      <c r="B531" t="s">
        <v>1126</v>
      </c>
      <c r="C531" t="s">
        <v>630</v>
      </c>
      <c r="E531" t="s">
        <v>391</v>
      </c>
      <c r="F531">
        <v>14</v>
      </c>
      <c r="G531">
        <v>1975</v>
      </c>
      <c r="H531">
        <v>410</v>
      </c>
      <c r="I531">
        <v>4.7809999999999997</v>
      </c>
      <c r="J531">
        <v>169.751</v>
      </c>
      <c r="K531">
        <v>0</v>
      </c>
    </row>
    <row r="532" spans="1:11" x14ac:dyDescent="0.4">
      <c r="A532">
        <v>99555</v>
      </c>
      <c r="B532" t="s">
        <v>1126</v>
      </c>
      <c r="C532" t="s">
        <v>487</v>
      </c>
      <c r="E532" t="s">
        <v>391</v>
      </c>
      <c r="F532">
        <v>14</v>
      </c>
      <c r="G532">
        <v>1981</v>
      </c>
      <c r="H532">
        <v>47</v>
      </c>
      <c r="I532">
        <v>36.875</v>
      </c>
      <c r="J532">
        <v>2352.8919999999998</v>
      </c>
      <c r="K532">
        <v>1003</v>
      </c>
    </row>
    <row r="533" spans="1:11" x14ac:dyDescent="0.4">
      <c r="A533">
        <v>15023</v>
      </c>
      <c r="B533" t="s">
        <v>1127</v>
      </c>
      <c r="C533" t="s">
        <v>650</v>
      </c>
      <c r="E533" t="s">
        <v>166</v>
      </c>
      <c r="F533">
        <v>54</v>
      </c>
      <c r="G533">
        <v>1965</v>
      </c>
      <c r="H533">
        <v>70</v>
      </c>
      <c r="I533">
        <v>24.751000000000001</v>
      </c>
      <c r="J533">
        <v>2095.3090000000002</v>
      </c>
      <c r="K533">
        <v>1161</v>
      </c>
    </row>
    <row r="534" spans="1:11" x14ac:dyDescent="0.4">
      <c r="A534">
        <v>20524</v>
      </c>
      <c r="B534" t="s">
        <v>1128</v>
      </c>
      <c r="C534" t="s">
        <v>566</v>
      </c>
      <c r="E534" t="s">
        <v>514</v>
      </c>
      <c r="F534">
        <v>83</v>
      </c>
      <c r="G534">
        <v>1970</v>
      </c>
      <c r="H534">
        <v>710</v>
      </c>
      <c r="I534">
        <v>0</v>
      </c>
      <c r="J534">
        <v>0</v>
      </c>
      <c r="K534">
        <v>0</v>
      </c>
    </row>
    <row r="535" spans="1:11" x14ac:dyDescent="0.4">
      <c r="A535">
        <v>22128</v>
      </c>
      <c r="B535" t="s">
        <v>1129</v>
      </c>
      <c r="C535" t="s">
        <v>566</v>
      </c>
      <c r="E535" t="s">
        <v>176</v>
      </c>
      <c r="F535">
        <v>95</v>
      </c>
      <c r="G535">
        <v>1979</v>
      </c>
      <c r="H535">
        <v>519</v>
      </c>
      <c r="I535">
        <v>2</v>
      </c>
      <c r="J535">
        <v>63</v>
      </c>
      <c r="K535">
        <v>0</v>
      </c>
    </row>
    <row r="536" spans="1:11" x14ac:dyDescent="0.4">
      <c r="A536">
        <v>17086</v>
      </c>
      <c r="B536" t="s">
        <v>1130</v>
      </c>
      <c r="C536" t="s">
        <v>498</v>
      </c>
      <c r="E536" t="s">
        <v>320</v>
      </c>
      <c r="F536">
        <v>86</v>
      </c>
      <c r="G536">
        <v>1995</v>
      </c>
      <c r="H536">
        <v>179</v>
      </c>
      <c r="I536">
        <v>12.782999999999999</v>
      </c>
      <c r="J536">
        <v>1065.18</v>
      </c>
      <c r="K536">
        <v>472</v>
      </c>
    </row>
    <row r="537" spans="1:11" x14ac:dyDescent="0.4">
      <c r="A537">
        <v>25017</v>
      </c>
      <c r="B537" t="s">
        <v>1131</v>
      </c>
      <c r="C537" t="s">
        <v>574</v>
      </c>
      <c r="D537" t="s">
        <v>378</v>
      </c>
      <c r="E537" t="s">
        <v>160</v>
      </c>
      <c r="F537">
        <v>64</v>
      </c>
      <c r="G537">
        <v>1963</v>
      </c>
      <c r="H537">
        <v>48</v>
      </c>
      <c r="I537">
        <v>31.187999999999999</v>
      </c>
      <c r="J537">
        <v>2346.2179999999998</v>
      </c>
      <c r="K537">
        <v>1338</v>
      </c>
    </row>
    <row r="538" spans="1:11" x14ac:dyDescent="0.4">
      <c r="A538">
        <v>21023</v>
      </c>
      <c r="B538" t="s">
        <v>1132</v>
      </c>
      <c r="C538" t="s">
        <v>485</v>
      </c>
      <c r="E538" t="s">
        <v>320</v>
      </c>
      <c r="F538">
        <v>86</v>
      </c>
      <c r="G538">
        <v>1990</v>
      </c>
      <c r="H538">
        <v>524</v>
      </c>
      <c r="I538">
        <v>0.82799999999999996</v>
      </c>
      <c r="J538">
        <v>60.875</v>
      </c>
      <c r="K538">
        <v>20</v>
      </c>
    </row>
    <row r="539" spans="1:11" x14ac:dyDescent="0.4">
      <c r="A539">
        <v>23229</v>
      </c>
      <c r="B539" t="s">
        <v>1133</v>
      </c>
      <c r="C539" t="s">
        <v>580</v>
      </c>
      <c r="E539" t="s">
        <v>237</v>
      </c>
      <c r="F539">
        <v>1</v>
      </c>
      <c r="G539">
        <v>1980</v>
      </c>
      <c r="H539">
        <v>95</v>
      </c>
      <c r="I539">
        <v>25.812999999999999</v>
      </c>
      <c r="J539">
        <v>1831.3230000000001</v>
      </c>
      <c r="K539">
        <v>709</v>
      </c>
    </row>
    <row r="540" spans="1:11" x14ac:dyDescent="0.4">
      <c r="A540">
        <v>20582</v>
      </c>
      <c r="B540" t="s">
        <v>1134</v>
      </c>
      <c r="C540" t="s">
        <v>1135</v>
      </c>
      <c r="E540" t="s">
        <v>176</v>
      </c>
      <c r="F540">
        <v>95</v>
      </c>
      <c r="G540">
        <v>1966</v>
      </c>
      <c r="H540">
        <v>533</v>
      </c>
      <c r="I540">
        <v>1.5309999999999999</v>
      </c>
      <c r="J540">
        <v>51.238999999999997</v>
      </c>
      <c r="K540">
        <v>0</v>
      </c>
    </row>
    <row r="541" spans="1:11" x14ac:dyDescent="0.4">
      <c r="A541">
        <v>21805</v>
      </c>
      <c r="B541" t="s">
        <v>1136</v>
      </c>
      <c r="C541" t="s">
        <v>1044</v>
      </c>
      <c r="D541" t="s">
        <v>378</v>
      </c>
      <c r="E541" t="s">
        <v>355</v>
      </c>
      <c r="F541">
        <v>42</v>
      </c>
      <c r="G541">
        <v>1959</v>
      </c>
      <c r="H541">
        <v>263</v>
      </c>
      <c r="I541">
        <v>10.846</v>
      </c>
      <c r="J541">
        <v>607.13400000000001</v>
      </c>
      <c r="K541">
        <v>156</v>
      </c>
    </row>
    <row r="542" spans="1:11" x14ac:dyDescent="0.4">
      <c r="A542">
        <v>26086</v>
      </c>
      <c r="B542" t="s">
        <v>1137</v>
      </c>
      <c r="C542" t="s">
        <v>500</v>
      </c>
      <c r="E542" t="s">
        <v>424</v>
      </c>
      <c r="F542">
        <v>36</v>
      </c>
      <c r="G542">
        <v>1989</v>
      </c>
      <c r="H542">
        <v>712</v>
      </c>
      <c r="I542">
        <v>0</v>
      </c>
      <c r="J542">
        <v>0</v>
      </c>
      <c r="K542">
        <v>0</v>
      </c>
    </row>
    <row r="543" spans="1:11" x14ac:dyDescent="0.4">
      <c r="A543">
        <v>15092</v>
      </c>
      <c r="B543" t="s">
        <v>1137</v>
      </c>
      <c r="C543" t="s">
        <v>554</v>
      </c>
      <c r="E543" t="s">
        <v>424</v>
      </c>
      <c r="F543">
        <v>36</v>
      </c>
      <c r="G543">
        <v>1988</v>
      </c>
      <c r="H543">
        <v>711</v>
      </c>
      <c r="I543">
        <v>0</v>
      </c>
      <c r="J543">
        <v>0</v>
      </c>
      <c r="K543">
        <v>0</v>
      </c>
    </row>
    <row r="544" spans="1:11" x14ac:dyDescent="0.4">
      <c r="A544">
        <v>20617</v>
      </c>
      <c r="B544" t="s">
        <v>1138</v>
      </c>
      <c r="C544" t="s">
        <v>610</v>
      </c>
      <c r="E544" t="s">
        <v>263</v>
      </c>
      <c r="F544">
        <v>17</v>
      </c>
      <c r="G544">
        <v>1977</v>
      </c>
      <c r="H544">
        <v>16</v>
      </c>
      <c r="I544">
        <v>39</v>
      </c>
      <c r="J544">
        <v>3264.3560000000002</v>
      </c>
      <c r="K544">
        <v>1614</v>
      </c>
    </row>
    <row r="545" spans="1:11" x14ac:dyDescent="0.4">
      <c r="A545">
        <v>22007</v>
      </c>
      <c r="B545" t="s">
        <v>1139</v>
      </c>
      <c r="C545" t="s">
        <v>566</v>
      </c>
      <c r="E545" t="s">
        <v>160</v>
      </c>
      <c r="F545">
        <v>64</v>
      </c>
      <c r="G545">
        <v>1977</v>
      </c>
      <c r="H545">
        <v>14</v>
      </c>
      <c r="I545">
        <v>40.75</v>
      </c>
      <c r="J545">
        <v>3343.011</v>
      </c>
      <c r="K545">
        <v>1399</v>
      </c>
    </row>
    <row r="546" spans="1:11" x14ac:dyDescent="0.4">
      <c r="A546">
        <v>20701</v>
      </c>
      <c r="B546" t="s">
        <v>1140</v>
      </c>
      <c r="C546" t="s">
        <v>1109</v>
      </c>
      <c r="D546" t="s">
        <v>378</v>
      </c>
      <c r="E546" t="s">
        <v>263</v>
      </c>
      <c r="F546">
        <v>17</v>
      </c>
      <c r="G546">
        <v>1971</v>
      </c>
      <c r="H546">
        <v>713</v>
      </c>
      <c r="I546">
        <v>0</v>
      </c>
      <c r="J546">
        <v>0</v>
      </c>
      <c r="K546">
        <v>0</v>
      </c>
    </row>
    <row r="547" spans="1:11" x14ac:dyDescent="0.4">
      <c r="A547">
        <v>22175</v>
      </c>
      <c r="B547" t="s">
        <v>1141</v>
      </c>
      <c r="C547" t="s">
        <v>1142</v>
      </c>
      <c r="D547" t="s">
        <v>378</v>
      </c>
      <c r="E547" t="s">
        <v>320</v>
      </c>
      <c r="F547">
        <v>86</v>
      </c>
      <c r="G547">
        <v>2000</v>
      </c>
      <c r="H547">
        <v>714</v>
      </c>
      <c r="I547">
        <v>0</v>
      </c>
      <c r="J547">
        <v>0</v>
      </c>
      <c r="K547">
        <v>0</v>
      </c>
    </row>
    <row r="548" spans="1:11" x14ac:dyDescent="0.4">
      <c r="A548">
        <v>17105</v>
      </c>
      <c r="B548" t="s">
        <v>1143</v>
      </c>
      <c r="C548" t="s">
        <v>1144</v>
      </c>
      <c r="E548" t="s">
        <v>488</v>
      </c>
      <c r="F548">
        <v>79</v>
      </c>
      <c r="G548">
        <v>1991</v>
      </c>
      <c r="H548">
        <v>526</v>
      </c>
      <c r="I548">
        <v>1.3129999999999999</v>
      </c>
      <c r="J548">
        <v>59.237000000000002</v>
      </c>
      <c r="K548">
        <v>0</v>
      </c>
    </row>
    <row r="549" spans="1:11" x14ac:dyDescent="0.4">
      <c r="A549">
        <v>24271</v>
      </c>
      <c r="B549" t="s">
        <v>1145</v>
      </c>
      <c r="C549" t="s">
        <v>639</v>
      </c>
      <c r="E549" t="s">
        <v>391</v>
      </c>
      <c r="F549">
        <v>14</v>
      </c>
      <c r="G549">
        <v>1972</v>
      </c>
      <c r="H549">
        <v>108</v>
      </c>
      <c r="I549">
        <v>34.125999999999998</v>
      </c>
      <c r="J549">
        <v>1668.8009999999999</v>
      </c>
      <c r="K549">
        <v>418</v>
      </c>
    </row>
    <row r="550" spans="1:11" x14ac:dyDescent="0.4">
      <c r="A550">
        <v>18042</v>
      </c>
      <c r="B550" t="s">
        <v>1146</v>
      </c>
      <c r="C550" t="s">
        <v>1147</v>
      </c>
      <c r="D550" t="s">
        <v>546</v>
      </c>
      <c r="E550" t="s">
        <v>714</v>
      </c>
      <c r="F550">
        <v>21</v>
      </c>
      <c r="G550">
        <v>2008</v>
      </c>
      <c r="H550">
        <v>76</v>
      </c>
      <c r="I550">
        <v>27.251000000000001</v>
      </c>
      <c r="J550">
        <v>1986.8720000000001</v>
      </c>
      <c r="K550">
        <v>914</v>
      </c>
    </row>
    <row r="551" spans="1:11" x14ac:dyDescent="0.4">
      <c r="A551">
        <v>18043</v>
      </c>
      <c r="B551" t="s">
        <v>1148</v>
      </c>
      <c r="C551" t="s">
        <v>1149</v>
      </c>
      <c r="D551" t="s">
        <v>378</v>
      </c>
      <c r="E551" t="s">
        <v>714</v>
      </c>
      <c r="F551">
        <v>21</v>
      </c>
      <c r="G551">
        <v>2004</v>
      </c>
      <c r="H551">
        <v>224</v>
      </c>
      <c r="I551">
        <v>11.345000000000001</v>
      </c>
      <c r="J551">
        <v>798.23</v>
      </c>
      <c r="K551">
        <v>329</v>
      </c>
    </row>
    <row r="552" spans="1:11" x14ac:dyDescent="0.4">
      <c r="A552">
        <v>18064</v>
      </c>
      <c r="B552" t="s">
        <v>1150</v>
      </c>
      <c r="C552" t="s">
        <v>589</v>
      </c>
      <c r="E552" t="s">
        <v>244</v>
      </c>
      <c r="F552">
        <v>88</v>
      </c>
      <c r="G552">
        <v>1969</v>
      </c>
      <c r="H552">
        <v>187</v>
      </c>
      <c r="I552">
        <v>17.001000000000001</v>
      </c>
      <c r="J552">
        <v>1036.4290000000001</v>
      </c>
      <c r="K552">
        <v>410</v>
      </c>
    </row>
    <row r="553" spans="1:11" x14ac:dyDescent="0.4">
      <c r="A553">
        <v>22120</v>
      </c>
      <c r="B553" t="s">
        <v>1151</v>
      </c>
      <c r="C553" t="s">
        <v>703</v>
      </c>
      <c r="D553" t="s">
        <v>508</v>
      </c>
      <c r="E553" t="s">
        <v>244</v>
      </c>
      <c r="F553">
        <v>88</v>
      </c>
      <c r="G553">
        <v>2014</v>
      </c>
      <c r="H553">
        <v>288</v>
      </c>
      <c r="I553">
        <v>14.141999999999999</v>
      </c>
      <c r="J553">
        <v>500.70800000000003</v>
      </c>
      <c r="K553">
        <v>0</v>
      </c>
    </row>
    <row r="554" spans="1:11" x14ac:dyDescent="0.4">
      <c r="A554">
        <v>20579</v>
      </c>
      <c r="B554" t="s">
        <v>1151</v>
      </c>
      <c r="C554" t="s">
        <v>1152</v>
      </c>
      <c r="D554" t="s">
        <v>508</v>
      </c>
      <c r="E554" t="s">
        <v>244</v>
      </c>
      <c r="F554">
        <v>88</v>
      </c>
      <c r="G554">
        <v>2012</v>
      </c>
      <c r="H554">
        <v>261</v>
      </c>
      <c r="I554">
        <v>15.689</v>
      </c>
      <c r="J554">
        <v>614.43600000000004</v>
      </c>
      <c r="K554">
        <v>82</v>
      </c>
    </row>
    <row r="555" spans="1:11" x14ac:dyDescent="0.4">
      <c r="A555">
        <v>20585</v>
      </c>
      <c r="B555" t="s">
        <v>1153</v>
      </c>
      <c r="C555" t="s">
        <v>584</v>
      </c>
      <c r="D555" t="s">
        <v>546</v>
      </c>
      <c r="E555" t="s">
        <v>176</v>
      </c>
      <c r="F555">
        <v>95</v>
      </c>
      <c r="G555">
        <v>2007</v>
      </c>
      <c r="H555">
        <v>477</v>
      </c>
      <c r="I555">
        <v>1.4059999999999999</v>
      </c>
      <c r="J555">
        <v>99.900999999999996</v>
      </c>
      <c r="K555">
        <v>39</v>
      </c>
    </row>
    <row r="556" spans="1:11" x14ac:dyDescent="0.4">
      <c r="A556">
        <v>20584</v>
      </c>
      <c r="B556" t="s">
        <v>1153</v>
      </c>
      <c r="C556" t="s">
        <v>569</v>
      </c>
      <c r="E556" t="s">
        <v>176</v>
      </c>
      <c r="F556">
        <v>95</v>
      </c>
      <c r="G556">
        <v>1976</v>
      </c>
      <c r="H556">
        <v>373</v>
      </c>
      <c r="I556">
        <v>5.657</v>
      </c>
      <c r="J556">
        <v>250.417</v>
      </c>
      <c r="K556">
        <v>39</v>
      </c>
    </row>
    <row r="557" spans="1:11" x14ac:dyDescent="0.4">
      <c r="A557">
        <v>20586</v>
      </c>
      <c r="B557" t="s">
        <v>1153</v>
      </c>
      <c r="C557" t="s">
        <v>1154</v>
      </c>
      <c r="D557" t="s">
        <v>546</v>
      </c>
      <c r="E557" t="s">
        <v>176</v>
      </c>
      <c r="F557">
        <v>95</v>
      </c>
      <c r="G557">
        <v>2010</v>
      </c>
      <c r="H557">
        <v>469</v>
      </c>
      <c r="I557">
        <v>1.5620000000000001</v>
      </c>
      <c r="J557">
        <v>106.742</v>
      </c>
      <c r="K557">
        <v>39</v>
      </c>
    </row>
    <row r="558" spans="1:11" x14ac:dyDescent="0.4">
      <c r="A558">
        <v>97242</v>
      </c>
      <c r="B558" t="s">
        <v>1155</v>
      </c>
      <c r="C558" t="s">
        <v>630</v>
      </c>
      <c r="E558" t="s">
        <v>522</v>
      </c>
      <c r="F558">
        <v>2</v>
      </c>
      <c r="G558">
        <v>1951</v>
      </c>
      <c r="H558">
        <v>547</v>
      </c>
      <c r="I558">
        <v>1</v>
      </c>
      <c r="J558">
        <v>38.883000000000003</v>
      </c>
      <c r="K558">
        <v>0</v>
      </c>
    </row>
    <row r="559" spans="1:11" x14ac:dyDescent="0.4">
      <c r="A559">
        <v>23084</v>
      </c>
      <c r="B559" t="s">
        <v>1156</v>
      </c>
      <c r="C559" t="s">
        <v>479</v>
      </c>
      <c r="E559" t="s">
        <v>522</v>
      </c>
      <c r="F559">
        <v>2</v>
      </c>
      <c r="G559">
        <v>1952</v>
      </c>
      <c r="H559">
        <v>289</v>
      </c>
      <c r="I559">
        <v>15.407</v>
      </c>
      <c r="J559">
        <v>496.71899999999999</v>
      </c>
      <c r="K559">
        <v>67</v>
      </c>
    </row>
    <row r="560" spans="1:11" x14ac:dyDescent="0.4">
      <c r="A560">
        <v>27086</v>
      </c>
      <c r="B560" t="s">
        <v>1157</v>
      </c>
      <c r="C560" t="s">
        <v>539</v>
      </c>
      <c r="E560" t="s">
        <v>285</v>
      </c>
      <c r="F560">
        <v>19</v>
      </c>
      <c r="G560">
        <v>1947</v>
      </c>
      <c r="H560">
        <v>551</v>
      </c>
      <c r="I560">
        <v>0.5</v>
      </c>
      <c r="J560">
        <v>36.83</v>
      </c>
      <c r="K560">
        <v>18</v>
      </c>
    </row>
    <row r="561" spans="1:11" x14ac:dyDescent="0.4">
      <c r="A561">
        <v>20724</v>
      </c>
      <c r="B561" t="s">
        <v>1157</v>
      </c>
      <c r="C561" t="s">
        <v>630</v>
      </c>
      <c r="E561" t="s">
        <v>285</v>
      </c>
      <c r="F561">
        <v>19</v>
      </c>
      <c r="G561">
        <v>1956</v>
      </c>
      <c r="H561">
        <v>550</v>
      </c>
      <c r="I561">
        <v>0.5</v>
      </c>
      <c r="J561">
        <v>36.83</v>
      </c>
      <c r="K561">
        <v>18</v>
      </c>
    </row>
    <row r="562" spans="1:11" x14ac:dyDescent="0.4">
      <c r="A562">
        <v>24530</v>
      </c>
      <c r="B562" t="s">
        <v>1158</v>
      </c>
      <c r="C562" t="s">
        <v>589</v>
      </c>
      <c r="E562" t="s">
        <v>904</v>
      </c>
      <c r="F562">
        <v>101</v>
      </c>
      <c r="G562">
        <v>1995</v>
      </c>
      <c r="H562">
        <v>715</v>
      </c>
      <c r="I562">
        <v>0</v>
      </c>
      <c r="J562">
        <v>0</v>
      </c>
      <c r="K562">
        <v>0</v>
      </c>
    </row>
    <row r="563" spans="1:11" x14ac:dyDescent="0.4">
      <c r="A563">
        <v>24531</v>
      </c>
      <c r="B563" t="s">
        <v>1159</v>
      </c>
      <c r="C563" t="s">
        <v>574</v>
      </c>
      <c r="D563" t="s">
        <v>378</v>
      </c>
      <c r="E563" t="s">
        <v>904</v>
      </c>
      <c r="F563">
        <v>101</v>
      </c>
      <c r="G563">
        <v>1998</v>
      </c>
      <c r="H563">
        <v>716</v>
      </c>
      <c r="I563">
        <v>0</v>
      </c>
      <c r="J563">
        <v>0</v>
      </c>
      <c r="K563">
        <v>0</v>
      </c>
    </row>
    <row r="564" spans="1:11" x14ac:dyDescent="0.4">
      <c r="A564">
        <v>17008</v>
      </c>
      <c r="B564" t="s">
        <v>1160</v>
      </c>
      <c r="C564" t="s">
        <v>1161</v>
      </c>
      <c r="D564" t="s">
        <v>378</v>
      </c>
      <c r="E564" t="s">
        <v>739</v>
      </c>
      <c r="F564">
        <v>85</v>
      </c>
      <c r="G564">
        <v>1952</v>
      </c>
      <c r="H564">
        <v>717</v>
      </c>
      <c r="I564">
        <v>0</v>
      </c>
      <c r="J564">
        <v>0</v>
      </c>
      <c r="K564">
        <v>0</v>
      </c>
    </row>
    <row r="565" spans="1:11" x14ac:dyDescent="0.4">
      <c r="A565">
        <v>13046</v>
      </c>
      <c r="B565" t="s">
        <v>1162</v>
      </c>
      <c r="C565" t="s">
        <v>1125</v>
      </c>
      <c r="E565" t="s">
        <v>189</v>
      </c>
      <c r="F565">
        <v>20</v>
      </c>
      <c r="G565">
        <v>1941</v>
      </c>
      <c r="H565">
        <v>484</v>
      </c>
      <c r="I565">
        <v>2.0630000000000002</v>
      </c>
      <c r="J565">
        <v>92.945999999999998</v>
      </c>
      <c r="K565">
        <v>0</v>
      </c>
    </row>
    <row r="566" spans="1:11" x14ac:dyDescent="0.4">
      <c r="A566">
        <v>19073</v>
      </c>
      <c r="B566" t="s">
        <v>1163</v>
      </c>
      <c r="C566" t="s">
        <v>481</v>
      </c>
      <c r="D566" t="s">
        <v>546</v>
      </c>
      <c r="E566" t="s">
        <v>180</v>
      </c>
      <c r="F566">
        <v>89</v>
      </c>
      <c r="G566">
        <v>2009</v>
      </c>
      <c r="H566">
        <v>470</v>
      </c>
      <c r="I566">
        <v>1.9059999999999999</v>
      </c>
      <c r="J566">
        <v>105.521</v>
      </c>
      <c r="K566">
        <v>20</v>
      </c>
    </row>
    <row r="567" spans="1:11" x14ac:dyDescent="0.4">
      <c r="A567">
        <v>19074</v>
      </c>
      <c r="B567" t="s">
        <v>1163</v>
      </c>
      <c r="C567" t="s">
        <v>485</v>
      </c>
      <c r="E567" t="s">
        <v>180</v>
      </c>
      <c r="F567">
        <v>89</v>
      </c>
      <c r="G567">
        <v>1965</v>
      </c>
      <c r="H567">
        <v>425</v>
      </c>
      <c r="I567">
        <v>3.6560000000000001</v>
      </c>
      <c r="J567">
        <v>159.85900000000001</v>
      </c>
      <c r="K567">
        <v>20</v>
      </c>
    </row>
    <row r="568" spans="1:11" x14ac:dyDescent="0.4">
      <c r="A568">
        <v>20539</v>
      </c>
      <c r="B568" t="s">
        <v>1164</v>
      </c>
      <c r="C568" t="s">
        <v>490</v>
      </c>
      <c r="E568" t="s">
        <v>496</v>
      </c>
      <c r="F568">
        <v>93</v>
      </c>
      <c r="G568">
        <v>1985</v>
      </c>
      <c r="H568">
        <v>203</v>
      </c>
      <c r="I568">
        <v>13.157</v>
      </c>
      <c r="J568">
        <v>916.43899999999996</v>
      </c>
      <c r="K568">
        <v>422</v>
      </c>
    </row>
    <row r="569" spans="1:11" x14ac:dyDescent="0.4">
      <c r="A569">
        <v>23210</v>
      </c>
      <c r="B569" t="s">
        <v>1165</v>
      </c>
      <c r="C569" t="s">
        <v>711</v>
      </c>
      <c r="D569" t="s">
        <v>378</v>
      </c>
      <c r="E569" t="s">
        <v>496</v>
      </c>
      <c r="F569">
        <v>93</v>
      </c>
      <c r="G569">
        <v>1993</v>
      </c>
      <c r="H569">
        <v>495</v>
      </c>
      <c r="I569">
        <v>3.5</v>
      </c>
      <c r="J569">
        <v>77.248999999999995</v>
      </c>
      <c r="K569">
        <v>0</v>
      </c>
    </row>
    <row r="570" spans="1:11" x14ac:dyDescent="0.4">
      <c r="A570">
        <v>96041</v>
      </c>
      <c r="B570" t="s">
        <v>1166</v>
      </c>
      <c r="C570" t="s">
        <v>1167</v>
      </c>
      <c r="D570" t="s">
        <v>378</v>
      </c>
      <c r="E570" t="s">
        <v>237</v>
      </c>
      <c r="F570">
        <v>1</v>
      </c>
      <c r="G570">
        <v>1955</v>
      </c>
      <c r="H570">
        <v>718</v>
      </c>
      <c r="I570">
        <v>0</v>
      </c>
      <c r="J570">
        <v>0</v>
      </c>
      <c r="K570">
        <v>0</v>
      </c>
    </row>
    <row r="571" spans="1:11" x14ac:dyDescent="0.4">
      <c r="A571">
        <v>20536</v>
      </c>
      <c r="B571" t="s">
        <v>1168</v>
      </c>
      <c r="C571" t="s">
        <v>1169</v>
      </c>
      <c r="D571" t="s">
        <v>378</v>
      </c>
      <c r="E571" t="s">
        <v>578</v>
      </c>
      <c r="F571">
        <v>92</v>
      </c>
      <c r="G571">
        <v>1990</v>
      </c>
      <c r="H571">
        <v>209</v>
      </c>
      <c r="I571">
        <v>14.815</v>
      </c>
      <c r="J571">
        <v>888.03899999999999</v>
      </c>
      <c r="K571">
        <v>284</v>
      </c>
    </row>
    <row r="572" spans="1:11" x14ac:dyDescent="0.4">
      <c r="A572">
        <v>17090</v>
      </c>
      <c r="B572" t="s">
        <v>1168</v>
      </c>
      <c r="C572" t="s">
        <v>601</v>
      </c>
      <c r="D572" t="s">
        <v>378</v>
      </c>
      <c r="E572" t="s">
        <v>578</v>
      </c>
      <c r="F572">
        <v>92</v>
      </c>
      <c r="G572">
        <v>1959</v>
      </c>
      <c r="H572">
        <v>126</v>
      </c>
      <c r="I572">
        <v>20.407</v>
      </c>
      <c r="J572">
        <v>1496.865</v>
      </c>
      <c r="K572">
        <v>795</v>
      </c>
    </row>
    <row r="573" spans="1:11" x14ac:dyDescent="0.4">
      <c r="A573">
        <v>21021</v>
      </c>
      <c r="B573" t="s">
        <v>1170</v>
      </c>
      <c r="C573" t="s">
        <v>1171</v>
      </c>
      <c r="D573" t="s">
        <v>508</v>
      </c>
      <c r="E573" t="s">
        <v>166</v>
      </c>
      <c r="F573">
        <v>54</v>
      </c>
      <c r="G573">
        <v>2009</v>
      </c>
      <c r="H573">
        <v>100</v>
      </c>
      <c r="I573">
        <v>23.719000000000001</v>
      </c>
      <c r="J573">
        <v>1790.6389999999999</v>
      </c>
      <c r="K573">
        <v>807</v>
      </c>
    </row>
    <row r="574" spans="1:11" x14ac:dyDescent="0.4">
      <c r="A574">
        <v>22100</v>
      </c>
      <c r="B574" t="s">
        <v>1172</v>
      </c>
      <c r="C574" t="s">
        <v>1173</v>
      </c>
      <c r="D574" t="s">
        <v>378</v>
      </c>
      <c r="E574" t="s">
        <v>237</v>
      </c>
      <c r="F574">
        <v>1</v>
      </c>
      <c r="G574">
        <v>1991</v>
      </c>
      <c r="H574">
        <v>19</v>
      </c>
      <c r="I574">
        <v>40</v>
      </c>
      <c r="J574">
        <v>3103.9659999999999</v>
      </c>
      <c r="K574">
        <v>1554</v>
      </c>
    </row>
    <row r="575" spans="1:11" x14ac:dyDescent="0.4">
      <c r="A575">
        <v>15084</v>
      </c>
      <c r="B575" t="s">
        <v>1174</v>
      </c>
      <c r="C575" t="s">
        <v>566</v>
      </c>
      <c r="E575" t="s">
        <v>522</v>
      </c>
      <c r="F575">
        <v>2</v>
      </c>
      <c r="G575">
        <v>1965</v>
      </c>
      <c r="H575">
        <v>356</v>
      </c>
      <c r="I575">
        <v>8.2189999999999994</v>
      </c>
      <c r="J575">
        <v>286.67200000000003</v>
      </c>
      <c r="K575">
        <v>45</v>
      </c>
    </row>
    <row r="576" spans="1:11" x14ac:dyDescent="0.4">
      <c r="A576">
        <v>18130</v>
      </c>
      <c r="B576" t="s">
        <v>1175</v>
      </c>
      <c r="C576" t="s">
        <v>559</v>
      </c>
      <c r="E576" t="s">
        <v>578</v>
      </c>
      <c r="F576">
        <v>92</v>
      </c>
      <c r="G576">
        <v>1963</v>
      </c>
      <c r="H576">
        <v>127</v>
      </c>
      <c r="I576">
        <v>20.469000000000001</v>
      </c>
      <c r="J576">
        <v>1496.865</v>
      </c>
      <c r="K576">
        <v>795</v>
      </c>
    </row>
    <row r="577" spans="1:11" x14ac:dyDescent="0.4">
      <c r="A577">
        <v>21007</v>
      </c>
      <c r="B577" t="s">
        <v>1176</v>
      </c>
      <c r="C577" t="s">
        <v>711</v>
      </c>
      <c r="D577" t="s">
        <v>378</v>
      </c>
      <c r="E577" t="s">
        <v>304</v>
      </c>
      <c r="F577">
        <v>45</v>
      </c>
      <c r="G577">
        <v>1978</v>
      </c>
      <c r="H577">
        <v>223</v>
      </c>
      <c r="I577">
        <v>17.314</v>
      </c>
      <c r="J577">
        <v>805.64499999999998</v>
      </c>
      <c r="K577">
        <v>266</v>
      </c>
    </row>
    <row r="578" spans="1:11" x14ac:dyDescent="0.4">
      <c r="A578">
        <v>15056</v>
      </c>
      <c r="B578" t="s">
        <v>1177</v>
      </c>
      <c r="C578" t="s">
        <v>532</v>
      </c>
      <c r="D578" t="s">
        <v>378</v>
      </c>
      <c r="E578" t="s">
        <v>237</v>
      </c>
      <c r="F578">
        <v>1</v>
      </c>
      <c r="G578">
        <v>2002</v>
      </c>
      <c r="H578">
        <v>543</v>
      </c>
      <c r="I578">
        <v>0.90600000000000003</v>
      </c>
      <c r="J578">
        <v>40.902000000000001</v>
      </c>
      <c r="K578">
        <v>0</v>
      </c>
    </row>
    <row r="579" spans="1:11" x14ac:dyDescent="0.4">
      <c r="A579">
        <v>22154</v>
      </c>
      <c r="B579" t="s">
        <v>1178</v>
      </c>
      <c r="C579" t="s">
        <v>1179</v>
      </c>
      <c r="D579" t="s">
        <v>378</v>
      </c>
      <c r="E579" t="s">
        <v>729</v>
      </c>
      <c r="F579">
        <v>87</v>
      </c>
      <c r="G579">
        <v>1957</v>
      </c>
      <c r="H579">
        <v>171</v>
      </c>
      <c r="I579">
        <v>16.47</v>
      </c>
      <c r="J579">
        <v>1130.162</v>
      </c>
      <c r="K579">
        <v>442</v>
      </c>
    </row>
    <row r="580" spans="1:11" x14ac:dyDescent="0.4">
      <c r="A580">
        <v>14098</v>
      </c>
      <c r="B580" t="s">
        <v>1180</v>
      </c>
      <c r="C580" t="s">
        <v>485</v>
      </c>
      <c r="E580" t="s">
        <v>456</v>
      </c>
      <c r="F580">
        <v>52</v>
      </c>
      <c r="G580">
        <v>1980</v>
      </c>
      <c r="H580">
        <v>200</v>
      </c>
      <c r="I580">
        <v>15.782</v>
      </c>
      <c r="J580">
        <v>951.95</v>
      </c>
      <c r="K580">
        <v>275</v>
      </c>
    </row>
    <row r="581" spans="1:11" x14ac:dyDescent="0.4">
      <c r="A581">
        <v>15009</v>
      </c>
      <c r="B581" t="s">
        <v>1181</v>
      </c>
      <c r="C581" t="s">
        <v>487</v>
      </c>
      <c r="E581" t="s">
        <v>197</v>
      </c>
      <c r="F581">
        <v>15</v>
      </c>
      <c r="G581">
        <v>1995</v>
      </c>
      <c r="H581">
        <v>68</v>
      </c>
      <c r="I581">
        <v>36.188000000000002</v>
      </c>
      <c r="J581">
        <v>2123.6999999999998</v>
      </c>
      <c r="K581">
        <v>634</v>
      </c>
    </row>
    <row r="582" spans="1:11" x14ac:dyDescent="0.4">
      <c r="A582">
        <v>15008</v>
      </c>
      <c r="B582" t="s">
        <v>1181</v>
      </c>
      <c r="C582" t="s">
        <v>963</v>
      </c>
      <c r="E582" t="s">
        <v>197</v>
      </c>
      <c r="F582">
        <v>15</v>
      </c>
      <c r="G582">
        <v>1995</v>
      </c>
      <c r="H582">
        <v>40</v>
      </c>
      <c r="I582">
        <v>38.75</v>
      </c>
      <c r="J582">
        <v>2476.4659999999999</v>
      </c>
      <c r="K582">
        <v>905</v>
      </c>
    </row>
    <row r="583" spans="1:11" x14ac:dyDescent="0.4">
      <c r="A583">
        <v>20618</v>
      </c>
      <c r="B583" t="s">
        <v>1182</v>
      </c>
      <c r="C583" t="s">
        <v>1062</v>
      </c>
      <c r="D583" t="s">
        <v>546</v>
      </c>
      <c r="E583" t="s">
        <v>176</v>
      </c>
      <c r="F583">
        <v>95</v>
      </c>
      <c r="G583">
        <v>2009</v>
      </c>
      <c r="H583">
        <v>549</v>
      </c>
      <c r="I583">
        <v>0.90600000000000003</v>
      </c>
      <c r="J583">
        <v>36.987000000000002</v>
      </c>
      <c r="K583">
        <v>0</v>
      </c>
    </row>
    <row r="584" spans="1:11" x14ac:dyDescent="0.4">
      <c r="A584">
        <v>26001</v>
      </c>
      <c r="B584" t="s">
        <v>1183</v>
      </c>
      <c r="C584" t="s">
        <v>1109</v>
      </c>
      <c r="D584" t="s">
        <v>378</v>
      </c>
      <c r="E584" t="s">
        <v>263</v>
      </c>
      <c r="F584">
        <v>17</v>
      </c>
      <c r="G584">
        <v>1997</v>
      </c>
      <c r="H584">
        <v>719</v>
      </c>
      <c r="I584">
        <v>0</v>
      </c>
      <c r="J584">
        <v>0</v>
      </c>
      <c r="K584">
        <v>0</v>
      </c>
    </row>
    <row r="585" spans="1:11" x14ac:dyDescent="0.4">
      <c r="A585">
        <v>23222</v>
      </c>
      <c r="B585" t="s">
        <v>1184</v>
      </c>
      <c r="C585" t="s">
        <v>678</v>
      </c>
      <c r="E585" t="s">
        <v>729</v>
      </c>
      <c r="F585">
        <v>87</v>
      </c>
      <c r="G585">
        <v>1950</v>
      </c>
      <c r="H585">
        <v>307</v>
      </c>
      <c r="I585">
        <v>8.4849999999999994</v>
      </c>
      <c r="J585">
        <v>415.947</v>
      </c>
      <c r="K585">
        <v>79</v>
      </c>
    </row>
    <row r="586" spans="1:11" x14ac:dyDescent="0.4">
      <c r="A586">
        <v>13041</v>
      </c>
      <c r="B586" t="s">
        <v>1185</v>
      </c>
      <c r="C586" t="s">
        <v>503</v>
      </c>
      <c r="D586" t="s">
        <v>378</v>
      </c>
      <c r="E586" t="s">
        <v>237</v>
      </c>
      <c r="F586">
        <v>1</v>
      </c>
      <c r="G586">
        <v>1959</v>
      </c>
      <c r="H586">
        <v>104</v>
      </c>
      <c r="I586">
        <v>31.312999999999999</v>
      </c>
      <c r="J586">
        <v>1686.4960000000001</v>
      </c>
      <c r="K586">
        <v>419</v>
      </c>
    </row>
    <row r="587" spans="1:11" x14ac:dyDescent="0.4">
      <c r="A587">
        <v>22170</v>
      </c>
      <c r="B587" t="s">
        <v>1186</v>
      </c>
      <c r="C587" t="s">
        <v>564</v>
      </c>
      <c r="E587" t="s">
        <v>488</v>
      </c>
      <c r="F587">
        <v>79</v>
      </c>
      <c r="G587">
        <v>1983</v>
      </c>
      <c r="H587">
        <v>720</v>
      </c>
      <c r="I587">
        <v>0</v>
      </c>
      <c r="J587">
        <v>0</v>
      </c>
      <c r="K587">
        <v>0</v>
      </c>
    </row>
    <row r="588" spans="1:11" x14ac:dyDescent="0.4">
      <c r="A588">
        <v>21017</v>
      </c>
      <c r="B588" t="s">
        <v>1187</v>
      </c>
      <c r="C588" t="s">
        <v>557</v>
      </c>
      <c r="E588" t="s">
        <v>214</v>
      </c>
      <c r="F588">
        <v>69</v>
      </c>
      <c r="G588">
        <v>2006</v>
      </c>
      <c r="H588">
        <v>325</v>
      </c>
      <c r="I588">
        <v>4.0949999999999998</v>
      </c>
      <c r="J588">
        <v>357.23399999999998</v>
      </c>
      <c r="K588">
        <v>206</v>
      </c>
    </row>
    <row r="589" spans="1:11" x14ac:dyDescent="0.4">
      <c r="A589">
        <v>16145</v>
      </c>
      <c r="B589" t="s">
        <v>1187</v>
      </c>
      <c r="C589" t="s">
        <v>490</v>
      </c>
      <c r="E589" t="s">
        <v>214</v>
      </c>
      <c r="F589">
        <v>69</v>
      </c>
      <c r="G589">
        <v>1981</v>
      </c>
      <c r="H589">
        <v>295</v>
      </c>
      <c r="I589">
        <v>12.063000000000001</v>
      </c>
      <c r="J589">
        <v>461.58</v>
      </c>
      <c r="K589">
        <v>170</v>
      </c>
    </row>
    <row r="590" spans="1:11" x14ac:dyDescent="0.4">
      <c r="A590">
        <v>21005</v>
      </c>
      <c r="B590" t="s">
        <v>1188</v>
      </c>
      <c r="C590" t="s">
        <v>1189</v>
      </c>
      <c r="E590" t="s">
        <v>714</v>
      </c>
      <c r="F590">
        <v>21</v>
      </c>
      <c r="G590">
        <v>1965</v>
      </c>
      <c r="H590">
        <v>555</v>
      </c>
      <c r="I590">
        <v>1.375</v>
      </c>
      <c r="J590">
        <v>35.204000000000001</v>
      </c>
      <c r="K590">
        <v>0</v>
      </c>
    </row>
    <row r="591" spans="1:11" x14ac:dyDescent="0.4">
      <c r="A591">
        <v>12049</v>
      </c>
      <c r="B591" t="s">
        <v>1190</v>
      </c>
      <c r="C591" t="s">
        <v>639</v>
      </c>
      <c r="E591" t="s">
        <v>391</v>
      </c>
      <c r="F591">
        <v>14</v>
      </c>
      <c r="G591">
        <v>1982</v>
      </c>
      <c r="H591">
        <v>283</v>
      </c>
      <c r="I591">
        <v>9.8439999999999994</v>
      </c>
      <c r="J591">
        <v>525.74099999999999</v>
      </c>
      <c r="K591">
        <v>108</v>
      </c>
    </row>
    <row r="592" spans="1:11" x14ac:dyDescent="0.4">
      <c r="A592">
        <v>19053</v>
      </c>
      <c r="B592" t="s">
        <v>1191</v>
      </c>
      <c r="C592" t="s">
        <v>566</v>
      </c>
      <c r="E592" t="s">
        <v>180</v>
      </c>
      <c r="F592">
        <v>89</v>
      </c>
      <c r="G592">
        <v>1967</v>
      </c>
      <c r="H592">
        <v>483</v>
      </c>
      <c r="I592">
        <v>2.875</v>
      </c>
      <c r="J592">
        <v>94.296999999999997</v>
      </c>
      <c r="K592">
        <v>0</v>
      </c>
    </row>
    <row r="593" spans="1:11" x14ac:dyDescent="0.4">
      <c r="A593">
        <v>27051</v>
      </c>
      <c r="B593" t="s">
        <v>1192</v>
      </c>
      <c r="C593" t="s">
        <v>574</v>
      </c>
      <c r="D593" t="s">
        <v>378</v>
      </c>
      <c r="E593" t="s">
        <v>237</v>
      </c>
      <c r="F593">
        <v>1</v>
      </c>
      <c r="G593">
        <v>1953</v>
      </c>
      <c r="H593">
        <v>377</v>
      </c>
      <c r="I593">
        <v>6.6269999999999998</v>
      </c>
      <c r="J593">
        <v>243.34</v>
      </c>
      <c r="K593">
        <v>0</v>
      </c>
    </row>
    <row r="594" spans="1:11" x14ac:dyDescent="0.4">
      <c r="A594">
        <v>15055</v>
      </c>
      <c r="B594" t="s">
        <v>1193</v>
      </c>
      <c r="C594" t="s">
        <v>610</v>
      </c>
      <c r="E594" t="s">
        <v>237</v>
      </c>
      <c r="F594">
        <v>1</v>
      </c>
      <c r="G594">
        <v>2005</v>
      </c>
      <c r="H594">
        <v>46</v>
      </c>
      <c r="I594">
        <v>24.062999999999999</v>
      </c>
      <c r="J594">
        <v>2354.5030000000002</v>
      </c>
      <c r="K594">
        <v>1206</v>
      </c>
    </row>
    <row r="595" spans="1:11" x14ac:dyDescent="0.4">
      <c r="A595">
        <v>27015</v>
      </c>
      <c r="B595" t="s">
        <v>1193</v>
      </c>
      <c r="C595" t="s">
        <v>483</v>
      </c>
      <c r="E595" t="s">
        <v>237</v>
      </c>
      <c r="F595">
        <v>1</v>
      </c>
      <c r="G595">
        <v>1997</v>
      </c>
      <c r="H595">
        <v>28</v>
      </c>
      <c r="I595">
        <v>42.75</v>
      </c>
      <c r="J595">
        <v>2884.5419999999999</v>
      </c>
      <c r="K595">
        <v>1168</v>
      </c>
    </row>
    <row r="596" spans="1:11" x14ac:dyDescent="0.4">
      <c r="A596">
        <v>22182</v>
      </c>
      <c r="B596" t="s">
        <v>1194</v>
      </c>
      <c r="C596" t="s">
        <v>926</v>
      </c>
      <c r="D596" t="s">
        <v>378</v>
      </c>
      <c r="E596" t="s">
        <v>549</v>
      </c>
      <c r="F596">
        <v>100</v>
      </c>
      <c r="G596">
        <v>1973</v>
      </c>
      <c r="H596">
        <v>149</v>
      </c>
      <c r="I596">
        <v>19.346</v>
      </c>
      <c r="J596">
        <v>1286.482</v>
      </c>
      <c r="K596">
        <v>536</v>
      </c>
    </row>
    <row r="597" spans="1:11" x14ac:dyDescent="0.4">
      <c r="A597">
        <v>16053</v>
      </c>
      <c r="B597" t="s">
        <v>1195</v>
      </c>
      <c r="C597" t="s">
        <v>485</v>
      </c>
      <c r="E597" t="s">
        <v>708</v>
      </c>
      <c r="F597">
        <v>82</v>
      </c>
      <c r="G597">
        <v>1967</v>
      </c>
      <c r="H597">
        <v>268</v>
      </c>
      <c r="I597">
        <v>16.282</v>
      </c>
      <c r="J597">
        <v>587.38400000000001</v>
      </c>
      <c r="K597">
        <v>60</v>
      </c>
    </row>
    <row r="598" spans="1:11" x14ac:dyDescent="0.4">
      <c r="A598">
        <v>23246</v>
      </c>
      <c r="B598" t="s">
        <v>1196</v>
      </c>
      <c r="C598" t="s">
        <v>485</v>
      </c>
      <c r="E598" t="s">
        <v>488</v>
      </c>
      <c r="F598">
        <v>79</v>
      </c>
      <c r="G598">
        <v>1985</v>
      </c>
      <c r="H598">
        <v>490</v>
      </c>
      <c r="I598">
        <v>0.81299999999999994</v>
      </c>
      <c r="J598">
        <v>83.716999999999999</v>
      </c>
      <c r="K598">
        <v>44</v>
      </c>
    </row>
    <row r="599" spans="1:11" x14ac:dyDescent="0.4">
      <c r="A599">
        <v>96095</v>
      </c>
      <c r="B599" t="s">
        <v>1197</v>
      </c>
      <c r="C599" t="s">
        <v>678</v>
      </c>
      <c r="E599" t="s">
        <v>653</v>
      </c>
      <c r="F599">
        <v>16</v>
      </c>
      <c r="G599">
        <v>1968</v>
      </c>
      <c r="H599">
        <v>721</v>
      </c>
      <c r="I599">
        <v>0</v>
      </c>
      <c r="J599">
        <v>0</v>
      </c>
      <c r="K599">
        <v>0</v>
      </c>
    </row>
    <row r="600" spans="1:11" x14ac:dyDescent="0.4">
      <c r="A600">
        <v>14055</v>
      </c>
      <c r="B600" t="s">
        <v>1197</v>
      </c>
      <c r="C600" t="s">
        <v>485</v>
      </c>
      <c r="E600" t="s">
        <v>527</v>
      </c>
      <c r="F600">
        <v>68</v>
      </c>
      <c r="G600">
        <v>1956</v>
      </c>
      <c r="H600">
        <v>228</v>
      </c>
      <c r="I600">
        <v>12.595000000000001</v>
      </c>
      <c r="J600">
        <v>791.04300000000001</v>
      </c>
      <c r="K600">
        <v>236</v>
      </c>
    </row>
    <row r="601" spans="1:11" x14ac:dyDescent="0.4">
      <c r="A601">
        <v>16117</v>
      </c>
      <c r="B601" t="s">
        <v>1197</v>
      </c>
      <c r="C601" t="s">
        <v>655</v>
      </c>
      <c r="E601" t="s">
        <v>527</v>
      </c>
      <c r="F601">
        <v>68</v>
      </c>
      <c r="G601">
        <v>1955</v>
      </c>
      <c r="H601">
        <v>92</v>
      </c>
      <c r="I601">
        <v>31.625</v>
      </c>
      <c r="J601">
        <v>1843.896</v>
      </c>
      <c r="K601">
        <v>665</v>
      </c>
    </row>
    <row r="602" spans="1:11" x14ac:dyDescent="0.4">
      <c r="A602">
        <v>10092</v>
      </c>
      <c r="B602" t="s">
        <v>1198</v>
      </c>
      <c r="C602" t="s">
        <v>1101</v>
      </c>
      <c r="D602" t="s">
        <v>378</v>
      </c>
      <c r="E602" t="s">
        <v>214</v>
      </c>
      <c r="F602">
        <v>69</v>
      </c>
      <c r="G602">
        <v>1957</v>
      </c>
      <c r="H602">
        <v>722</v>
      </c>
      <c r="I602">
        <v>0</v>
      </c>
      <c r="J602">
        <v>0</v>
      </c>
      <c r="K602">
        <v>0</v>
      </c>
    </row>
    <row r="603" spans="1:11" x14ac:dyDescent="0.4">
      <c r="A603">
        <v>11051</v>
      </c>
      <c r="B603" t="s">
        <v>1199</v>
      </c>
      <c r="C603" t="s">
        <v>566</v>
      </c>
      <c r="E603" t="s">
        <v>403</v>
      </c>
      <c r="F603">
        <v>22</v>
      </c>
      <c r="G603">
        <v>1970</v>
      </c>
      <c r="H603">
        <v>723</v>
      </c>
      <c r="I603">
        <v>0</v>
      </c>
      <c r="J603">
        <v>0</v>
      </c>
      <c r="K603">
        <v>0</v>
      </c>
    </row>
    <row r="604" spans="1:11" x14ac:dyDescent="0.4">
      <c r="A604">
        <v>96152</v>
      </c>
      <c r="B604" t="s">
        <v>1200</v>
      </c>
      <c r="C604" t="s">
        <v>554</v>
      </c>
      <c r="E604" t="s">
        <v>653</v>
      </c>
      <c r="F604">
        <v>16</v>
      </c>
      <c r="G604">
        <v>1987</v>
      </c>
      <c r="H604">
        <v>359</v>
      </c>
      <c r="I604">
        <v>7</v>
      </c>
      <c r="J604">
        <v>283.83499999999998</v>
      </c>
      <c r="K604">
        <v>0</v>
      </c>
    </row>
    <row r="605" spans="1:11" x14ac:dyDescent="0.4">
      <c r="A605">
        <v>24523</v>
      </c>
      <c r="B605" t="s">
        <v>1201</v>
      </c>
      <c r="C605" t="s">
        <v>526</v>
      </c>
      <c r="D605" t="s">
        <v>546</v>
      </c>
      <c r="E605" t="s">
        <v>237</v>
      </c>
      <c r="F605">
        <v>1</v>
      </c>
      <c r="G605">
        <v>2013</v>
      </c>
      <c r="H605">
        <v>724</v>
      </c>
      <c r="I605">
        <v>0</v>
      </c>
      <c r="J605">
        <v>0</v>
      </c>
      <c r="K605">
        <v>0</v>
      </c>
    </row>
    <row r="606" spans="1:11" x14ac:dyDescent="0.4">
      <c r="A606">
        <v>24524</v>
      </c>
      <c r="B606" t="s">
        <v>1201</v>
      </c>
      <c r="C606" t="s">
        <v>589</v>
      </c>
      <c r="D606" t="s">
        <v>546</v>
      </c>
      <c r="E606" t="s">
        <v>237</v>
      </c>
      <c r="F606">
        <v>1</v>
      </c>
      <c r="G606">
        <v>2012</v>
      </c>
      <c r="H606">
        <v>725</v>
      </c>
      <c r="I606">
        <v>0</v>
      </c>
      <c r="J606">
        <v>0</v>
      </c>
      <c r="K606">
        <v>0</v>
      </c>
    </row>
    <row r="607" spans="1:11" x14ac:dyDescent="0.4">
      <c r="A607">
        <v>24525</v>
      </c>
      <c r="B607" t="s">
        <v>1201</v>
      </c>
      <c r="C607" t="s">
        <v>487</v>
      </c>
      <c r="D607" t="s">
        <v>546</v>
      </c>
      <c r="E607" t="s">
        <v>237</v>
      </c>
      <c r="F607">
        <v>1</v>
      </c>
      <c r="G607">
        <v>2014</v>
      </c>
      <c r="H607">
        <v>726</v>
      </c>
      <c r="I607">
        <v>0</v>
      </c>
      <c r="J607">
        <v>0</v>
      </c>
      <c r="K607">
        <v>0</v>
      </c>
    </row>
    <row r="608" spans="1:11" x14ac:dyDescent="0.4">
      <c r="A608">
        <v>18098</v>
      </c>
      <c r="B608" t="s">
        <v>1202</v>
      </c>
      <c r="C608" t="s">
        <v>569</v>
      </c>
      <c r="E608" t="s">
        <v>522</v>
      </c>
      <c r="F608">
        <v>2</v>
      </c>
      <c r="G608">
        <v>1978</v>
      </c>
      <c r="H608">
        <v>276</v>
      </c>
      <c r="I608">
        <v>14.406000000000001</v>
      </c>
      <c r="J608">
        <v>545.70299999999997</v>
      </c>
      <c r="K608">
        <v>15</v>
      </c>
    </row>
    <row r="609" spans="1:11" x14ac:dyDescent="0.4">
      <c r="A609">
        <v>16132</v>
      </c>
      <c r="B609" t="s">
        <v>1203</v>
      </c>
      <c r="C609" t="s">
        <v>1204</v>
      </c>
      <c r="D609" t="s">
        <v>508</v>
      </c>
      <c r="E609" t="s">
        <v>522</v>
      </c>
      <c r="F609">
        <v>2</v>
      </c>
      <c r="G609">
        <v>2008</v>
      </c>
      <c r="H609">
        <v>392</v>
      </c>
      <c r="I609">
        <v>4.6559999999999997</v>
      </c>
      <c r="J609">
        <v>217.053</v>
      </c>
      <c r="K609">
        <v>43</v>
      </c>
    </row>
    <row r="610" spans="1:11" x14ac:dyDescent="0.4">
      <c r="A610">
        <v>16133</v>
      </c>
      <c r="B610" t="s">
        <v>1203</v>
      </c>
      <c r="C610" t="s">
        <v>1205</v>
      </c>
      <c r="D610" t="s">
        <v>378</v>
      </c>
      <c r="E610" t="s">
        <v>522</v>
      </c>
      <c r="F610">
        <v>2</v>
      </c>
      <c r="G610">
        <v>2005</v>
      </c>
      <c r="H610">
        <v>99</v>
      </c>
      <c r="I610">
        <v>29.751000000000001</v>
      </c>
      <c r="J610">
        <v>1801.4090000000001</v>
      </c>
      <c r="K610">
        <v>593</v>
      </c>
    </row>
    <row r="611" spans="1:11" x14ac:dyDescent="0.4">
      <c r="A611">
        <v>24528</v>
      </c>
      <c r="B611" t="s">
        <v>1206</v>
      </c>
      <c r="C611" t="s">
        <v>564</v>
      </c>
      <c r="E611" t="s">
        <v>391</v>
      </c>
      <c r="F611">
        <v>14</v>
      </c>
      <c r="G611">
        <v>1964</v>
      </c>
      <c r="H611">
        <v>468</v>
      </c>
      <c r="I611">
        <v>2.6560000000000001</v>
      </c>
      <c r="J611">
        <v>107.833</v>
      </c>
      <c r="K611">
        <v>0</v>
      </c>
    </row>
    <row r="612" spans="1:11" x14ac:dyDescent="0.4">
      <c r="A612">
        <v>28047</v>
      </c>
      <c r="B612" t="s">
        <v>1207</v>
      </c>
      <c r="C612" t="s">
        <v>519</v>
      </c>
      <c r="E612" t="s">
        <v>166</v>
      </c>
      <c r="F612">
        <v>54</v>
      </c>
      <c r="G612">
        <v>1962</v>
      </c>
      <c r="H612">
        <v>300</v>
      </c>
      <c r="I612">
        <v>8</v>
      </c>
      <c r="J612">
        <v>436.928</v>
      </c>
      <c r="K612">
        <v>118</v>
      </c>
    </row>
    <row r="613" spans="1:11" x14ac:dyDescent="0.4">
      <c r="A613">
        <v>23243</v>
      </c>
      <c r="B613" t="s">
        <v>1208</v>
      </c>
      <c r="C613" t="s">
        <v>554</v>
      </c>
      <c r="E613" t="s">
        <v>456</v>
      </c>
      <c r="F613">
        <v>52</v>
      </c>
      <c r="G613">
        <v>1998</v>
      </c>
      <c r="H613">
        <v>273</v>
      </c>
      <c r="I613">
        <v>10.000999999999999</v>
      </c>
      <c r="J613">
        <v>570.40300000000002</v>
      </c>
      <c r="K613">
        <v>133</v>
      </c>
    </row>
    <row r="614" spans="1:11" x14ac:dyDescent="0.4">
      <c r="A614">
        <v>11013</v>
      </c>
      <c r="B614" t="s">
        <v>1209</v>
      </c>
      <c r="C614" t="s">
        <v>524</v>
      </c>
      <c r="D614" t="s">
        <v>378</v>
      </c>
      <c r="E614" t="s">
        <v>724</v>
      </c>
      <c r="F614">
        <v>56</v>
      </c>
      <c r="G614">
        <v>1948</v>
      </c>
      <c r="H614">
        <v>405</v>
      </c>
      <c r="I614">
        <v>5.2190000000000003</v>
      </c>
      <c r="J614">
        <v>183.55799999999999</v>
      </c>
      <c r="K614">
        <v>0</v>
      </c>
    </row>
    <row r="615" spans="1:11" x14ac:dyDescent="0.4">
      <c r="A615">
        <v>12064</v>
      </c>
      <c r="B615" t="s">
        <v>1210</v>
      </c>
      <c r="C615" t="s">
        <v>566</v>
      </c>
      <c r="E615" t="s">
        <v>509</v>
      </c>
      <c r="F615">
        <v>74</v>
      </c>
      <c r="G615">
        <v>1981</v>
      </c>
      <c r="H615">
        <v>582</v>
      </c>
      <c r="I615">
        <v>0.5</v>
      </c>
      <c r="J615">
        <v>17.994</v>
      </c>
      <c r="K615">
        <v>0</v>
      </c>
    </row>
    <row r="616" spans="1:11" x14ac:dyDescent="0.4">
      <c r="A616">
        <v>22115</v>
      </c>
      <c r="B616" t="s">
        <v>1210</v>
      </c>
      <c r="C616" t="s">
        <v>1211</v>
      </c>
      <c r="D616" t="s">
        <v>546</v>
      </c>
      <c r="E616" t="s">
        <v>509</v>
      </c>
      <c r="F616">
        <v>74</v>
      </c>
      <c r="G616">
        <v>2013</v>
      </c>
      <c r="H616">
        <v>583</v>
      </c>
      <c r="I616">
        <v>0.5</v>
      </c>
      <c r="J616">
        <v>17.994</v>
      </c>
      <c r="K616">
        <v>0</v>
      </c>
    </row>
    <row r="617" spans="1:11" x14ac:dyDescent="0.4">
      <c r="A617">
        <v>28055</v>
      </c>
      <c r="B617" t="s">
        <v>1212</v>
      </c>
      <c r="C617" t="s">
        <v>1179</v>
      </c>
      <c r="D617" t="s">
        <v>378</v>
      </c>
      <c r="E617" t="s">
        <v>724</v>
      </c>
      <c r="F617">
        <v>56</v>
      </c>
      <c r="G617">
        <v>1970</v>
      </c>
      <c r="H617">
        <v>102</v>
      </c>
      <c r="I617">
        <v>26.5</v>
      </c>
      <c r="J617">
        <v>1747.8969999999999</v>
      </c>
      <c r="K617">
        <v>672</v>
      </c>
    </row>
    <row r="618" spans="1:11" x14ac:dyDescent="0.4">
      <c r="A618">
        <v>10093</v>
      </c>
      <c r="B618" t="s">
        <v>1213</v>
      </c>
      <c r="C618" t="s">
        <v>727</v>
      </c>
      <c r="E618" t="s">
        <v>214</v>
      </c>
      <c r="F618">
        <v>69</v>
      </c>
      <c r="G618">
        <v>1947</v>
      </c>
      <c r="H618">
        <v>496</v>
      </c>
      <c r="I618">
        <v>2.0009999999999999</v>
      </c>
      <c r="J618">
        <v>77.105000000000004</v>
      </c>
      <c r="K618">
        <v>35</v>
      </c>
    </row>
    <row r="619" spans="1:11" x14ac:dyDescent="0.4">
      <c r="A619">
        <v>96042</v>
      </c>
      <c r="B619" t="s">
        <v>1214</v>
      </c>
      <c r="C619" t="s">
        <v>574</v>
      </c>
      <c r="D619" t="s">
        <v>378</v>
      </c>
      <c r="E619" t="s">
        <v>237</v>
      </c>
      <c r="F619">
        <v>1</v>
      </c>
      <c r="G619">
        <v>1963</v>
      </c>
      <c r="H619">
        <v>499</v>
      </c>
      <c r="I619">
        <v>1.4379999999999999</v>
      </c>
      <c r="J619">
        <v>75.105999999999995</v>
      </c>
      <c r="K619">
        <v>19</v>
      </c>
    </row>
    <row r="620" spans="1:11" x14ac:dyDescent="0.4">
      <c r="A620">
        <v>23219</v>
      </c>
      <c r="B620" t="s">
        <v>1214</v>
      </c>
      <c r="C620" t="s">
        <v>642</v>
      </c>
      <c r="D620" t="s">
        <v>378</v>
      </c>
      <c r="E620" t="s">
        <v>166</v>
      </c>
      <c r="F620">
        <v>54</v>
      </c>
      <c r="G620">
        <v>1978</v>
      </c>
      <c r="H620">
        <v>250</v>
      </c>
      <c r="I620">
        <v>15.314</v>
      </c>
      <c r="J620">
        <v>654.32000000000005</v>
      </c>
      <c r="K620">
        <v>126</v>
      </c>
    </row>
    <row r="621" spans="1:11" x14ac:dyDescent="0.4">
      <c r="A621">
        <v>20500</v>
      </c>
      <c r="B621" t="s">
        <v>1214</v>
      </c>
      <c r="C621" t="s">
        <v>1215</v>
      </c>
      <c r="D621" t="s">
        <v>378</v>
      </c>
      <c r="E621" t="s">
        <v>237</v>
      </c>
      <c r="F621">
        <v>1</v>
      </c>
      <c r="G621">
        <v>1971</v>
      </c>
      <c r="H621">
        <v>727</v>
      </c>
      <c r="I621">
        <v>0</v>
      </c>
      <c r="J621">
        <v>0</v>
      </c>
      <c r="K621">
        <v>0</v>
      </c>
    </row>
    <row r="622" spans="1:11" x14ac:dyDescent="0.4">
      <c r="A622">
        <v>18110</v>
      </c>
      <c r="B622" t="s">
        <v>1216</v>
      </c>
      <c r="C622" t="s">
        <v>498</v>
      </c>
      <c r="E622" t="s">
        <v>278</v>
      </c>
      <c r="F622">
        <v>31</v>
      </c>
      <c r="G622">
        <v>1979</v>
      </c>
      <c r="H622">
        <v>494</v>
      </c>
      <c r="I622">
        <v>3</v>
      </c>
      <c r="J622">
        <v>77.864999999999995</v>
      </c>
      <c r="K622">
        <v>0</v>
      </c>
    </row>
    <row r="623" spans="1:11" x14ac:dyDescent="0.4">
      <c r="A623">
        <v>23255</v>
      </c>
      <c r="B623" t="s">
        <v>1217</v>
      </c>
      <c r="C623" t="s">
        <v>1204</v>
      </c>
      <c r="D623" t="s">
        <v>508</v>
      </c>
      <c r="E623" t="s">
        <v>278</v>
      </c>
      <c r="F623">
        <v>31</v>
      </c>
      <c r="G623">
        <v>2013</v>
      </c>
      <c r="H623">
        <v>728</v>
      </c>
      <c r="I623">
        <v>0</v>
      </c>
      <c r="J623">
        <v>0</v>
      </c>
      <c r="K623">
        <v>0</v>
      </c>
    </row>
    <row r="624" spans="1:11" x14ac:dyDescent="0.4">
      <c r="A624">
        <v>21756</v>
      </c>
      <c r="B624" t="s">
        <v>1217</v>
      </c>
      <c r="C624" t="s">
        <v>703</v>
      </c>
      <c r="D624" t="s">
        <v>378</v>
      </c>
      <c r="E624" t="s">
        <v>278</v>
      </c>
      <c r="F624">
        <v>31</v>
      </c>
      <c r="G624">
        <v>1985</v>
      </c>
      <c r="H624">
        <v>45</v>
      </c>
      <c r="I624">
        <v>29.125</v>
      </c>
      <c r="J624">
        <v>2366.962</v>
      </c>
      <c r="K624">
        <v>1263</v>
      </c>
    </row>
    <row r="625" spans="1:11" x14ac:dyDescent="0.4">
      <c r="A625">
        <v>28004</v>
      </c>
      <c r="B625" t="s">
        <v>1218</v>
      </c>
      <c r="C625" t="s">
        <v>485</v>
      </c>
      <c r="E625" t="s">
        <v>724</v>
      </c>
      <c r="F625">
        <v>56</v>
      </c>
      <c r="G625">
        <v>1978</v>
      </c>
      <c r="H625">
        <v>27</v>
      </c>
      <c r="I625">
        <v>39.375</v>
      </c>
      <c r="J625">
        <v>2885.2890000000002</v>
      </c>
      <c r="K625">
        <v>1248</v>
      </c>
    </row>
    <row r="626" spans="1:11" x14ac:dyDescent="0.4">
      <c r="A626">
        <v>16027</v>
      </c>
      <c r="B626" t="s">
        <v>1219</v>
      </c>
      <c r="C626" t="s">
        <v>530</v>
      </c>
      <c r="D626" t="s">
        <v>378</v>
      </c>
      <c r="E626" t="s">
        <v>501</v>
      </c>
      <c r="F626">
        <v>29</v>
      </c>
      <c r="G626">
        <v>1972</v>
      </c>
      <c r="H626">
        <v>294</v>
      </c>
      <c r="I626">
        <v>13</v>
      </c>
      <c r="J626">
        <v>467.988</v>
      </c>
      <c r="K626">
        <v>38</v>
      </c>
    </row>
    <row r="627" spans="1:11" x14ac:dyDescent="0.4">
      <c r="A627">
        <v>12017</v>
      </c>
      <c r="B627" t="s">
        <v>1219</v>
      </c>
      <c r="C627" t="s">
        <v>693</v>
      </c>
      <c r="D627" t="s">
        <v>378</v>
      </c>
      <c r="E627" t="s">
        <v>160</v>
      </c>
      <c r="F627">
        <v>64</v>
      </c>
      <c r="G627">
        <v>1968</v>
      </c>
      <c r="H627">
        <v>41</v>
      </c>
      <c r="I627">
        <v>28.625</v>
      </c>
      <c r="J627">
        <v>2415.0079999999998</v>
      </c>
      <c r="K627">
        <v>1427</v>
      </c>
    </row>
    <row r="628" spans="1:11" x14ac:dyDescent="0.4">
      <c r="A628">
        <v>23208</v>
      </c>
      <c r="B628" t="s">
        <v>1220</v>
      </c>
      <c r="C628" t="s">
        <v>1211</v>
      </c>
      <c r="E628" t="s">
        <v>496</v>
      </c>
      <c r="F628">
        <v>93</v>
      </c>
      <c r="G628">
        <v>2006</v>
      </c>
      <c r="H628">
        <v>729</v>
      </c>
      <c r="I628">
        <v>0</v>
      </c>
      <c r="J628">
        <v>0</v>
      </c>
      <c r="K628">
        <v>0</v>
      </c>
    </row>
    <row r="629" spans="1:11" x14ac:dyDescent="0.4">
      <c r="A629">
        <v>22118</v>
      </c>
      <c r="B629" t="s">
        <v>1221</v>
      </c>
      <c r="C629" t="s">
        <v>526</v>
      </c>
      <c r="E629" t="s">
        <v>514</v>
      </c>
      <c r="F629">
        <v>83</v>
      </c>
      <c r="G629">
        <v>1972</v>
      </c>
      <c r="H629">
        <v>730</v>
      </c>
      <c r="I629">
        <v>0</v>
      </c>
      <c r="J629">
        <v>0</v>
      </c>
      <c r="K629">
        <v>0</v>
      </c>
    </row>
    <row r="630" spans="1:11" x14ac:dyDescent="0.4">
      <c r="A630">
        <v>23235</v>
      </c>
      <c r="B630" t="s">
        <v>1222</v>
      </c>
      <c r="C630" t="s">
        <v>557</v>
      </c>
      <c r="D630" t="s">
        <v>546</v>
      </c>
      <c r="E630" t="s">
        <v>509</v>
      </c>
      <c r="F630">
        <v>74</v>
      </c>
      <c r="G630">
        <v>2011</v>
      </c>
      <c r="H630">
        <v>592</v>
      </c>
      <c r="I630">
        <v>0.375</v>
      </c>
      <c r="J630">
        <v>13.494999999999999</v>
      </c>
      <c r="K630">
        <v>0</v>
      </c>
    </row>
    <row r="631" spans="1:11" x14ac:dyDescent="0.4">
      <c r="A631">
        <v>22177</v>
      </c>
      <c r="B631" t="s">
        <v>1223</v>
      </c>
      <c r="C631" t="s">
        <v>1224</v>
      </c>
      <c r="D631" t="s">
        <v>378</v>
      </c>
      <c r="E631" t="s">
        <v>391</v>
      </c>
      <c r="F631">
        <v>14</v>
      </c>
      <c r="G631">
        <v>1979</v>
      </c>
      <c r="H631">
        <v>242</v>
      </c>
      <c r="I631">
        <v>9.5009999999999994</v>
      </c>
      <c r="J631">
        <v>692.77099999999996</v>
      </c>
      <c r="K631">
        <v>289</v>
      </c>
    </row>
    <row r="632" spans="1:11" x14ac:dyDescent="0.4">
      <c r="A632">
        <v>16114</v>
      </c>
      <c r="B632" t="s">
        <v>1225</v>
      </c>
      <c r="C632" t="s">
        <v>500</v>
      </c>
      <c r="E632" t="s">
        <v>714</v>
      </c>
      <c r="F632">
        <v>21</v>
      </c>
      <c r="G632">
        <v>1954</v>
      </c>
      <c r="H632">
        <v>731</v>
      </c>
      <c r="I632">
        <v>0</v>
      </c>
      <c r="J632">
        <v>0</v>
      </c>
      <c r="K632">
        <v>0</v>
      </c>
    </row>
    <row r="633" spans="1:11" x14ac:dyDescent="0.4">
      <c r="A633">
        <v>28010</v>
      </c>
      <c r="B633" t="s">
        <v>1226</v>
      </c>
      <c r="C633" t="s">
        <v>485</v>
      </c>
      <c r="E633" t="s">
        <v>237</v>
      </c>
      <c r="F633">
        <v>1</v>
      </c>
      <c r="G633">
        <v>1969</v>
      </c>
      <c r="H633">
        <v>432</v>
      </c>
      <c r="I633">
        <v>4</v>
      </c>
      <c r="J633">
        <v>154.45599999999999</v>
      </c>
      <c r="K633">
        <v>0</v>
      </c>
    </row>
    <row r="634" spans="1:11" x14ac:dyDescent="0.4">
      <c r="A634">
        <v>23245</v>
      </c>
      <c r="B634" t="s">
        <v>1227</v>
      </c>
      <c r="C634" t="s">
        <v>485</v>
      </c>
      <c r="E634" t="s">
        <v>499</v>
      </c>
      <c r="F634">
        <v>51</v>
      </c>
      <c r="G634">
        <v>1957</v>
      </c>
      <c r="H634">
        <v>455</v>
      </c>
      <c r="I634">
        <v>3.0329999999999999</v>
      </c>
      <c r="J634">
        <v>125.566</v>
      </c>
      <c r="K634">
        <v>21</v>
      </c>
    </row>
    <row r="635" spans="1:11" x14ac:dyDescent="0.4">
      <c r="A635">
        <v>99551</v>
      </c>
      <c r="B635" t="s">
        <v>1228</v>
      </c>
      <c r="C635" t="s">
        <v>526</v>
      </c>
      <c r="E635" t="s">
        <v>189</v>
      </c>
      <c r="F635">
        <v>20</v>
      </c>
      <c r="G635">
        <v>1954</v>
      </c>
      <c r="H635">
        <v>732</v>
      </c>
      <c r="I635">
        <v>0</v>
      </c>
      <c r="J635">
        <v>0</v>
      </c>
      <c r="K635">
        <v>0</v>
      </c>
    </row>
    <row r="636" spans="1:11" x14ac:dyDescent="0.4">
      <c r="A636">
        <v>29054</v>
      </c>
      <c r="B636" t="s">
        <v>1229</v>
      </c>
      <c r="C636" t="s">
        <v>569</v>
      </c>
      <c r="E636" t="s">
        <v>160</v>
      </c>
      <c r="F636">
        <v>64</v>
      </c>
      <c r="G636">
        <v>1971</v>
      </c>
      <c r="H636">
        <v>445</v>
      </c>
      <c r="I636">
        <v>1.375</v>
      </c>
      <c r="J636">
        <v>141.11799999999999</v>
      </c>
      <c r="K636">
        <v>75</v>
      </c>
    </row>
    <row r="637" spans="1:11" x14ac:dyDescent="0.4">
      <c r="A637">
        <v>15001</v>
      </c>
      <c r="B637" t="s">
        <v>1230</v>
      </c>
      <c r="C637" t="s">
        <v>526</v>
      </c>
      <c r="E637" t="s">
        <v>415</v>
      </c>
      <c r="F637">
        <v>30</v>
      </c>
      <c r="G637">
        <v>1961</v>
      </c>
      <c r="H637">
        <v>53</v>
      </c>
      <c r="I637">
        <v>34.375</v>
      </c>
      <c r="J637">
        <v>2286.6869999999999</v>
      </c>
      <c r="K637">
        <v>1158</v>
      </c>
    </row>
    <row r="638" spans="1:11" x14ac:dyDescent="0.4">
      <c r="A638">
        <v>98304</v>
      </c>
      <c r="B638" t="s">
        <v>1231</v>
      </c>
      <c r="C638" t="s">
        <v>1232</v>
      </c>
      <c r="D638" t="s">
        <v>378</v>
      </c>
      <c r="E638" t="s">
        <v>522</v>
      </c>
      <c r="F638">
        <v>2</v>
      </c>
      <c r="G638">
        <v>1960</v>
      </c>
      <c r="H638">
        <v>308</v>
      </c>
      <c r="I638">
        <v>10.345000000000001</v>
      </c>
      <c r="J638">
        <v>414.85899999999998</v>
      </c>
      <c r="K638">
        <v>72</v>
      </c>
    </row>
    <row r="639" spans="1:11" x14ac:dyDescent="0.4">
      <c r="A639">
        <v>14005</v>
      </c>
      <c r="B639" t="s">
        <v>1233</v>
      </c>
      <c r="C639" t="s">
        <v>487</v>
      </c>
      <c r="E639" t="s">
        <v>527</v>
      </c>
      <c r="F639">
        <v>68</v>
      </c>
      <c r="G639">
        <v>1988</v>
      </c>
      <c r="H639">
        <v>733</v>
      </c>
      <c r="I639">
        <v>0</v>
      </c>
      <c r="J639">
        <v>0</v>
      </c>
      <c r="K639">
        <v>0</v>
      </c>
    </row>
    <row r="640" spans="1:11" x14ac:dyDescent="0.4">
      <c r="A640">
        <v>13063</v>
      </c>
      <c r="B640" t="s">
        <v>1234</v>
      </c>
      <c r="C640" t="s">
        <v>524</v>
      </c>
      <c r="D640" t="s">
        <v>378</v>
      </c>
      <c r="E640" t="s">
        <v>237</v>
      </c>
      <c r="F640">
        <v>1</v>
      </c>
      <c r="G640">
        <v>1953</v>
      </c>
      <c r="H640">
        <v>489</v>
      </c>
      <c r="I640">
        <v>3.3439999999999999</v>
      </c>
      <c r="J640">
        <v>90.082999999999998</v>
      </c>
      <c r="K640">
        <v>0</v>
      </c>
    </row>
    <row r="641" spans="1:11" x14ac:dyDescent="0.4">
      <c r="A641">
        <v>26034</v>
      </c>
      <c r="B641" t="s">
        <v>1235</v>
      </c>
      <c r="C641" t="s">
        <v>596</v>
      </c>
      <c r="E641" t="s">
        <v>185</v>
      </c>
      <c r="F641">
        <v>63</v>
      </c>
      <c r="G641">
        <v>1954</v>
      </c>
      <c r="H641">
        <v>189</v>
      </c>
      <c r="I641">
        <v>21.125</v>
      </c>
      <c r="J641">
        <v>1007.651</v>
      </c>
      <c r="K641">
        <v>224</v>
      </c>
    </row>
    <row r="642" spans="1:11" x14ac:dyDescent="0.4">
      <c r="A642">
        <v>21755</v>
      </c>
      <c r="B642" t="s">
        <v>1236</v>
      </c>
      <c r="C642" t="s">
        <v>481</v>
      </c>
      <c r="E642" t="s">
        <v>278</v>
      </c>
      <c r="F642">
        <v>31</v>
      </c>
      <c r="G642">
        <v>1981</v>
      </c>
      <c r="H642">
        <v>11</v>
      </c>
      <c r="I642">
        <v>42</v>
      </c>
      <c r="J642">
        <v>3396.241</v>
      </c>
      <c r="K642">
        <v>1573</v>
      </c>
    </row>
    <row r="643" spans="1:11" x14ac:dyDescent="0.4">
      <c r="A643">
        <v>21837</v>
      </c>
      <c r="B643" t="s">
        <v>1237</v>
      </c>
      <c r="C643" t="s">
        <v>492</v>
      </c>
      <c r="D643" t="s">
        <v>378</v>
      </c>
      <c r="E643" t="s">
        <v>278</v>
      </c>
      <c r="F643">
        <v>31</v>
      </c>
      <c r="G643">
        <v>1982</v>
      </c>
      <c r="H643">
        <v>594</v>
      </c>
      <c r="I643">
        <v>0.375</v>
      </c>
      <c r="J643">
        <v>11.629</v>
      </c>
      <c r="K643">
        <v>0</v>
      </c>
    </row>
    <row r="644" spans="1:11" x14ac:dyDescent="0.4">
      <c r="A644">
        <v>22142</v>
      </c>
      <c r="B644" t="s">
        <v>1238</v>
      </c>
      <c r="C644" t="s">
        <v>503</v>
      </c>
      <c r="D644" t="s">
        <v>378</v>
      </c>
      <c r="E644" t="s">
        <v>304</v>
      </c>
      <c r="F644">
        <v>45</v>
      </c>
      <c r="G644">
        <v>1952</v>
      </c>
      <c r="H644">
        <v>265</v>
      </c>
      <c r="I644">
        <v>18.815000000000001</v>
      </c>
      <c r="J644">
        <v>602.18499999999995</v>
      </c>
      <c r="K644">
        <v>15</v>
      </c>
    </row>
    <row r="645" spans="1:11" x14ac:dyDescent="0.4">
      <c r="A645">
        <v>19034</v>
      </c>
      <c r="B645" t="s">
        <v>1239</v>
      </c>
      <c r="C645" t="s">
        <v>1240</v>
      </c>
      <c r="D645" t="s">
        <v>546</v>
      </c>
      <c r="E645" t="s">
        <v>244</v>
      </c>
      <c r="F645">
        <v>88</v>
      </c>
      <c r="G645">
        <v>2009</v>
      </c>
      <c r="H645">
        <v>96</v>
      </c>
      <c r="I645">
        <v>33.625</v>
      </c>
      <c r="J645">
        <v>1827.4570000000001</v>
      </c>
      <c r="K645">
        <v>611</v>
      </c>
    </row>
    <row r="646" spans="1:11" x14ac:dyDescent="0.4">
      <c r="A646">
        <v>18065</v>
      </c>
      <c r="B646" t="s">
        <v>1239</v>
      </c>
      <c r="C646" t="s">
        <v>576</v>
      </c>
      <c r="E646" t="s">
        <v>244</v>
      </c>
      <c r="F646">
        <v>88</v>
      </c>
      <c r="G646">
        <v>1971</v>
      </c>
      <c r="H646">
        <v>74</v>
      </c>
      <c r="I646">
        <v>29.375</v>
      </c>
      <c r="J646">
        <v>2051.703</v>
      </c>
      <c r="K646">
        <v>1004</v>
      </c>
    </row>
    <row r="647" spans="1:11" x14ac:dyDescent="0.4">
      <c r="A647">
        <v>18124</v>
      </c>
      <c r="B647" t="s">
        <v>1241</v>
      </c>
      <c r="C647" t="s">
        <v>1242</v>
      </c>
      <c r="D647" t="s">
        <v>508</v>
      </c>
      <c r="E647" t="s">
        <v>244</v>
      </c>
      <c r="F647">
        <v>88</v>
      </c>
      <c r="G647">
        <v>2007</v>
      </c>
      <c r="H647">
        <v>37</v>
      </c>
      <c r="I647">
        <v>42.25</v>
      </c>
      <c r="J647">
        <v>2614.3270000000002</v>
      </c>
      <c r="K647">
        <v>1220</v>
      </c>
    </row>
    <row r="648" spans="1:11" x14ac:dyDescent="0.4">
      <c r="A648">
        <v>10048</v>
      </c>
      <c r="B648" t="s">
        <v>1243</v>
      </c>
      <c r="C648" t="s">
        <v>655</v>
      </c>
      <c r="E648" t="s">
        <v>185</v>
      </c>
      <c r="F648">
        <v>63</v>
      </c>
      <c r="G648">
        <v>1996</v>
      </c>
      <c r="H648">
        <v>84</v>
      </c>
      <c r="I648">
        <v>23.501000000000001</v>
      </c>
      <c r="J648">
        <v>1934.7550000000001</v>
      </c>
      <c r="K648">
        <v>939</v>
      </c>
    </row>
    <row r="649" spans="1:11" x14ac:dyDescent="0.4">
      <c r="A649">
        <v>16140</v>
      </c>
      <c r="B649" t="s">
        <v>1244</v>
      </c>
      <c r="C649" t="s">
        <v>1245</v>
      </c>
      <c r="E649" t="s">
        <v>237</v>
      </c>
      <c r="F649">
        <v>1</v>
      </c>
      <c r="G649">
        <v>1951</v>
      </c>
      <c r="H649">
        <v>734</v>
      </c>
      <c r="I649">
        <v>0</v>
      </c>
      <c r="J649">
        <v>0</v>
      </c>
      <c r="K649">
        <v>0</v>
      </c>
    </row>
    <row r="650" spans="1:11" x14ac:dyDescent="0.4">
      <c r="A650">
        <v>24320</v>
      </c>
      <c r="B650" t="s">
        <v>1246</v>
      </c>
      <c r="C650" t="s">
        <v>770</v>
      </c>
      <c r="D650" t="s">
        <v>378</v>
      </c>
      <c r="E650" t="s">
        <v>285</v>
      </c>
      <c r="F650">
        <v>19</v>
      </c>
      <c r="G650">
        <v>1963</v>
      </c>
      <c r="H650">
        <v>559</v>
      </c>
      <c r="I650">
        <v>0.46899999999999997</v>
      </c>
      <c r="J650">
        <v>32.652999999999999</v>
      </c>
      <c r="K650">
        <v>15</v>
      </c>
    </row>
    <row r="651" spans="1:11" x14ac:dyDescent="0.4">
      <c r="A651">
        <v>22153</v>
      </c>
      <c r="B651" t="s">
        <v>1247</v>
      </c>
      <c r="C651" t="s">
        <v>485</v>
      </c>
      <c r="E651" t="s">
        <v>729</v>
      </c>
      <c r="F651">
        <v>87</v>
      </c>
      <c r="G651">
        <v>1962</v>
      </c>
      <c r="H651">
        <v>160</v>
      </c>
      <c r="I651">
        <v>18.062999999999999</v>
      </c>
      <c r="J651">
        <v>1187.7729999999999</v>
      </c>
      <c r="K651">
        <v>455</v>
      </c>
    </row>
    <row r="652" spans="1:11" x14ac:dyDescent="0.4">
      <c r="A652">
        <v>10159</v>
      </c>
      <c r="B652" t="s">
        <v>1248</v>
      </c>
      <c r="C652" t="s">
        <v>1249</v>
      </c>
      <c r="E652" t="s">
        <v>684</v>
      </c>
      <c r="F652">
        <v>77</v>
      </c>
      <c r="G652">
        <v>1949</v>
      </c>
      <c r="H652">
        <v>735</v>
      </c>
      <c r="I652">
        <v>0</v>
      </c>
      <c r="J652">
        <v>0</v>
      </c>
      <c r="K652">
        <v>0</v>
      </c>
    </row>
    <row r="653" spans="1:11" x14ac:dyDescent="0.4">
      <c r="A653">
        <v>10163</v>
      </c>
      <c r="B653" t="s">
        <v>1250</v>
      </c>
      <c r="C653" t="s">
        <v>530</v>
      </c>
      <c r="D653" t="s">
        <v>378</v>
      </c>
      <c r="E653" t="s">
        <v>684</v>
      </c>
      <c r="F653">
        <v>77</v>
      </c>
      <c r="G653">
        <v>1952</v>
      </c>
      <c r="H653">
        <v>97</v>
      </c>
      <c r="I653">
        <v>19.751999999999999</v>
      </c>
      <c r="J653">
        <v>1825.951</v>
      </c>
      <c r="K653">
        <v>931</v>
      </c>
    </row>
    <row r="654" spans="1:11" x14ac:dyDescent="0.4">
      <c r="A654">
        <v>29062</v>
      </c>
      <c r="B654" t="s">
        <v>1251</v>
      </c>
      <c r="C654" t="s">
        <v>485</v>
      </c>
      <c r="E654" t="s">
        <v>189</v>
      </c>
      <c r="F654">
        <v>20</v>
      </c>
      <c r="G654">
        <v>1999</v>
      </c>
      <c r="H654">
        <v>2</v>
      </c>
      <c r="I654">
        <v>60</v>
      </c>
      <c r="J654">
        <v>4390.7709999999997</v>
      </c>
      <c r="K654">
        <v>1882</v>
      </c>
    </row>
    <row r="655" spans="1:11" x14ac:dyDescent="0.4">
      <c r="A655">
        <v>29061</v>
      </c>
      <c r="B655" t="s">
        <v>1252</v>
      </c>
      <c r="C655" t="s">
        <v>485</v>
      </c>
      <c r="E655" t="s">
        <v>189</v>
      </c>
      <c r="F655">
        <v>20</v>
      </c>
      <c r="G655">
        <v>1970</v>
      </c>
      <c r="H655">
        <v>32</v>
      </c>
      <c r="I655">
        <v>37.688000000000002</v>
      </c>
      <c r="J655">
        <v>2755.5720000000001</v>
      </c>
      <c r="K655">
        <v>1127</v>
      </c>
    </row>
    <row r="656" spans="1:11" x14ac:dyDescent="0.4">
      <c r="A656">
        <v>18132</v>
      </c>
      <c r="B656" t="s">
        <v>1253</v>
      </c>
      <c r="C656" t="s">
        <v>552</v>
      </c>
      <c r="E656" t="s">
        <v>244</v>
      </c>
      <c r="F656">
        <v>88</v>
      </c>
      <c r="G656">
        <v>1976</v>
      </c>
      <c r="H656">
        <v>63</v>
      </c>
      <c r="I656">
        <v>26.814</v>
      </c>
      <c r="J656">
        <v>2164.8980000000001</v>
      </c>
      <c r="K656">
        <v>1025</v>
      </c>
    </row>
    <row r="657" spans="1:11" x14ac:dyDescent="0.4">
      <c r="A657">
        <v>15070</v>
      </c>
      <c r="B657" t="s">
        <v>1254</v>
      </c>
      <c r="C657" t="s">
        <v>1255</v>
      </c>
      <c r="D657" t="s">
        <v>378</v>
      </c>
      <c r="E657" t="s">
        <v>189</v>
      </c>
      <c r="F657">
        <v>20</v>
      </c>
      <c r="G657">
        <v>1973</v>
      </c>
      <c r="H657">
        <v>130</v>
      </c>
      <c r="I657">
        <v>22.155999999999999</v>
      </c>
      <c r="J657">
        <v>1471.9490000000001</v>
      </c>
      <c r="K657">
        <v>636</v>
      </c>
    </row>
    <row r="658" spans="1:11" x14ac:dyDescent="0.4">
      <c r="A658">
        <v>15057</v>
      </c>
      <c r="B658" t="s">
        <v>1256</v>
      </c>
      <c r="C658" t="s">
        <v>669</v>
      </c>
      <c r="E658" t="s">
        <v>237</v>
      </c>
      <c r="F658">
        <v>1</v>
      </c>
      <c r="G658">
        <v>2005</v>
      </c>
      <c r="H658">
        <v>25</v>
      </c>
      <c r="I658">
        <v>39.5</v>
      </c>
      <c r="J658">
        <v>2913.5990000000002</v>
      </c>
      <c r="K658">
        <v>1498</v>
      </c>
    </row>
    <row r="659" spans="1:11" x14ac:dyDescent="0.4">
      <c r="A659">
        <v>18102</v>
      </c>
      <c r="B659" t="s">
        <v>1256</v>
      </c>
      <c r="C659" t="s">
        <v>566</v>
      </c>
      <c r="E659" t="s">
        <v>237</v>
      </c>
      <c r="F659">
        <v>1</v>
      </c>
      <c r="G659">
        <v>1947</v>
      </c>
      <c r="H659">
        <v>736</v>
      </c>
      <c r="I659">
        <v>0</v>
      </c>
      <c r="J659">
        <v>0</v>
      </c>
      <c r="K659">
        <v>0</v>
      </c>
    </row>
    <row r="660" spans="1:11" x14ac:dyDescent="0.4">
      <c r="A660">
        <v>17095</v>
      </c>
      <c r="B660" t="s">
        <v>1257</v>
      </c>
      <c r="C660" t="s">
        <v>530</v>
      </c>
      <c r="D660" t="s">
        <v>378</v>
      </c>
      <c r="E660" t="s">
        <v>237</v>
      </c>
      <c r="F660">
        <v>1</v>
      </c>
      <c r="G660">
        <v>1972</v>
      </c>
      <c r="H660">
        <v>500</v>
      </c>
      <c r="I660">
        <v>1.4379999999999999</v>
      </c>
      <c r="J660">
        <v>75.105999999999995</v>
      </c>
      <c r="K660">
        <v>19</v>
      </c>
    </row>
    <row r="661" spans="1:11" x14ac:dyDescent="0.4">
      <c r="A661">
        <v>96052</v>
      </c>
      <c r="B661" t="s">
        <v>1258</v>
      </c>
      <c r="C661" t="s">
        <v>552</v>
      </c>
      <c r="E661" t="s">
        <v>714</v>
      </c>
      <c r="F661">
        <v>21</v>
      </c>
      <c r="G661">
        <v>1948</v>
      </c>
      <c r="H661">
        <v>439</v>
      </c>
      <c r="I661">
        <v>5.3129999999999997</v>
      </c>
      <c r="J661">
        <v>149.01400000000001</v>
      </c>
      <c r="K661">
        <v>0</v>
      </c>
    </row>
    <row r="662" spans="1:11" x14ac:dyDescent="0.4">
      <c r="A662">
        <v>10031</v>
      </c>
      <c r="B662" t="s">
        <v>1259</v>
      </c>
      <c r="C662" t="s">
        <v>526</v>
      </c>
      <c r="E662" t="s">
        <v>298</v>
      </c>
      <c r="F662">
        <v>67</v>
      </c>
      <c r="G662">
        <v>1959</v>
      </c>
      <c r="H662">
        <v>450</v>
      </c>
      <c r="I662">
        <v>1.125</v>
      </c>
      <c r="J662">
        <v>134.69399999999999</v>
      </c>
      <c r="K662">
        <v>87</v>
      </c>
    </row>
    <row r="663" spans="1:11" x14ac:dyDescent="0.4">
      <c r="A663">
        <v>10032</v>
      </c>
      <c r="B663" t="s">
        <v>1259</v>
      </c>
      <c r="C663" t="s">
        <v>526</v>
      </c>
      <c r="E663" t="s">
        <v>298</v>
      </c>
      <c r="F663">
        <v>67</v>
      </c>
      <c r="G663">
        <v>1953</v>
      </c>
      <c r="H663">
        <v>460</v>
      </c>
      <c r="I663">
        <v>1.5009999999999999</v>
      </c>
      <c r="J663">
        <v>121.29</v>
      </c>
      <c r="K663">
        <v>69</v>
      </c>
    </row>
    <row r="664" spans="1:11" x14ac:dyDescent="0.4">
      <c r="A664">
        <v>10033</v>
      </c>
      <c r="B664" t="s">
        <v>1259</v>
      </c>
      <c r="C664" t="s">
        <v>479</v>
      </c>
      <c r="E664" t="s">
        <v>298</v>
      </c>
      <c r="F664">
        <v>67</v>
      </c>
      <c r="G664">
        <v>1963</v>
      </c>
      <c r="H664">
        <v>536</v>
      </c>
      <c r="I664">
        <v>1.75</v>
      </c>
      <c r="J664">
        <v>45.420999999999999</v>
      </c>
      <c r="K664">
        <v>0</v>
      </c>
    </row>
    <row r="665" spans="1:11" x14ac:dyDescent="0.4">
      <c r="A665">
        <v>21786</v>
      </c>
      <c r="B665" t="s">
        <v>1260</v>
      </c>
      <c r="C665" t="s">
        <v>711</v>
      </c>
      <c r="D665" t="s">
        <v>378</v>
      </c>
      <c r="E665" t="s">
        <v>237</v>
      </c>
      <c r="F665">
        <v>1</v>
      </c>
      <c r="G665">
        <v>1986</v>
      </c>
      <c r="H665">
        <v>402</v>
      </c>
      <c r="I665">
        <v>1</v>
      </c>
      <c r="J665">
        <v>188.53100000000001</v>
      </c>
      <c r="K665">
        <v>139</v>
      </c>
    </row>
    <row r="666" spans="1:11" x14ac:dyDescent="0.4">
      <c r="A666">
        <v>19001</v>
      </c>
      <c r="B666" t="s">
        <v>1261</v>
      </c>
      <c r="C666" t="s">
        <v>1123</v>
      </c>
      <c r="E666" t="s">
        <v>684</v>
      </c>
      <c r="F666">
        <v>77</v>
      </c>
      <c r="G666">
        <v>1966</v>
      </c>
      <c r="H666">
        <v>66</v>
      </c>
      <c r="I666">
        <v>29.687999999999999</v>
      </c>
      <c r="J666">
        <v>2137.6880000000001</v>
      </c>
      <c r="K666">
        <v>885</v>
      </c>
    </row>
    <row r="667" spans="1:11" x14ac:dyDescent="0.4">
      <c r="A667">
        <v>96200</v>
      </c>
      <c r="B667" t="s">
        <v>1262</v>
      </c>
      <c r="C667" t="s">
        <v>569</v>
      </c>
      <c r="E667" t="s">
        <v>631</v>
      </c>
      <c r="F667">
        <v>24</v>
      </c>
      <c r="G667">
        <v>1952</v>
      </c>
      <c r="H667">
        <v>330</v>
      </c>
      <c r="I667">
        <v>7.4379999999999997</v>
      </c>
      <c r="J667">
        <v>346.06099999999998</v>
      </c>
      <c r="K667">
        <v>109</v>
      </c>
    </row>
    <row r="668" spans="1:11" x14ac:dyDescent="0.4">
      <c r="A668">
        <v>10037</v>
      </c>
      <c r="B668" t="s">
        <v>1263</v>
      </c>
      <c r="C668" t="s">
        <v>495</v>
      </c>
      <c r="E668" t="s">
        <v>527</v>
      </c>
      <c r="F668">
        <v>68</v>
      </c>
      <c r="G668">
        <v>1976</v>
      </c>
      <c r="H668">
        <v>737</v>
      </c>
      <c r="I668">
        <v>0</v>
      </c>
      <c r="J668">
        <v>0</v>
      </c>
      <c r="K668">
        <v>0</v>
      </c>
    </row>
    <row r="669" spans="1:11" x14ac:dyDescent="0.4">
      <c r="A669">
        <v>21025</v>
      </c>
      <c r="B669" t="s">
        <v>1264</v>
      </c>
      <c r="C669" t="s">
        <v>564</v>
      </c>
      <c r="E669" t="s">
        <v>729</v>
      </c>
      <c r="F669">
        <v>87</v>
      </c>
      <c r="G669">
        <v>1957</v>
      </c>
      <c r="H669">
        <v>208</v>
      </c>
      <c r="I669">
        <v>16.251000000000001</v>
      </c>
      <c r="J669">
        <v>902.93600000000004</v>
      </c>
      <c r="K669">
        <v>326</v>
      </c>
    </row>
    <row r="670" spans="1:11" x14ac:dyDescent="0.4">
      <c r="A670">
        <v>21026</v>
      </c>
      <c r="B670" t="s">
        <v>1265</v>
      </c>
      <c r="C670" t="s">
        <v>1266</v>
      </c>
      <c r="D670" t="s">
        <v>378</v>
      </c>
      <c r="E670" t="s">
        <v>729</v>
      </c>
      <c r="F670">
        <v>87</v>
      </c>
      <c r="G670">
        <v>1958</v>
      </c>
      <c r="H670">
        <v>144</v>
      </c>
      <c r="I670">
        <v>19.939</v>
      </c>
      <c r="J670">
        <v>1319.172</v>
      </c>
      <c r="K670">
        <v>558</v>
      </c>
    </row>
    <row r="671" spans="1:11" x14ac:dyDescent="0.4">
      <c r="A671">
        <v>96213</v>
      </c>
      <c r="B671" t="s">
        <v>1267</v>
      </c>
      <c r="C671" t="s">
        <v>1268</v>
      </c>
      <c r="D671" t="s">
        <v>378</v>
      </c>
      <c r="E671" t="s">
        <v>631</v>
      </c>
      <c r="F671">
        <v>24</v>
      </c>
      <c r="G671">
        <v>1960</v>
      </c>
      <c r="H671">
        <v>738</v>
      </c>
      <c r="I671">
        <v>0</v>
      </c>
      <c r="J671">
        <v>0</v>
      </c>
      <c r="K671">
        <v>0</v>
      </c>
    </row>
    <row r="672" spans="1:11" x14ac:dyDescent="0.4">
      <c r="A672">
        <v>20611</v>
      </c>
      <c r="B672" t="s">
        <v>1269</v>
      </c>
      <c r="C672" t="s">
        <v>485</v>
      </c>
      <c r="E672" t="s">
        <v>176</v>
      </c>
      <c r="F672">
        <v>95</v>
      </c>
      <c r="G672">
        <v>1967</v>
      </c>
      <c r="H672">
        <v>739</v>
      </c>
      <c r="I672">
        <v>0</v>
      </c>
      <c r="J672">
        <v>0</v>
      </c>
      <c r="K672">
        <v>0</v>
      </c>
    </row>
    <row r="673" spans="1:11" x14ac:dyDescent="0.4">
      <c r="A673">
        <v>21028</v>
      </c>
      <c r="B673" t="s">
        <v>1270</v>
      </c>
      <c r="C673" t="s">
        <v>1271</v>
      </c>
      <c r="D673" t="s">
        <v>378</v>
      </c>
      <c r="E673" t="s">
        <v>729</v>
      </c>
      <c r="F673">
        <v>87</v>
      </c>
      <c r="G673">
        <v>1951</v>
      </c>
      <c r="H673">
        <v>166</v>
      </c>
      <c r="I673">
        <v>14.343</v>
      </c>
      <c r="J673">
        <v>1166.329</v>
      </c>
      <c r="K673">
        <v>594</v>
      </c>
    </row>
    <row r="674" spans="1:11" x14ac:dyDescent="0.4">
      <c r="A674">
        <v>28027</v>
      </c>
      <c r="B674" t="s">
        <v>1272</v>
      </c>
      <c r="C674" t="s">
        <v>678</v>
      </c>
      <c r="E674" t="s">
        <v>225</v>
      </c>
      <c r="F674">
        <v>62</v>
      </c>
      <c r="G674">
        <v>1968</v>
      </c>
      <c r="H674">
        <v>390</v>
      </c>
      <c r="I674">
        <v>6.8129999999999997</v>
      </c>
      <c r="J674">
        <v>221.779</v>
      </c>
      <c r="K674">
        <v>71</v>
      </c>
    </row>
    <row r="675" spans="1:11" x14ac:dyDescent="0.4">
      <c r="A675">
        <v>24513</v>
      </c>
      <c r="B675" t="s">
        <v>1273</v>
      </c>
      <c r="C675" t="s">
        <v>557</v>
      </c>
      <c r="D675" t="s">
        <v>546</v>
      </c>
      <c r="E675" t="s">
        <v>647</v>
      </c>
      <c r="F675">
        <v>90</v>
      </c>
      <c r="G675">
        <v>2007</v>
      </c>
      <c r="H675">
        <v>740</v>
      </c>
      <c r="I675">
        <v>0</v>
      </c>
      <c r="J675">
        <v>0</v>
      </c>
      <c r="K675">
        <v>0</v>
      </c>
    </row>
    <row r="676" spans="1:11" x14ac:dyDescent="0.4">
      <c r="A676">
        <v>13084</v>
      </c>
      <c r="B676" t="s">
        <v>1274</v>
      </c>
      <c r="C676" t="s">
        <v>505</v>
      </c>
      <c r="E676" t="s">
        <v>160</v>
      </c>
      <c r="F676">
        <v>64</v>
      </c>
      <c r="G676">
        <v>1979</v>
      </c>
      <c r="H676">
        <v>741</v>
      </c>
      <c r="I676">
        <v>0</v>
      </c>
      <c r="J676">
        <v>0</v>
      </c>
      <c r="K676">
        <v>0</v>
      </c>
    </row>
    <row r="677" spans="1:11" x14ac:dyDescent="0.4">
      <c r="A677">
        <v>22101</v>
      </c>
      <c r="B677" t="s">
        <v>1275</v>
      </c>
      <c r="C677" t="s">
        <v>574</v>
      </c>
      <c r="D677" t="s">
        <v>378</v>
      </c>
      <c r="E677" t="s">
        <v>522</v>
      </c>
      <c r="F677">
        <v>2</v>
      </c>
      <c r="G677">
        <v>1963</v>
      </c>
      <c r="H677">
        <v>313</v>
      </c>
      <c r="I677">
        <v>8.8140000000000001</v>
      </c>
      <c r="J677">
        <v>393.85399999999998</v>
      </c>
      <c r="K677">
        <v>71</v>
      </c>
    </row>
    <row r="678" spans="1:11" x14ac:dyDescent="0.4">
      <c r="A678">
        <v>21827</v>
      </c>
      <c r="B678" t="s">
        <v>1276</v>
      </c>
      <c r="C678" t="s">
        <v>526</v>
      </c>
      <c r="E678" t="s">
        <v>424</v>
      </c>
      <c r="F678">
        <v>36</v>
      </c>
      <c r="G678">
        <v>1978</v>
      </c>
      <c r="H678">
        <v>742</v>
      </c>
      <c r="I678">
        <v>0</v>
      </c>
      <c r="J678">
        <v>0</v>
      </c>
      <c r="K678">
        <v>0</v>
      </c>
    </row>
    <row r="679" spans="1:11" x14ac:dyDescent="0.4">
      <c r="A679">
        <v>24501</v>
      </c>
      <c r="B679" t="s">
        <v>1276</v>
      </c>
      <c r="C679" t="s">
        <v>1277</v>
      </c>
      <c r="D679" t="s">
        <v>546</v>
      </c>
      <c r="E679" t="s">
        <v>424</v>
      </c>
      <c r="F679">
        <v>36</v>
      </c>
      <c r="G679">
        <v>2009</v>
      </c>
      <c r="H679">
        <v>743</v>
      </c>
      <c r="I679">
        <v>0</v>
      </c>
      <c r="J679">
        <v>0</v>
      </c>
      <c r="K679">
        <v>0</v>
      </c>
    </row>
    <row r="680" spans="1:11" x14ac:dyDescent="0.4">
      <c r="A680">
        <v>15006</v>
      </c>
      <c r="B680" t="s">
        <v>1278</v>
      </c>
      <c r="C680" t="s">
        <v>526</v>
      </c>
      <c r="E680" t="s">
        <v>197</v>
      </c>
      <c r="F680">
        <v>15</v>
      </c>
      <c r="G680">
        <v>1996</v>
      </c>
      <c r="H680">
        <v>744</v>
      </c>
      <c r="I680">
        <v>0</v>
      </c>
      <c r="J680">
        <v>0</v>
      </c>
      <c r="K680">
        <v>0</v>
      </c>
    </row>
    <row r="681" spans="1:11" x14ac:dyDescent="0.4">
      <c r="A681">
        <v>18048</v>
      </c>
      <c r="B681" t="s">
        <v>1279</v>
      </c>
      <c r="C681" t="s">
        <v>1280</v>
      </c>
      <c r="D681" t="s">
        <v>378</v>
      </c>
      <c r="E681" t="s">
        <v>197</v>
      </c>
      <c r="F681">
        <v>15</v>
      </c>
      <c r="G681">
        <v>1989</v>
      </c>
      <c r="H681">
        <v>745</v>
      </c>
      <c r="I681">
        <v>0</v>
      </c>
      <c r="J681">
        <v>0</v>
      </c>
      <c r="K681">
        <v>0</v>
      </c>
    </row>
    <row r="682" spans="1:11" x14ac:dyDescent="0.4">
      <c r="A682">
        <v>21036</v>
      </c>
      <c r="B682" t="s">
        <v>1281</v>
      </c>
      <c r="C682" t="s">
        <v>487</v>
      </c>
      <c r="E682" t="s">
        <v>244</v>
      </c>
      <c r="F682">
        <v>88</v>
      </c>
      <c r="G682">
        <v>1968</v>
      </c>
      <c r="H682">
        <v>199</v>
      </c>
      <c r="I682">
        <v>21.937999999999999</v>
      </c>
      <c r="J682">
        <v>954.48</v>
      </c>
      <c r="K682">
        <v>295</v>
      </c>
    </row>
    <row r="683" spans="1:11" x14ac:dyDescent="0.4">
      <c r="A683">
        <v>18067</v>
      </c>
      <c r="B683" t="s">
        <v>1281</v>
      </c>
      <c r="C683" t="s">
        <v>1282</v>
      </c>
      <c r="E683" t="s">
        <v>244</v>
      </c>
      <c r="F683">
        <v>88</v>
      </c>
      <c r="G683">
        <v>1974</v>
      </c>
      <c r="H683">
        <v>386</v>
      </c>
      <c r="I683">
        <v>6.157</v>
      </c>
      <c r="J683">
        <v>228.04400000000001</v>
      </c>
      <c r="K683">
        <v>0</v>
      </c>
    </row>
    <row r="684" spans="1:11" x14ac:dyDescent="0.4">
      <c r="A684">
        <v>21027</v>
      </c>
      <c r="B684" t="s">
        <v>1283</v>
      </c>
      <c r="C684" t="s">
        <v>1284</v>
      </c>
      <c r="E684" t="s">
        <v>729</v>
      </c>
      <c r="F684">
        <v>87</v>
      </c>
      <c r="G684">
        <v>1956</v>
      </c>
      <c r="H684">
        <v>746</v>
      </c>
      <c r="I684">
        <v>0</v>
      </c>
      <c r="J684">
        <v>0</v>
      </c>
      <c r="K684">
        <v>0</v>
      </c>
    </row>
    <row r="685" spans="1:11" x14ac:dyDescent="0.4">
      <c r="A685">
        <v>15067</v>
      </c>
      <c r="B685" t="s">
        <v>1285</v>
      </c>
      <c r="C685" t="s">
        <v>1286</v>
      </c>
      <c r="E685" t="s">
        <v>189</v>
      </c>
      <c r="F685">
        <v>20</v>
      </c>
      <c r="G685">
        <v>1978</v>
      </c>
      <c r="H685">
        <v>51</v>
      </c>
      <c r="I685">
        <v>29.125</v>
      </c>
      <c r="J685">
        <v>2330.2510000000002</v>
      </c>
      <c r="K685">
        <v>965</v>
      </c>
    </row>
    <row r="686" spans="1:11" x14ac:dyDescent="0.4">
      <c r="A686">
        <v>20603</v>
      </c>
      <c r="B686" t="s">
        <v>1287</v>
      </c>
      <c r="C686" t="s">
        <v>564</v>
      </c>
      <c r="E686" t="s">
        <v>176</v>
      </c>
      <c r="F686">
        <v>95</v>
      </c>
      <c r="G686">
        <v>1959</v>
      </c>
      <c r="H686">
        <v>747</v>
      </c>
      <c r="I686">
        <v>0</v>
      </c>
      <c r="J686">
        <v>0</v>
      </c>
      <c r="K686">
        <v>0</v>
      </c>
    </row>
    <row r="687" spans="1:11" x14ac:dyDescent="0.4">
      <c r="A687">
        <v>20594</v>
      </c>
      <c r="B687" t="s">
        <v>1288</v>
      </c>
      <c r="C687" t="s">
        <v>933</v>
      </c>
      <c r="D687" t="s">
        <v>378</v>
      </c>
      <c r="E687" t="s">
        <v>176</v>
      </c>
      <c r="F687">
        <v>95</v>
      </c>
      <c r="G687">
        <v>1958</v>
      </c>
      <c r="H687">
        <v>748</v>
      </c>
      <c r="I687">
        <v>0</v>
      </c>
      <c r="J687">
        <v>0</v>
      </c>
      <c r="K687">
        <v>0</v>
      </c>
    </row>
    <row r="688" spans="1:11" x14ac:dyDescent="0.4">
      <c r="A688">
        <v>23218</v>
      </c>
      <c r="B688" t="s">
        <v>1289</v>
      </c>
      <c r="C688" t="s">
        <v>485</v>
      </c>
      <c r="E688" t="s">
        <v>166</v>
      </c>
      <c r="F688">
        <v>54</v>
      </c>
      <c r="G688">
        <v>1954</v>
      </c>
      <c r="H688">
        <v>168</v>
      </c>
      <c r="I688">
        <v>20.187999999999999</v>
      </c>
      <c r="J688">
        <v>1143.3630000000001</v>
      </c>
      <c r="K688">
        <v>406</v>
      </c>
    </row>
    <row r="689" spans="1:11" x14ac:dyDescent="0.4">
      <c r="A689">
        <v>20573</v>
      </c>
      <c r="B689" t="s">
        <v>1290</v>
      </c>
      <c r="C689" t="s">
        <v>593</v>
      </c>
      <c r="D689" t="s">
        <v>378</v>
      </c>
      <c r="E689" t="s">
        <v>656</v>
      </c>
      <c r="F689">
        <v>66</v>
      </c>
      <c r="G689">
        <v>1965</v>
      </c>
      <c r="H689">
        <v>172</v>
      </c>
      <c r="I689">
        <v>22.564</v>
      </c>
      <c r="J689">
        <v>1126.6679999999999</v>
      </c>
      <c r="K689">
        <v>433</v>
      </c>
    </row>
    <row r="690" spans="1:11" x14ac:dyDescent="0.4">
      <c r="A690">
        <v>20534</v>
      </c>
      <c r="B690" t="s">
        <v>1291</v>
      </c>
      <c r="C690" t="s">
        <v>1268</v>
      </c>
      <c r="D690" t="s">
        <v>378</v>
      </c>
      <c r="E690" t="s">
        <v>729</v>
      </c>
      <c r="F690">
        <v>87</v>
      </c>
      <c r="G690">
        <v>1956</v>
      </c>
      <c r="H690">
        <v>154</v>
      </c>
      <c r="I690">
        <v>20.376000000000001</v>
      </c>
      <c r="J690">
        <v>1261.114</v>
      </c>
      <c r="K690">
        <v>599</v>
      </c>
    </row>
    <row r="691" spans="1:11" x14ac:dyDescent="0.4">
      <c r="A691">
        <v>15078</v>
      </c>
      <c r="B691" t="s">
        <v>1292</v>
      </c>
      <c r="C691" t="s">
        <v>505</v>
      </c>
      <c r="E691" t="s">
        <v>248</v>
      </c>
      <c r="F691">
        <v>13</v>
      </c>
      <c r="G691">
        <v>1983</v>
      </c>
      <c r="H691">
        <v>357</v>
      </c>
      <c r="I691">
        <v>8.157</v>
      </c>
      <c r="J691">
        <v>285.834</v>
      </c>
      <c r="K691">
        <v>59</v>
      </c>
    </row>
    <row r="692" spans="1:11" x14ac:dyDescent="0.4">
      <c r="A692">
        <v>24502</v>
      </c>
      <c r="B692" t="s">
        <v>1293</v>
      </c>
      <c r="C692" t="s">
        <v>1271</v>
      </c>
      <c r="D692" t="s">
        <v>378</v>
      </c>
      <c r="E692" t="s">
        <v>269</v>
      </c>
      <c r="F692">
        <v>98</v>
      </c>
      <c r="G692">
        <v>1971</v>
      </c>
      <c r="H692">
        <v>491</v>
      </c>
      <c r="I692">
        <v>2.2189999999999999</v>
      </c>
      <c r="J692">
        <v>82.959000000000003</v>
      </c>
      <c r="K692">
        <v>0</v>
      </c>
    </row>
    <row r="693" spans="1:11" x14ac:dyDescent="0.4">
      <c r="A693">
        <v>18104</v>
      </c>
      <c r="B693" t="s">
        <v>1293</v>
      </c>
      <c r="C693" t="s">
        <v>493</v>
      </c>
      <c r="D693" t="s">
        <v>378</v>
      </c>
      <c r="E693" t="s">
        <v>160</v>
      </c>
      <c r="F693">
        <v>64</v>
      </c>
      <c r="G693">
        <v>1978</v>
      </c>
      <c r="H693">
        <v>278</v>
      </c>
      <c r="I693">
        <v>11.938000000000001</v>
      </c>
      <c r="J693">
        <v>540.42899999999997</v>
      </c>
      <c r="K693">
        <v>75</v>
      </c>
    </row>
    <row r="694" spans="1:11" x14ac:dyDescent="0.4">
      <c r="A694">
        <v>23237</v>
      </c>
      <c r="B694" t="s">
        <v>1294</v>
      </c>
      <c r="C694" t="s">
        <v>1295</v>
      </c>
      <c r="D694" t="s">
        <v>378</v>
      </c>
      <c r="E694" t="s">
        <v>269</v>
      </c>
      <c r="F694">
        <v>98</v>
      </c>
      <c r="G694">
        <v>1962</v>
      </c>
      <c r="H694">
        <v>262</v>
      </c>
      <c r="I694">
        <v>17.001000000000001</v>
      </c>
      <c r="J694">
        <v>609.25699999999995</v>
      </c>
      <c r="K694">
        <v>43</v>
      </c>
    </row>
    <row r="695" spans="1:11" x14ac:dyDescent="0.4">
      <c r="A695">
        <v>22116</v>
      </c>
      <c r="B695" t="s">
        <v>1296</v>
      </c>
      <c r="C695" t="s">
        <v>566</v>
      </c>
      <c r="E695" t="s">
        <v>488</v>
      </c>
      <c r="F695">
        <v>79</v>
      </c>
      <c r="G695">
        <v>1988</v>
      </c>
      <c r="H695">
        <v>538</v>
      </c>
      <c r="I695">
        <v>0.56299999999999994</v>
      </c>
      <c r="J695">
        <v>44.183999999999997</v>
      </c>
      <c r="K695">
        <v>23</v>
      </c>
    </row>
    <row r="696" spans="1:11" x14ac:dyDescent="0.4">
      <c r="A696">
        <v>20612</v>
      </c>
      <c r="B696" t="s">
        <v>1297</v>
      </c>
      <c r="C696" t="s">
        <v>485</v>
      </c>
      <c r="E696" t="s">
        <v>176</v>
      </c>
      <c r="F696">
        <v>95</v>
      </c>
      <c r="G696">
        <v>1967</v>
      </c>
      <c r="H696">
        <v>749</v>
      </c>
      <c r="I696">
        <v>0</v>
      </c>
      <c r="J696">
        <v>0</v>
      </c>
      <c r="K696">
        <v>0</v>
      </c>
    </row>
    <row r="697" spans="1:11" x14ac:dyDescent="0.4">
      <c r="A697">
        <v>13024</v>
      </c>
      <c r="B697" t="s">
        <v>1298</v>
      </c>
      <c r="C697" t="s">
        <v>926</v>
      </c>
      <c r="D697" t="s">
        <v>378</v>
      </c>
      <c r="E697" t="s">
        <v>570</v>
      </c>
      <c r="F697">
        <v>75</v>
      </c>
      <c r="G697">
        <v>1985</v>
      </c>
      <c r="H697">
        <v>750</v>
      </c>
      <c r="I697">
        <v>0</v>
      </c>
      <c r="J697">
        <v>0</v>
      </c>
      <c r="K697">
        <v>0</v>
      </c>
    </row>
    <row r="698" spans="1:11" x14ac:dyDescent="0.4">
      <c r="A698">
        <v>20505</v>
      </c>
      <c r="B698" t="s">
        <v>1299</v>
      </c>
      <c r="C698" t="s">
        <v>1300</v>
      </c>
      <c r="D698" t="s">
        <v>378</v>
      </c>
      <c r="E698" t="s">
        <v>189</v>
      </c>
      <c r="F698">
        <v>20</v>
      </c>
      <c r="G698">
        <v>2006</v>
      </c>
      <c r="H698">
        <v>55</v>
      </c>
      <c r="I698">
        <v>30.562999999999999</v>
      </c>
      <c r="J698">
        <v>2274.1480000000001</v>
      </c>
      <c r="K698">
        <v>960</v>
      </c>
    </row>
    <row r="699" spans="1:11" x14ac:dyDescent="0.4">
      <c r="A699">
        <v>15058</v>
      </c>
      <c r="B699" t="s">
        <v>1301</v>
      </c>
      <c r="C699" t="s">
        <v>639</v>
      </c>
      <c r="E699" t="s">
        <v>189</v>
      </c>
      <c r="F699">
        <v>20</v>
      </c>
      <c r="G699">
        <v>2004</v>
      </c>
      <c r="H699">
        <v>13</v>
      </c>
      <c r="I699">
        <v>40</v>
      </c>
      <c r="J699">
        <v>3359.596</v>
      </c>
      <c r="K699">
        <v>1582</v>
      </c>
    </row>
    <row r="700" spans="1:11" x14ac:dyDescent="0.4">
      <c r="A700">
        <v>24503</v>
      </c>
      <c r="B700" t="s">
        <v>1302</v>
      </c>
      <c r="C700" t="s">
        <v>552</v>
      </c>
      <c r="E700" t="s">
        <v>269</v>
      </c>
      <c r="F700">
        <v>98</v>
      </c>
      <c r="G700">
        <v>1971</v>
      </c>
      <c r="H700">
        <v>751</v>
      </c>
      <c r="I700">
        <v>0</v>
      </c>
      <c r="J700">
        <v>0</v>
      </c>
      <c r="K700">
        <v>0</v>
      </c>
    </row>
    <row r="701" spans="1:11" x14ac:dyDescent="0.4">
      <c r="A701">
        <v>19050</v>
      </c>
      <c r="B701" t="s">
        <v>1303</v>
      </c>
      <c r="C701" t="s">
        <v>479</v>
      </c>
      <c r="D701" t="s">
        <v>378</v>
      </c>
      <c r="E701" t="s">
        <v>320</v>
      </c>
      <c r="F701">
        <v>86</v>
      </c>
      <c r="G701">
        <v>1992</v>
      </c>
      <c r="H701">
        <v>752</v>
      </c>
      <c r="I701">
        <v>0</v>
      </c>
      <c r="J701">
        <v>0</v>
      </c>
      <c r="K701">
        <v>0</v>
      </c>
    </row>
    <row r="702" spans="1:11" x14ac:dyDescent="0.4">
      <c r="A702">
        <v>10098</v>
      </c>
      <c r="B702" t="s">
        <v>1304</v>
      </c>
      <c r="C702" t="s">
        <v>1305</v>
      </c>
      <c r="E702" t="s">
        <v>214</v>
      </c>
      <c r="F702">
        <v>69</v>
      </c>
      <c r="G702">
        <v>1959</v>
      </c>
      <c r="H702">
        <v>753</v>
      </c>
      <c r="I702">
        <v>0</v>
      </c>
      <c r="J702">
        <v>0</v>
      </c>
      <c r="K702">
        <v>0</v>
      </c>
    </row>
    <row r="703" spans="1:11" x14ac:dyDescent="0.4">
      <c r="A703">
        <v>17052</v>
      </c>
      <c r="B703" t="s">
        <v>1306</v>
      </c>
      <c r="C703" t="s">
        <v>487</v>
      </c>
      <c r="E703" t="s">
        <v>320</v>
      </c>
      <c r="F703">
        <v>86</v>
      </c>
      <c r="G703">
        <v>1962</v>
      </c>
      <c r="H703">
        <v>192</v>
      </c>
      <c r="I703">
        <v>18.062999999999999</v>
      </c>
      <c r="J703">
        <v>978.54200000000003</v>
      </c>
      <c r="K703">
        <v>250</v>
      </c>
    </row>
    <row r="704" spans="1:11" x14ac:dyDescent="0.4">
      <c r="A704">
        <v>17055</v>
      </c>
      <c r="B704" t="s">
        <v>1306</v>
      </c>
      <c r="C704" t="s">
        <v>1307</v>
      </c>
      <c r="E704" t="s">
        <v>320</v>
      </c>
      <c r="F704">
        <v>86</v>
      </c>
      <c r="G704">
        <v>2000</v>
      </c>
      <c r="H704">
        <v>230</v>
      </c>
      <c r="I704">
        <v>12.157</v>
      </c>
      <c r="J704">
        <v>777.31899999999996</v>
      </c>
      <c r="K704">
        <v>281</v>
      </c>
    </row>
    <row r="705" spans="1:11" x14ac:dyDescent="0.4">
      <c r="A705">
        <v>16144</v>
      </c>
      <c r="B705" t="s">
        <v>1306</v>
      </c>
      <c r="C705" t="s">
        <v>585</v>
      </c>
      <c r="E705" t="s">
        <v>320</v>
      </c>
      <c r="F705">
        <v>86</v>
      </c>
      <c r="G705">
        <v>1992</v>
      </c>
      <c r="H705">
        <v>122</v>
      </c>
      <c r="I705">
        <v>19.905999999999999</v>
      </c>
      <c r="J705">
        <v>1556.9639999999999</v>
      </c>
      <c r="K705">
        <v>634</v>
      </c>
    </row>
    <row r="706" spans="1:11" x14ac:dyDescent="0.4">
      <c r="A706">
        <v>28036</v>
      </c>
      <c r="B706" t="s">
        <v>1308</v>
      </c>
      <c r="C706" t="s">
        <v>1309</v>
      </c>
      <c r="E706" t="s">
        <v>380</v>
      </c>
      <c r="F706">
        <v>6</v>
      </c>
      <c r="G706">
        <v>1943</v>
      </c>
      <c r="H706">
        <v>754</v>
      </c>
      <c r="I706">
        <v>0</v>
      </c>
      <c r="J706">
        <v>0</v>
      </c>
      <c r="K706">
        <v>0</v>
      </c>
    </row>
    <row r="707" spans="1:11" x14ac:dyDescent="0.4">
      <c r="A707">
        <v>14090</v>
      </c>
      <c r="B707" t="s">
        <v>1310</v>
      </c>
      <c r="C707" t="s">
        <v>965</v>
      </c>
      <c r="E707" t="s">
        <v>488</v>
      </c>
      <c r="F707">
        <v>79</v>
      </c>
      <c r="G707">
        <v>1987</v>
      </c>
      <c r="H707">
        <v>755</v>
      </c>
      <c r="I707">
        <v>0</v>
      </c>
      <c r="J707">
        <v>0</v>
      </c>
      <c r="K707">
        <v>0</v>
      </c>
    </row>
    <row r="708" spans="1:11" x14ac:dyDescent="0.4">
      <c r="A708">
        <v>24522</v>
      </c>
      <c r="B708" t="s">
        <v>1311</v>
      </c>
      <c r="C708" t="s">
        <v>519</v>
      </c>
      <c r="E708" t="s">
        <v>237</v>
      </c>
      <c r="F708">
        <v>1</v>
      </c>
      <c r="G708">
        <v>1967</v>
      </c>
      <c r="H708">
        <v>756</v>
      </c>
      <c r="I708">
        <v>0</v>
      </c>
      <c r="J708">
        <v>0</v>
      </c>
      <c r="K708">
        <v>0</v>
      </c>
    </row>
    <row r="709" spans="1:11" x14ac:dyDescent="0.4">
      <c r="A709">
        <v>10094</v>
      </c>
      <c r="B709" t="s">
        <v>1312</v>
      </c>
      <c r="C709" t="s">
        <v>678</v>
      </c>
      <c r="E709" t="s">
        <v>214</v>
      </c>
      <c r="F709">
        <v>69</v>
      </c>
      <c r="G709">
        <v>1949</v>
      </c>
      <c r="H709">
        <v>480</v>
      </c>
      <c r="I709">
        <v>2.6890000000000001</v>
      </c>
      <c r="J709">
        <v>98.628</v>
      </c>
      <c r="K709">
        <v>35</v>
      </c>
    </row>
    <row r="710" spans="1:11" x14ac:dyDescent="0.4">
      <c r="A710">
        <v>11037</v>
      </c>
      <c r="B710" t="s">
        <v>1313</v>
      </c>
      <c r="C710" t="s">
        <v>1314</v>
      </c>
      <c r="E710" t="s">
        <v>237</v>
      </c>
      <c r="F710">
        <v>1</v>
      </c>
      <c r="G710">
        <v>1983</v>
      </c>
      <c r="H710">
        <v>210</v>
      </c>
      <c r="I710">
        <v>14.047000000000001</v>
      </c>
      <c r="J710">
        <v>883.90899999999999</v>
      </c>
      <c r="K710">
        <v>251</v>
      </c>
    </row>
    <row r="711" spans="1:11" x14ac:dyDescent="0.4">
      <c r="A711">
        <v>14094</v>
      </c>
      <c r="B711" t="s">
        <v>1315</v>
      </c>
      <c r="C711" t="s">
        <v>564</v>
      </c>
      <c r="E711" t="s">
        <v>438</v>
      </c>
      <c r="F711">
        <v>43</v>
      </c>
      <c r="G711">
        <v>1954</v>
      </c>
      <c r="H711">
        <v>306</v>
      </c>
      <c r="I711">
        <v>9.1560000000000006</v>
      </c>
      <c r="J711">
        <v>417.30700000000002</v>
      </c>
      <c r="K711">
        <v>78</v>
      </c>
    </row>
    <row r="712" spans="1:11" x14ac:dyDescent="0.4">
      <c r="A712">
        <v>23060</v>
      </c>
      <c r="B712" t="s">
        <v>1316</v>
      </c>
      <c r="C712" t="s">
        <v>539</v>
      </c>
      <c r="E712" t="s">
        <v>185</v>
      </c>
      <c r="F712">
        <v>63</v>
      </c>
      <c r="G712">
        <v>1954</v>
      </c>
      <c r="H712">
        <v>64</v>
      </c>
      <c r="I712">
        <v>30.375</v>
      </c>
      <c r="J712">
        <v>2159.0940000000001</v>
      </c>
      <c r="K712">
        <v>1089</v>
      </c>
    </row>
    <row r="713" spans="1:11" x14ac:dyDescent="0.4">
      <c r="A713">
        <v>16004</v>
      </c>
      <c r="B713" t="s">
        <v>1317</v>
      </c>
      <c r="C713" t="s">
        <v>1307</v>
      </c>
      <c r="E713" t="s">
        <v>185</v>
      </c>
      <c r="F713">
        <v>63</v>
      </c>
      <c r="G713">
        <v>2003</v>
      </c>
      <c r="H713">
        <v>512</v>
      </c>
      <c r="I713">
        <v>1.875</v>
      </c>
      <c r="J713">
        <v>64.537999999999997</v>
      </c>
      <c r="K713">
        <v>0</v>
      </c>
    </row>
    <row r="714" spans="1:11" x14ac:dyDescent="0.4">
      <c r="A714">
        <v>13047</v>
      </c>
      <c r="B714" t="s">
        <v>1318</v>
      </c>
      <c r="C714" t="s">
        <v>479</v>
      </c>
      <c r="E714" t="s">
        <v>619</v>
      </c>
      <c r="F714">
        <v>28</v>
      </c>
      <c r="G714">
        <v>1957</v>
      </c>
      <c r="H714">
        <v>302</v>
      </c>
      <c r="I714">
        <v>12.346</v>
      </c>
      <c r="J714">
        <v>431.173</v>
      </c>
      <c r="K714">
        <v>0</v>
      </c>
    </row>
    <row r="715" spans="1:11" x14ac:dyDescent="0.4">
      <c r="A715">
        <v>11031</v>
      </c>
      <c r="B715" t="s">
        <v>1319</v>
      </c>
      <c r="C715" t="s">
        <v>526</v>
      </c>
      <c r="E715" t="s">
        <v>522</v>
      </c>
      <c r="F715">
        <v>2</v>
      </c>
      <c r="G715">
        <v>1966</v>
      </c>
      <c r="H715">
        <v>169</v>
      </c>
      <c r="I715">
        <v>23.501000000000001</v>
      </c>
      <c r="J715">
        <v>1139.5889999999999</v>
      </c>
      <c r="K715">
        <v>288</v>
      </c>
    </row>
    <row r="716" spans="1:11" x14ac:dyDescent="0.4">
      <c r="A716">
        <v>23244</v>
      </c>
      <c r="B716" t="s">
        <v>1320</v>
      </c>
      <c r="C716" t="s">
        <v>485</v>
      </c>
      <c r="E716" t="s">
        <v>194</v>
      </c>
      <c r="F716">
        <v>33</v>
      </c>
      <c r="G716">
        <v>1962</v>
      </c>
      <c r="H716">
        <v>537</v>
      </c>
      <c r="I716">
        <v>1.125</v>
      </c>
      <c r="J716">
        <v>44.926000000000002</v>
      </c>
      <c r="K716">
        <v>0</v>
      </c>
    </row>
    <row r="717" spans="1:11" x14ac:dyDescent="0.4">
      <c r="A717">
        <v>22012</v>
      </c>
      <c r="B717" t="s">
        <v>1321</v>
      </c>
      <c r="C717" t="s">
        <v>487</v>
      </c>
      <c r="E717" t="s">
        <v>438</v>
      </c>
      <c r="F717">
        <v>43</v>
      </c>
      <c r="G717">
        <v>1980</v>
      </c>
      <c r="H717">
        <v>757</v>
      </c>
      <c r="I717">
        <v>0</v>
      </c>
      <c r="J717">
        <v>0</v>
      </c>
      <c r="K717">
        <v>0</v>
      </c>
    </row>
    <row r="718" spans="1:11" x14ac:dyDescent="0.4">
      <c r="A718">
        <v>24281</v>
      </c>
      <c r="B718" t="s">
        <v>1321</v>
      </c>
      <c r="C718" t="s">
        <v>487</v>
      </c>
      <c r="E718" t="s">
        <v>456</v>
      </c>
      <c r="F718">
        <v>52</v>
      </c>
      <c r="G718">
        <v>1969</v>
      </c>
      <c r="H718">
        <v>331</v>
      </c>
      <c r="I718">
        <v>4.3129999999999997</v>
      </c>
      <c r="J718">
        <v>344.18099999999998</v>
      </c>
      <c r="K718">
        <v>142</v>
      </c>
    </row>
    <row r="719" spans="1:11" x14ac:dyDescent="0.4">
      <c r="A719">
        <v>21795</v>
      </c>
      <c r="B719" t="s">
        <v>1322</v>
      </c>
      <c r="C719" t="s">
        <v>589</v>
      </c>
      <c r="E719" t="s">
        <v>259</v>
      </c>
      <c r="F719">
        <v>27</v>
      </c>
      <c r="G719">
        <v>1956</v>
      </c>
      <c r="H719">
        <v>416</v>
      </c>
      <c r="I719">
        <v>2.9060000000000001</v>
      </c>
      <c r="J719">
        <v>165.19200000000001</v>
      </c>
      <c r="K719">
        <v>39</v>
      </c>
    </row>
    <row r="720" spans="1:11" x14ac:dyDescent="0.4">
      <c r="A720">
        <v>24504</v>
      </c>
      <c r="B720" t="s">
        <v>1323</v>
      </c>
      <c r="C720" t="s">
        <v>490</v>
      </c>
      <c r="E720" t="s">
        <v>163</v>
      </c>
      <c r="F720">
        <v>96</v>
      </c>
      <c r="G720">
        <v>1978</v>
      </c>
      <c r="H720">
        <v>398</v>
      </c>
      <c r="I720">
        <v>5.3129999999999997</v>
      </c>
      <c r="J720">
        <v>197.87100000000001</v>
      </c>
      <c r="K720">
        <v>0</v>
      </c>
    </row>
    <row r="721" spans="1:11" x14ac:dyDescent="0.4">
      <c r="A721">
        <v>18082</v>
      </c>
      <c r="B721" t="s">
        <v>1324</v>
      </c>
      <c r="C721" t="s">
        <v>500</v>
      </c>
      <c r="E721" t="s">
        <v>180</v>
      </c>
      <c r="F721">
        <v>89</v>
      </c>
      <c r="G721">
        <v>1962</v>
      </c>
      <c r="H721">
        <v>557</v>
      </c>
      <c r="I721">
        <v>1</v>
      </c>
      <c r="J721">
        <v>32.798999999999999</v>
      </c>
      <c r="K721">
        <v>0</v>
      </c>
    </row>
    <row r="722" spans="1:11" x14ac:dyDescent="0.4">
      <c r="A722">
        <v>16010</v>
      </c>
      <c r="B722" t="s">
        <v>1325</v>
      </c>
      <c r="C722" t="s">
        <v>693</v>
      </c>
      <c r="D722" t="s">
        <v>378</v>
      </c>
      <c r="E722" t="s">
        <v>189</v>
      </c>
      <c r="F722">
        <v>20</v>
      </c>
      <c r="G722">
        <v>1962</v>
      </c>
      <c r="H722">
        <v>138</v>
      </c>
      <c r="I722">
        <v>16.312000000000001</v>
      </c>
      <c r="J722">
        <v>1397.16</v>
      </c>
      <c r="K722">
        <v>615</v>
      </c>
    </row>
    <row r="723" spans="1:11" x14ac:dyDescent="0.4">
      <c r="A723">
        <v>99600</v>
      </c>
      <c r="B723" t="s">
        <v>1326</v>
      </c>
      <c r="C723" t="s">
        <v>500</v>
      </c>
      <c r="E723" t="s">
        <v>285</v>
      </c>
      <c r="F723">
        <v>19</v>
      </c>
      <c r="G723">
        <v>1966</v>
      </c>
      <c r="H723">
        <v>329</v>
      </c>
      <c r="I723">
        <v>8.625</v>
      </c>
      <c r="J723">
        <v>346.71600000000001</v>
      </c>
      <c r="K723">
        <v>80</v>
      </c>
    </row>
    <row r="724" spans="1:11" x14ac:dyDescent="0.4">
      <c r="A724">
        <v>15080</v>
      </c>
      <c r="B724" t="s">
        <v>1327</v>
      </c>
      <c r="C724" t="s">
        <v>596</v>
      </c>
      <c r="E724" t="s">
        <v>248</v>
      </c>
      <c r="F724">
        <v>13</v>
      </c>
      <c r="G724">
        <v>1983</v>
      </c>
      <c r="H724">
        <v>358</v>
      </c>
      <c r="I724">
        <v>8.157</v>
      </c>
      <c r="J724">
        <v>285.834</v>
      </c>
      <c r="K724">
        <v>59</v>
      </c>
    </row>
    <row r="725" spans="1:11" x14ac:dyDescent="0.4">
      <c r="A725">
        <v>97297</v>
      </c>
      <c r="B725" t="s">
        <v>1328</v>
      </c>
      <c r="C725" t="s">
        <v>526</v>
      </c>
      <c r="E725" t="s">
        <v>263</v>
      </c>
      <c r="F725">
        <v>17</v>
      </c>
      <c r="G725">
        <v>1959</v>
      </c>
      <c r="H725">
        <v>758</v>
      </c>
      <c r="I725">
        <v>0</v>
      </c>
      <c r="J725">
        <v>0</v>
      </c>
      <c r="K725">
        <v>0</v>
      </c>
    </row>
    <row r="726" spans="1:11" x14ac:dyDescent="0.4">
      <c r="A726">
        <v>99537</v>
      </c>
      <c r="B726" t="s">
        <v>1328</v>
      </c>
      <c r="C726" t="s">
        <v>639</v>
      </c>
      <c r="E726" t="s">
        <v>263</v>
      </c>
      <c r="F726">
        <v>17</v>
      </c>
      <c r="G726">
        <v>1986</v>
      </c>
      <c r="H726">
        <v>759</v>
      </c>
      <c r="I726">
        <v>0</v>
      </c>
      <c r="J726">
        <v>0</v>
      </c>
      <c r="K726">
        <v>0</v>
      </c>
    </row>
    <row r="727" spans="1:11" x14ac:dyDescent="0.4">
      <c r="A727">
        <v>21813</v>
      </c>
      <c r="B727" t="s">
        <v>1329</v>
      </c>
      <c r="C727" t="s">
        <v>503</v>
      </c>
      <c r="D727" t="s">
        <v>378</v>
      </c>
      <c r="E727" t="s">
        <v>263</v>
      </c>
      <c r="F727">
        <v>17</v>
      </c>
      <c r="G727">
        <v>1988</v>
      </c>
      <c r="H727">
        <v>434</v>
      </c>
      <c r="I727">
        <v>2.25</v>
      </c>
      <c r="J727">
        <v>152.35900000000001</v>
      </c>
      <c r="K727">
        <v>61</v>
      </c>
    </row>
    <row r="728" spans="1:11" x14ac:dyDescent="0.4">
      <c r="A728">
        <v>22114</v>
      </c>
      <c r="B728" t="s">
        <v>1330</v>
      </c>
      <c r="C728" t="s">
        <v>524</v>
      </c>
      <c r="D728" t="s">
        <v>378</v>
      </c>
      <c r="E728" t="s">
        <v>533</v>
      </c>
      <c r="F728">
        <v>73</v>
      </c>
      <c r="G728">
        <v>1955</v>
      </c>
      <c r="H728">
        <v>444</v>
      </c>
      <c r="I728">
        <v>2.5</v>
      </c>
      <c r="J728">
        <v>143.91200000000001</v>
      </c>
      <c r="K728">
        <v>33</v>
      </c>
    </row>
    <row r="729" spans="1:11" x14ac:dyDescent="0.4">
      <c r="A729">
        <v>18109</v>
      </c>
      <c r="B729" t="s">
        <v>1331</v>
      </c>
      <c r="C729" t="s">
        <v>487</v>
      </c>
      <c r="E729" t="s">
        <v>647</v>
      </c>
      <c r="F729">
        <v>90</v>
      </c>
      <c r="G729">
        <v>1986</v>
      </c>
      <c r="H729">
        <v>72</v>
      </c>
      <c r="I729">
        <v>31.437999999999999</v>
      </c>
      <c r="J729">
        <v>2062.819</v>
      </c>
      <c r="K729">
        <v>808</v>
      </c>
    </row>
    <row r="730" spans="1:11" x14ac:dyDescent="0.4">
      <c r="A730">
        <v>20569</v>
      </c>
      <c r="B730" t="s">
        <v>1331</v>
      </c>
      <c r="C730" t="s">
        <v>979</v>
      </c>
      <c r="E730" t="s">
        <v>647</v>
      </c>
      <c r="F730">
        <v>90</v>
      </c>
      <c r="G730">
        <v>1994</v>
      </c>
      <c r="H730">
        <v>383</v>
      </c>
      <c r="I730">
        <v>2.9689999999999999</v>
      </c>
      <c r="J730">
        <v>232.57900000000001</v>
      </c>
      <c r="K730">
        <v>117</v>
      </c>
    </row>
    <row r="731" spans="1:11" x14ac:dyDescent="0.4">
      <c r="A731">
        <v>19058</v>
      </c>
      <c r="B731" t="s">
        <v>1332</v>
      </c>
      <c r="C731" t="s">
        <v>1333</v>
      </c>
      <c r="D731" t="s">
        <v>508</v>
      </c>
      <c r="E731" t="s">
        <v>647</v>
      </c>
      <c r="F731">
        <v>90</v>
      </c>
      <c r="G731">
        <v>2010</v>
      </c>
      <c r="H731">
        <v>161</v>
      </c>
      <c r="I731">
        <v>18.344999999999999</v>
      </c>
      <c r="J731">
        <v>1182.0060000000001</v>
      </c>
      <c r="K731">
        <v>414</v>
      </c>
    </row>
    <row r="732" spans="1:11" x14ac:dyDescent="0.4">
      <c r="A732">
        <v>21071</v>
      </c>
      <c r="B732" t="s">
        <v>1334</v>
      </c>
      <c r="C732" t="s">
        <v>574</v>
      </c>
      <c r="D732" t="s">
        <v>508</v>
      </c>
      <c r="E732" t="s">
        <v>180</v>
      </c>
      <c r="F732">
        <v>89</v>
      </c>
      <c r="G732">
        <v>2010</v>
      </c>
      <c r="H732">
        <v>193</v>
      </c>
      <c r="I732">
        <v>13.484</v>
      </c>
      <c r="J732">
        <v>976.6</v>
      </c>
      <c r="K732">
        <v>441</v>
      </c>
    </row>
    <row r="733" spans="1:11" x14ac:dyDescent="0.4">
      <c r="A733">
        <v>18135</v>
      </c>
      <c r="B733" t="s">
        <v>1335</v>
      </c>
      <c r="C733" t="s">
        <v>543</v>
      </c>
      <c r="D733" t="s">
        <v>378</v>
      </c>
      <c r="E733" t="s">
        <v>237</v>
      </c>
      <c r="F733">
        <v>1</v>
      </c>
      <c r="G733">
        <v>1967</v>
      </c>
      <c r="H733">
        <v>453</v>
      </c>
      <c r="I733">
        <v>3.875</v>
      </c>
      <c r="J733">
        <v>128.48699999999999</v>
      </c>
      <c r="K733">
        <v>0</v>
      </c>
    </row>
    <row r="734" spans="1:11" x14ac:dyDescent="0.4">
      <c r="A734">
        <v>24532</v>
      </c>
      <c r="B734" t="s">
        <v>873</v>
      </c>
      <c r="C734" t="s">
        <v>485</v>
      </c>
      <c r="E734" t="s">
        <v>904</v>
      </c>
      <c r="F734">
        <v>101</v>
      </c>
      <c r="G734">
        <v>1987</v>
      </c>
      <c r="H734">
        <v>535</v>
      </c>
      <c r="I734">
        <v>1.5</v>
      </c>
      <c r="J734">
        <v>49.198999999999998</v>
      </c>
      <c r="K734">
        <v>0</v>
      </c>
    </row>
    <row r="735" spans="1:11" x14ac:dyDescent="0.4">
      <c r="A735">
        <v>21050</v>
      </c>
      <c r="B735" t="s">
        <v>1336</v>
      </c>
      <c r="C735" t="s">
        <v>639</v>
      </c>
      <c r="E735" t="s">
        <v>259</v>
      </c>
      <c r="F735">
        <v>27</v>
      </c>
      <c r="G735">
        <v>1987</v>
      </c>
      <c r="H735">
        <v>103</v>
      </c>
      <c r="I735">
        <v>36.625</v>
      </c>
      <c r="J735">
        <v>1687.4549999999999</v>
      </c>
      <c r="K735">
        <v>342</v>
      </c>
    </row>
    <row r="736" spans="1:11" x14ac:dyDescent="0.4">
      <c r="A736">
        <v>96030</v>
      </c>
      <c r="B736" t="s">
        <v>1336</v>
      </c>
      <c r="C736" t="s">
        <v>485</v>
      </c>
      <c r="E736" t="s">
        <v>237</v>
      </c>
      <c r="F736">
        <v>1</v>
      </c>
      <c r="G736">
        <v>1950</v>
      </c>
      <c r="H736">
        <v>513</v>
      </c>
      <c r="I736">
        <v>2.5</v>
      </c>
      <c r="J736">
        <v>64.007999999999996</v>
      </c>
      <c r="K736">
        <v>0</v>
      </c>
    </row>
    <row r="737" spans="1:11" x14ac:dyDescent="0.4">
      <c r="A737">
        <v>18061</v>
      </c>
      <c r="B737" t="s">
        <v>1337</v>
      </c>
      <c r="C737" t="s">
        <v>861</v>
      </c>
      <c r="D737" t="s">
        <v>378</v>
      </c>
      <c r="E737" t="s">
        <v>237</v>
      </c>
      <c r="F737">
        <v>1</v>
      </c>
      <c r="G737">
        <v>1957</v>
      </c>
      <c r="H737">
        <v>514</v>
      </c>
      <c r="I737">
        <v>2.5</v>
      </c>
      <c r="J737">
        <v>64.007999999999996</v>
      </c>
      <c r="K737">
        <v>0</v>
      </c>
    </row>
    <row r="738" spans="1:11" x14ac:dyDescent="0.4">
      <c r="A738">
        <v>24533</v>
      </c>
      <c r="B738" t="s">
        <v>1338</v>
      </c>
      <c r="C738" t="s">
        <v>574</v>
      </c>
      <c r="D738" t="s">
        <v>378</v>
      </c>
      <c r="E738" t="s">
        <v>904</v>
      </c>
      <c r="F738">
        <v>101</v>
      </c>
      <c r="G738">
        <v>1965</v>
      </c>
      <c r="H738">
        <v>760</v>
      </c>
      <c r="I738">
        <v>0</v>
      </c>
      <c r="J738">
        <v>0</v>
      </c>
      <c r="K738">
        <v>0</v>
      </c>
    </row>
    <row r="739" spans="1:11" x14ac:dyDescent="0.4">
      <c r="A739">
        <v>18052</v>
      </c>
      <c r="B739" t="s">
        <v>1339</v>
      </c>
      <c r="C739" t="s">
        <v>564</v>
      </c>
      <c r="E739" t="s">
        <v>724</v>
      </c>
      <c r="F739">
        <v>56</v>
      </c>
      <c r="G739">
        <v>1964</v>
      </c>
      <c r="H739">
        <v>376</v>
      </c>
      <c r="I739">
        <v>6.907</v>
      </c>
      <c r="J739">
        <v>243.68</v>
      </c>
      <c r="K739">
        <v>0</v>
      </c>
    </row>
    <row r="740" spans="1:11" x14ac:dyDescent="0.4">
      <c r="A740">
        <v>23206</v>
      </c>
      <c r="B740" t="s">
        <v>1340</v>
      </c>
      <c r="C740" t="s">
        <v>566</v>
      </c>
      <c r="E740" t="s">
        <v>496</v>
      </c>
      <c r="F740">
        <v>93</v>
      </c>
      <c r="G740">
        <v>2006</v>
      </c>
      <c r="H740">
        <v>761</v>
      </c>
      <c r="I740">
        <v>0</v>
      </c>
      <c r="J740">
        <v>0</v>
      </c>
      <c r="K740">
        <v>0</v>
      </c>
    </row>
    <row r="741" spans="1:11" x14ac:dyDescent="0.4">
      <c r="A741">
        <v>23207</v>
      </c>
      <c r="B741" t="s">
        <v>1341</v>
      </c>
      <c r="C741" t="s">
        <v>873</v>
      </c>
      <c r="D741" t="s">
        <v>546</v>
      </c>
      <c r="E741" t="s">
        <v>496</v>
      </c>
      <c r="F741">
        <v>93</v>
      </c>
      <c r="G741">
        <v>2007</v>
      </c>
      <c r="H741">
        <v>762</v>
      </c>
      <c r="I741">
        <v>0</v>
      </c>
      <c r="J741">
        <v>0</v>
      </c>
      <c r="K741">
        <v>0</v>
      </c>
    </row>
    <row r="742" spans="1:11" x14ac:dyDescent="0.4">
      <c r="A742">
        <v>15075</v>
      </c>
      <c r="B742" t="s">
        <v>1342</v>
      </c>
      <c r="C742" t="s">
        <v>1343</v>
      </c>
      <c r="D742" t="s">
        <v>378</v>
      </c>
      <c r="E742" t="s">
        <v>237</v>
      </c>
      <c r="F742">
        <v>1</v>
      </c>
      <c r="G742">
        <v>1956</v>
      </c>
      <c r="H742">
        <v>394</v>
      </c>
      <c r="I742">
        <v>5.9390000000000001</v>
      </c>
      <c r="J742">
        <v>210.80500000000001</v>
      </c>
      <c r="K742">
        <v>0</v>
      </c>
    </row>
    <row r="743" spans="1:11" x14ac:dyDescent="0.4">
      <c r="A743">
        <v>98352</v>
      </c>
      <c r="B743" t="s">
        <v>1344</v>
      </c>
      <c r="C743" t="s">
        <v>587</v>
      </c>
      <c r="D743" t="s">
        <v>378</v>
      </c>
      <c r="E743" t="s">
        <v>237</v>
      </c>
      <c r="F743">
        <v>1</v>
      </c>
      <c r="G743">
        <v>1967</v>
      </c>
      <c r="H743">
        <v>454</v>
      </c>
      <c r="I743">
        <v>3.875</v>
      </c>
      <c r="J743">
        <v>128.48699999999999</v>
      </c>
      <c r="K743">
        <v>0</v>
      </c>
    </row>
    <row r="744" spans="1:11" x14ac:dyDescent="0.4">
      <c r="A744">
        <v>96205</v>
      </c>
      <c r="B744" t="s">
        <v>1345</v>
      </c>
      <c r="C744" t="s">
        <v>566</v>
      </c>
      <c r="E744" t="s">
        <v>237</v>
      </c>
      <c r="F744">
        <v>1</v>
      </c>
      <c r="G744">
        <v>1953</v>
      </c>
      <c r="H744">
        <v>530</v>
      </c>
      <c r="I744">
        <v>2.0939999999999999</v>
      </c>
      <c r="J744">
        <v>58.079000000000001</v>
      </c>
      <c r="K744">
        <v>0</v>
      </c>
    </row>
    <row r="745" spans="1:11" x14ac:dyDescent="0.4">
      <c r="A745">
        <v>22119</v>
      </c>
      <c r="B745" t="s">
        <v>1346</v>
      </c>
      <c r="C745" t="s">
        <v>711</v>
      </c>
      <c r="D745" t="s">
        <v>378</v>
      </c>
      <c r="E745" t="s">
        <v>320</v>
      </c>
      <c r="F745">
        <v>86</v>
      </c>
      <c r="G745">
        <v>1998</v>
      </c>
      <c r="H745">
        <v>18</v>
      </c>
      <c r="I745">
        <v>41.25</v>
      </c>
      <c r="J745">
        <v>3108.6109999999999</v>
      </c>
      <c r="K745">
        <v>1360</v>
      </c>
    </row>
    <row r="746" spans="1:11" x14ac:dyDescent="0.4">
      <c r="A746">
        <v>20527</v>
      </c>
      <c r="B746" t="s">
        <v>1347</v>
      </c>
      <c r="C746" t="s">
        <v>539</v>
      </c>
      <c r="E746" t="s">
        <v>320</v>
      </c>
      <c r="F746">
        <v>86</v>
      </c>
      <c r="G746">
        <v>1989</v>
      </c>
      <c r="H746">
        <v>79</v>
      </c>
      <c r="I746">
        <v>27.562999999999999</v>
      </c>
      <c r="J746">
        <v>1972.1890000000001</v>
      </c>
      <c r="K746">
        <v>868</v>
      </c>
    </row>
    <row r="747" spans="1:11" x14ac:dyDescent="0.4">
      <c r="A747">
        <v>21819</v>
      </c>
      <c r="B747" t="s">
        <v>1348</v>
      </c>
      <c r="C747" t="s">
        <v>630</v>
      </c>
      <c r="E747" t="s">
        <v>424</v>
      </c>
      <c r="F747">
        <v>36</v>
      </c>
      <c r="G747">
        <v>1952</v>
      </c>
      <c r="H747">
        <v>763</v>
      </c>
      <c r="I747">
        <v>0</v>
      </c>
      <c r="J747">
        <v>0</v>
      </c>
      <c r="K747">
        <v>0</v>
      </c>
    </row>
    <row r="748" spans="1:11" x14ac:dyDescent="0.4">
      <c r="A748">
        <v>17093</v>
      </c>
      <c r="B748" t="s">
        <v>1349</v>
      </c>
      <c r="C748" t="s">
        <v>1282</v>
      </c>
      <c r="E748" t="s">
        <v>185</v>
      </c>
      <c r="F748">
        <v>63</v>
      </c>
      <c r="G748">
        <v>1967</v>
      </c>
      <c r="H748">
        <v>132</v>
      </c>
      <c r="I748">
        <v>23.062999999999999</v>
      </c>
      <c r="J748">
        <v>1448.1020000000001</v>
      </c>
      <c r="K748">
        <v>684</v>
      </c>
    </row>
    <row r="749" spans="1:11" x14ac:dyDescent="0.4">
      <c r="A749">
        <v>10047</v>
      </c>
      <c r="B749" t="s">
        <v>1349</v>
      </c>
      <c r="C749" t="s">
        <v>585</v>
      </c>
      <c r="E749" t="s">
        <v>185</v>
      </c>
      <c r="F749">
        <v>63</v>
      </c>
      <c r="G749">
        <v>1997</v>
      </c>
      <c r="H749">
        <v>205</v>
      </c>
      <c r="I749">
        <v>27.280999999999999</v>
      </c>
      <c r="J749">
        <v>903.49400000000003</v>
      </c>
      <c r="K749">
        <v>0</v>
      </c>
    </row>
    <row r="750" spans="1:11" x14ac:dyDescent="0.4">
      <c r="A750">
        <v>22147</v>
      </c>
      <c r="B750" t="s">
        <v>1350</v>
      </c>
      <c r="C750" t="s">
        <v>569</v>
      </c>
      <c r="E750" t="s">
        <v>269</v>
      </c>
      <c r="F750">
        <v>98</v>
      </c>
      <c r="G750">
        <v>1958</v>
      </c>
      <c r="H750">
        <v>206</v>
      </c>
      <c r="I750">
        <v>22.780999999999999</v>
      </c>
      <c r="J750">
        <v>903.36500000000001</v>
      </c>
      <c r="K750">
        <v>121</v>
      </c>
    </row>
    <row r="751" spans="1:11" x14ac:dyDescent="0.4">
      <c r="A751">
        <v>22149</v>
      </c>
      <c r="B751" t="s">
        <v>1351</v>
      </c>
      <c r="C751" t="s">
        <v>693</v>
      </c>
      <c r="D751" t="s">
        <v>378</v>
      </c>
      <c r="E751" t="s">
        <v>269</v>
      </c>
      <c r="F751">
        <v>98</v>
      </c>
      <c r="G751">
        <v>1964</v>
      </c>
      <c r="H751">
        <v>207</v>
      </c>
      <c r="I751">
        <v>22.780999999999999</v>
      </c>
      <c r="J751">
        <v>903.36500000000001</v>
      </c>
      <c r="K751">
        <v>121</v>
      </c>
    </row>
    <row r="752" spans="1:11" x14ac:dyDescent="0.4">
      <c r="A752">
        <v>97272</v>
      </c>
      <c r="B752" t="s">
        <v>1352</v>
      </c>
      <c r="C752" t="s">
        <v>539</v>
      </c>
      <c r="E752" t="s">
        <v>237</v>
      </c>
      <c r="F752">
        <v>1</v>
      </c>
      <c r="G752">
        <v>1957</v>
      </c>
      <c r="H752">
        <v>479</v>
      </c>
      <c r="I752">
        <v>3.5939999999999999</v>
      </c>
      <c r="J752">
        <v>99.08</v>
      </c>
      <c r="K752">
        <v>0</v>
      </c>
    </row>
    <row r="753" spans="1:11" x14ac:dyDescent="0.4">
      <c r="A753">
        <v>22124</v>
      </c>
      <c r="B753" t="s">
        <v>1353</v>
      </c>
      <c r="C753" t="s">
        <v>1354</v>
      </c>
      <c r="D753" t="s">
        <v>378</v>
      </c>
      <c r="E753" t="s">
        <v>176</v>
      </c>
      <c r="F753">
        <v>95</v>
      </c>
      <c r="G753">
        <v>1968</v>
      </c>
      <c r="H753">
        <v>456</v>
      </c>
      <c r="I753">
        <v>3.6880000000000002</v>
      </c>
      <c r="J753">
        <v>125.06100000000001</v>
      </c>
      <c r="K753">
        <v>0</v>
      </c>
    </row>
    <row r="754" spans="1:11" x14ac:dyDescent="0.4">
      <c r="A754">
        <v>15068</v>
      </c>
      <c r="B754" t="s">
        <v>1355</v>
      </c>
      <c r="C754" t="s">
        <v>596</v>
      </c>
      <c r="E754" t="s">
        <v>631</v>
      </c>
      <c r="F754">
        <v>24</v>
      </c>
      <c r="G754">
        <v>1956</v>
      </c>
      <c r="H754">
        <v>82</v>
      </c>
      <c r="I754">
        <v>23.376000000000001</v>
      </c>
      <c r="J754">
        <v>1945.3340000000001</v>
      </c>
      <c r="K754">
        <v>892</v>
      </c>
    </row>
    <row r="755" spans="1:11" x14ac:dyDescent="0.4">
      <c r="A755">
        <v>19005</v>
      </c>
      <c r="B755" t="s">
        <v>1356</v>
      </c>
      <c r="C755" t="s">
        <v>603</v>
      </c>
      <c r="E755" t="s">
        <v>619</v>
      </c>
      <c r="F755">
        <v>28</v>
      </c>
      <c r="G755">
        <v>1959</v>
      </c>
      <c r="H755">
        <v>563</v>
      </c>
      <c r="I755">
        <v>1.3129999999999999</v>
      </c>
      <c r="J755">
        <v>31.481999999999999</v>
      </c>
      <c r="K755">
        <v>0</v>
      </c>
    </row>
    <row r="756" spans="1:11" x14ac:dyDescent="0.4">
      <c r="A756">
        <v>97262</v>
      </c>
      <c r="B756" t="s">
        <v>1357</v>
      </c>
      <c r="C756" t="s">
        <v>1179</v>
      </c>
      <c r="D756" t="s">
        <v>378</v>
      </c>
      <c r="E756" t="s">
        <v>619</v>
      </c>
      <c r="F756">
        <v>28</v>
      </c>
      <c r="G756">
        <v>1964</v>
      </c>
      <c r="H756">
        <v>431</v>
      </c>
      <c r="I756">
        <v>4.5</v>
      </c>
      <c r="J756">
        <v>154.88999999999999</v>
      </c>
      <c r="K756">
        <v>0</v>
      </c>
    </row>
    <row r="757" spans="1:11" x14ac:dyDescent="0.4">
      <c r="A757">
        <v>21820</v>
      </c>
      <c r="B757" t="s">
        <v>1358</v>
      </c>
      <c r="C757" t="s">
        <v>519</v>
      </c>
      <c r="E757" t="s">
        <v>424</v>
      </c>
      <c r="F757">
        <v>36</v>
      </c>
      <c r="G757">
        <v>1959</v>
      </c>
      <c r="H757">
        <v>764</v>
      </c>
      <c r="I757">
        <v>0</v>
      </c>
      <c r="J757">
        <v>0</v>
      </c>
      <c r="K757">
        <v>0</v>
      </c>
    </row>
    <row r="758" spans="1:11" x14ac:dyDescent="0.4">
      <c r="A758">
        <v>19044</v>
      </c>
      <c r="B758" t="s">
        <v>1359</v>
      </c>
      <c r="C758" t="s">
        <v>1065</v>
      </c>
      <c r="D758" t="s">
        <v>546</v>
      </c>
      <c r="E758" t="s">
        <v>237</v>
      </c>
      <c r="F758">
        <v>1</v>
      </c>
      <c r="G758">
        <v>2007</v>
      </c>
      <c r="H758">
        <v>571</v>
      </c>
      <c r="I758">
        <v>0.75</v>
      </c>
      <c r="J758">
        <v>26.99</v>
      </c>
      <c r="K758">
        <v>0</v>
      </c>
    </row>
    <row r="759" spans="1:11" x14ac:dyDescent="0.4">
      <c r="A759">
        <v>20575</v>
      </c>
      <c r="B759" t="s">
        <v>1360</v>
      </c>
      <c r="C759" t="s">
        <v>886</v>
      </c>
      <c r="D759" t="s">
        <v>508</v>
      </c>
      <c r="E759" t="s">
        <v>237</v>
      </c>
      <c r="F759">
        <v>1</v>
      </c>
      <c r="G759">
        <v>2009</v>
      </c>
      <c r="H759">
        <v>765</v>
      </c>
      <c r="I759">
        <v>0</v>
      </c>
      <c r="J759">
        <v>0</v>
      </c>
      <c r="K759">
        <v>0</v>
      </c>
    </row>
    <row r="760" spans="1:11" x14ac:dyDescent="0.4">
      <c r="A760">
        <v>15026</v>
      </c>
      <c r="B760" t="s">
        <v>1361</v>
      </c>
      <c r="C760" t="s">
        <v>526</v>
      </c>
      <c r="E760" t="s">
        <v>160</v>
      </c>
      <c r="F760">
        <v>64</v>
      </c>
      <c r="G760">
        <v>1964</v>
      </c>
      <c r="H760">
        <v>420</v>
      </c>
      <c r="I760">
        <v>3.75</v>
      </c>
      <c r="J760">
        <v>164.03100000000001</v>
      </c>
      <c r="K760">
        <v>0</v>
      </c>
    </row>
    <row r="761" spans="1:11" x14ac:dyDescent="0.4">
      <c r="A761">
        <v>24514</v>
      </c>
      <c r="B761" t="s">
        <v>1361</v>
      </c>
      <c r="C761" t="s">
        <v>596</v>
      </c>
      <c r="E761" t="s">
        <v>647</v>
      </c>
      <c r="F761">
        <v>90</v>
      </c>
      <c r="G761">
        <v>1998</v>
      </c>
      <c r="H761">
        <v>766</v>
      </c>
      <c r="I761">
        <v>0</v>
      </c>
      <c r="J761">
        <v>0</v>
      </c>
      <c r="K761">
        <v>0</v>
      </c>
    </row>
    <row r="762" spans="1:11" x14ac:dyDescent="0.4">
      <c r="A762">
        <v>23254</v>
      </c>
      <c r="B762" t="s">
        <v>1361</v>
      </c>
      <c r="C762" t="s">
        <v>554</v>
      </c>
      <c r="E762" t="s">
        <v>488</v>
      </c>
      <c r="F762">
        <v>79</v>
      </c>
      <c r="G762">
        <v>2000</v>
      </c>
      <c r="H762">
        <v>413</v>
      </c>
      <c r="I762">
        <v>1.8759999999999999</v>
      </c>
      <c r="J762">
        <v>165.96799999999999</v>
      </c>
      <c r="K762">
        <v>80</v>
      </c>
    </row>
    <row r="763" spans="1:11" x14ac:dyDescent="0.4">
      <c r="A763">
        <v>24275</v>
      </c>
      <c r="B763" t="s">
        <v>1362</v>
      </c>
      <c r="C763" t="s">
        <v>585</v>
      </c>
      <c r="E763" t="s">
        <v>456</v>
      </c>
      <c r="F763">
        <v>52</v>
      </c>
      <c r="G763">
        <v>1963</v>
      </c>
      <c r="H763">
        <v>442</v>
      </c>
      <c r="I763">
        <v>3.9380000000000002</v>
      </c>
      <c r="J763">
        <v>145.84399999999999</v>
      </c>
      <c r="K763">
        <v>0</v>
      </c>
    </row>
    <row r="764" spans="1:11" x14ac:dyDescent="0.4">
      <c r="A764">
        <v>27080</v>
      </c>
      <c r="B764" t="s">
        <v>1363</v>
      </c>
      <c r="C764" t="s">
        <v>490</v>
      </c>
      <c r="E764" t="s">
        <v>684</v>
      </c>
      <c r="F764">
        <v>77</v>
      </c>
      <c r="G764">
        <v>1970</v>
      </c>
      <c r="H764">
        <v>254</v>
      </c>
      <c r="I764">
        <v>4.3120000000000003</v>
      </c>
      <c r="J764">
        <v>636.46299999999997</v>
      </c>
      <c r="K764">
        <v>413</v>
      </c>
    </row>
    <row r="765" spans="1:11" x14ac:dyDescent="0.4">
      <c r="A765">
        <v>14052</v>
      </c>
      <c r="B765" t="s">
        <v>1364</v>
      </c>
      <c r="C765" t="s">
        <v>933</v>
      </c>
      <c r="D765" t="s">
        <v>378</v>
      </c>
      <c r="E765" t="s">
        <v>684</v>
      </c>
      <c r="F765">
        <v>77</v>
      </c>
      <c r="G765">
        <v>1970</v>
      </c>
      <c r="H765">
        <v>158</v>
      </c>
      <c r="I765">
        <v>12.656000000000001</v>
      </c>
      <c r="J765">
        <v>1203.3879999999999</v>
      </c>
      <c r="K765">
        <v>638</v>
      </c>
    </row>
    <row r="766" spans="1:11" x14ac:dyDescent="0.4">
      <c r="A766">
        <v>22180</v>
      </c>
      <c r="B766" t="s">
        <v>1365</v>
      </c>
      <c r="C766" t="s">
        <v>683</v>
      </c>
      <c r="D766" t="s">
        <v>546</v>
      </c>
      <c r="E766" t="s">
        <v>653</v>
      </c>
      <c r="F766">
        <v>16</v>
      </c>
      <c r="G766">
        <v>2007</v>
      </c>
      <c r="H766">
        <v>190</v>
      </c>
      <c r="I766">
        <v>30.437999999999999</v>
      </c>
      <c r="J766">
        <v>990.44500000000005</v>
      </c>
      <c r="K766">
        <v>28</v>
      </c>
    </row>
    <row r="767" spans="1:11" x14ac:dyDescent="0.4">
      <c r="A767">
        <v>23086</v>
      </c>
      <c r="B767" t="s">
        <v>1366</v>
      </c>
      <c r="C767" t="s">
        <v>500</v>
      </c>
      <c r="E767" t="s">
        <v>438</v>
      </c>
      <c r="F767">
        <v>43</v>
      </c>
      <c r="G767">
        <v>1955</v>
      </c>
      <c r="H767">
        <v>391</v>
      </c>
      <c r="I767">
        <v>6</v>
      </c>
      <c r="J767">
        <v>217.27799999999999</v>
      </c>
      <c r="K767">
        <v>0</v>
      </c>
    </row>
    <row r="768" spans="1:11" x14ac:dyDescent="0.4">
      <c r="A768">
        <v>26010</v>
      </c>
      <c r="B768" t="s">
        <v>1367</v>
      </c>
      <c r="C768" t="s">
        <v>526</v>
      </c>
      <c r="E768" t="s">
        <v>237</v>
      </c>
      <c r="F768">
        <v>1</v>
      </c>
      <c r="G768">
        <v>1953</v>
      </c>
      <c r="H768">
        <v>94</v>
      </c>
      <c r="I768">
        <v>31.625</v>
      </c>
      <c r="J768">
        <v>1835.9069999999999</v>
      </c>
      <c r="K768">
        <v>474</v>
      </c>
    </row>
    <row r="769" spans="1:11" x14ac:dyDescent="0.4">
      <c r="A769">
        <v>14022</v>
      </c>
      <c r="B769" t="s">
        <v>1368</v>
      </c>
      <c r="C769" t="s">
        <v>573</v>
      </c>
      <c r="D769" t="s">
        <v>378</v>
      </c>
      <c r="E769" t="s">
        <v>160</v>
      </c>
      <c r="F769">
        <v>64</v>
      </c>
      <c r="G769">
        <v>1985</v>
      </c>
      <c r="H769">
        <v>767</v>
      </c>
      <c r="I769">
        <v>0</v>
      </c>
      <c r="J769">
        <v>0</v>
      </c>
      <c r="K769">
        <v>0</v>
      </c>
    </row>
    <row r="770" spans="1:11" x14ac:dyDescent="0.4">
      <c r="A770">
        <v>28009</v>
      </c>
      <c r="B770" t="s">
        <v>1368</v>
      </c>
      <c r="C770" t="s">
        <v>1060</v>
      </c>
      <c r="D770" t="s">
        <v>378</v>
      </c>
      <c r="E770" t="s">
        <v>237</v>
      </c>
      <c r="F770">
        <v>1</v>
      </c>
      <c r="G770">
        <v>1955</v>
      </c>
      <c r="H770">
        <v>768</v>
      </c>
      <c r="I770">
        <v>0</v>
      </c>
      <c r="J770">
        <v>0</v>
      </c>
      <c r="K770">
        <v>0</v>
      </c>
    </row>
    <row r="771" spans="1:11" x14ac:dyDescent="0.4">
      <c r="A771">
        <v>20509</v>
      </c>
      <c r="B771" t="s">
        <v>1369</v>
      </c>
      <c r="C771" t="s">
        <v>596</v>
      </c>
      <c r="E771" t="s">
        <v>304</v>
      </c>
      <c r="F771">
        <v>45</v>
      </c>
      <c r="G771">
        <v>1971</v>
      </c>
      <c r="H771">
        <v>286</v>
      </c>
      <c r="I771">
        <v>11.875</v>
      </c>
      <c r="J771">
        <v>511.77600000000001</v>
      </c>
      <c r="K771">
        <v>118</v>
      </c>
    </row>
    <row r="772" spans="1:11" x14ac:dyDescent="0.4">
      <c r="A772">
        <v>19031</v>
      </c>
      <c r="B772" t="s">
        <v>1370</v>
      </c>
      <c r="C772" t="s">
        <v>669</v>
      </c>
      <c r="E772" t="s">
        <v>214</v>
      </c>
      <c r="F772">
        <v>69</v>
      </c>
      <c r="G772">
        <v>2003</v>
      </c>
      <c r="H772">
        <v>388</v>
      </c>
      <c r="I772">
        <v>3.9380000000000002</v>
      </c>
      <c r="J772">
        <v>223.107</v>
      </c>
      <c r="K772">
        <v>105</v>
      </c>
    </row>
    <row r="773" spans="1:11" x14ac:dyDescent="0.4">
      <c r="A773">
        <v>15084</v>
      </c>
      <c r="B773" t="s">
        <v>1174</v>
      </c>
      <c r="C773" t="s">
        <v>566</v>
      </c>
      <c r="E773" t="s">
        <v>522</v>
      </c>
      <c r="F773">
        <v>2</v>
      </c>
      <c r="G773">
        <v>1965</v>
      </c>
      <c r="H773">
        <v>570</v>
      </c>
      <c r="I773">
        <v>1.4370000000000001</v>
      </c>
      <c r="J773">
        <v>51.360999999999997</v>
      </c>
      <c r="K773">
        <v>0</v>
      </c>
    </row>
    <row r="774" spans="1:11" x14ac:dyDescent="0.4">
      <c r="A774">
        <v>18130</v>
      </c>
      <c r="B774" t="s">
        <v>1175</v>
      </c>
      <c r="C774" t="s">
        <v>559</v>
      </c>
      <c r="E774" t="s">
        <v>578</v>
      </c>
      <c r="F774">
        <v>92</v>
      </c>
      <c r="G774">
        <v>1963</v>
      </c>
      <c r="H774">
        <v>133</v>
      </c>
      <c r="I774">
        <v>20.315000000000001</v>
      </c>
      <c r="J774">
        <v>1066.3610000000001</v>
      </c>
      <c r="K774">
        <v>295</v>
      </c>
    </row>
    <row r="775" spans="1:11" x14ac:dyDescent="0.4">
      <c r="A775">
        <v>11040</v>
      </c>
      <c r="B775" t="s">
        <v>1371</v>
      </c>
      <c r="C775" t="s">
        <v>1277</v>
      </c>
      <c r="E775" t="s">
        <v>237</v>
      </c>
      <c r="F775">
        <v>1</v>
      </c>
      <c r="G775">
        <v>2002</v>
      </c>
      <c r="H775">
        <v>564</v>
      </c>
      <c r="I775">
        <v>0.59399999999999997</v>
      </c>
      <c r="J775">
        <v>53.954000000000001</v>
      </c>
      <c r="K775">
        <v>25</v>
      </c>
    </row>
    <row r="776" spans="1:11" x14ac:dyDescent="0.4">
      <c r="A776">
        <v>15056</v>
      </c>
      <c r="B776" t="s">
        <v>1177</v>
      </c>
      <c r="C776" t="s">
        <v>532</v>
      </c>
      <c r="D776" t="s">
        <v>378</v>
      </c>
      <c r="E776" t="s">
        <v>237</v>
      </c>
      <c r="F776">
        <v>1</v>
      </c>
      <c r="G776">
        <v>2002</v>
      </c>
      <c r="H776">
        <v>463</v>
      </c>
      <c r="I776">
        <v>0.92200000000000004</v>
      </c>
      <c r="J776">
        <v>122.95399999999999</v>
      </c>
      <c r="K776">
        <v>78</v>
      </c>
    </row>
    <row r="777" spans="1:11" x14ac:dyDescent="0.4">
      <c r="A777">
        <v>20609</v>
      </c>
      <c r="B777" t="s">
        <v>1372</v>
      </c>
      <c r="C777" t="s">
        <v>564</v>
      </c>
      <c r="E777" t="s">
        <v>176</v>
      </c>
      <c r="F777">
        <v>95</v>
      </c>
      <c r="G777">
        <v>1960</v>
      </c>
      <c r="H777">
        <v>928</v>
      </c>
      <c r="I777">
        <v>0</v>
      </c>
      <c r="J777">
        <v>0</v>
      </c>
      <c r="K777">
        <v>0</v>
      </c>
    </row>
    <row r="778" spans="1:11" x14ac:dyDescent="0.4">
      <c r="A778">
        <v>16109</v>
      </c>
      <c r="B778" t="s">
        <v>1373</v>
      </c>
      <c r="C778" t="s">
        <v>1374</v>
      </c>
      <c r="D778" t="s">
        <v>378</v>
      </c>
      <c r="E778" t="s">
        <v>533</v>
      </c>
      <c r="F778">
        <v>73</v>
      </c>
      <c r="G778">
        <v>1949</v>
      </c>
      <c r="H778">
        <v>110</v>
      </c>
      <c r="I778">
        <v>19.721</v>
      </c>
      <c r="J778">
        <v>1221.251</v>
      </c>
      <c r="K778">
        <v>407</v>
      </c>
    </row>
    <row r="779" spans="1:11" x14ac:dyDescent="0.4">
      <c r="A779">
        <v>14098</v>
      </c>
      <c r="B779" t="s">
        <v>1180</v>
      </c>
      <c r="C779" t="s">
        <v>485</v>
      </c>
      <c r="E779" t="s">
        <v>456</v>
      </c>
      <c r="F779">
        <v>52</v>
      </c>
      <c r="G779">
        <v>1980</v>
      </c>
      <c r="H779">
        <v>372</v>
      </c>
      <c r="I779">
        <v>6.282</v>
      </c>
      <c r="J779">
        <v>214.864</v>
      </c>
      <c r="K779">
        <v>36</v>
      </c>
    </row>
    <row r="780" spans="1:11" x14ac:dyDescent="0.4">
      <c r="A780">
        <v>18085</v>
      </c>
      <c r="B780" t="s">
        <v>1375</v>
      </c>
      <c r="C780" t="s">
        <v>500</v>
      </c>
      <c r="E780" t="s">
        <v>180</v>
      </c>
      <c r="F780">
        <v>89</v>
      </c>
      <c r="G780">
        <v>1948</v>
      </c>
      <c r="H780">
        <v>929</v>
      </c>
      <c r="I780">
        <v>0</v>
      </c>
      <c r="J780">
        <v>0</v>
      </c>
      <c r="K780">
        <v>0</v>
      </c>
    </row>
    <row r="781" spans="1:11" x14ac:dyDescent="0.4">
      <c r="A781">
        <v>15009</v>
      </c>
      <c r="B781" t="s">
        <v>1181</v>
      </c>
      <c r="C781" t="s">
        <v>487</v>
      </c>
      <c r="E781" t="s">
        <v>197</v>
      </c>
      <c r="F781">
        <v>15</v>
      </c>
      <c r="G781">
        <v>1995</v>
      </c>
      <c r="H781">
        <v>108</v>
      </c>
      <c r="I781">
        <v>25.782</v>
      </c>
      <c r="J781">
        <v>1242.8910000000001</v>
      </c>
      <c r="K781">
        <v>254</v>
      </c>
    </row>
    <row r="782" spans="1:11" x14ac:dyDescent="0.4">
      <c r="A782">
        <v>15008</v>
      </c>
      <c r="B782" t="s">
        <v>1181</v>
      </c>
      <c r="C782" t="s">
        <v>963</v>
      </c>
      <c r="E782" t="s">
        <v>197</v>
      </c>
      <c r="F782">
        <v>15</v>
      </c>
      <c r="G782">
        <v>1995</v>
      </c>
      <c r="H782">
        <v>82</v>
      </c>
      <c r="I782">
        <v>28.814</v>
      </c>
      <c r="J782">
        <v>1515.154</v>
      </c>
      <c r="K782">
        <v>336</v>
      </c>
    </row>
    <row r="783" spans="1:11" x14ac:dyDescent="0.4">
      <c r="A783">
        <v>18128</v>
      </c>
      <c r="B783" t="s">
        <v>1376</v>
      </c>
      <c r="C783" t="s">
        <v>610</v>
      </c>
      <c r="E783" t="s">
        <v>320</v>
      </c>
      <c r="F783">
        <v>86</v>
      </c>
      <c r="G783">
        <v>1990</v>
      </c>
      <c r="H783">
        <v>930</v>
      </c>
      <c r="I783">
        <v>0</v>
      </c>
      <c r="J783">
        <v>0</v>
      </c>
      <c r="K783">
        <v>0</v>
      </c>
    </row>
    <row r="784" spans="1:11" x14ac:dyDescent="0.4">
      <c r="A784">
        <v>15081</v>
      </c>
      <c r="B784" t="s">
        <v>1377</v>
      </c>
      <c r="C784" t="s">
        <v>481</v>
      </c>
      <c r="E784" t="s">
        <v>522</v>
      </c>
      <c r="F784">
        <v>2</v>
      </c>
      <c r="G784">
        <v>1992</v>
      </c>
      <c r="H784">
        <v>643</v>
      </c>
      <c r="I784">
        <v>0.65600000000000003</v>
      </c>
      <c r="J784">
        <v>19.134</v>
      </c>
      <c r="K784">
        <v>0</v>
      </c>
    </row>
    <row r="785" spans="1:11" x14ac:dyDescent="0.4">
      <c r="A785">
        <v>26001</v>
      </c>
      <c r="B785" t="s">
        <v>1183</v>
      </c>
      <c r="C785" t="s">
        <v>1109</v>
      </c>
      <c r="D785" t="s">
        <v>378</v>
      </c>
      <c r="E785" t="s">
        <v>263</v>
      </c>
      <c r="F785">
        <v>17</v>
      </c>
      <c r="G785">
        <v>1997</v>
      </c>
      <c r="H785">
        <v>625</v>
      </c>
      <c r="I785">
        <v>1</v>
      </c>
      <c r="J785">
        <v>24.988</v>
      </c>
      <c r="K785">
        <v>0</v>
      </c>
    </row>
    <row r="786" spans="1:11" x14ac:dyDescent="0.4">
      <c r="A786">
        <v>20521</v>
      </c>
      <c r="B786" t="s">
        <v>1378</v>
      </c>
      <c r="C786" t="s">
        <v>564</v>
      </c>
      <c r="E786" t="s">
        <v>1379</v>
      </c>
      <c r="F786">
        <v>76</v>
      </c>
      <c r="G786">
        <v>1942</v>
      </c>
      <c r="H786">
        <v>931</v>
      </c>
      <c r="I786">
        <v>0</v>
      </c>
      <c r="J786">
        <v>0</v>
      </c>
      <c r="K786">
        <v>0</v>
      </c>
    </row>
    <row r="787" spans="1:11" x14ac:dyDescent="0.4">
      <c r="A787">
        <v>12022</v>
      </c>
      <c r="B787" t="s">
        <v>1380</v>
      </c>
      <c r="C787" t="s">
        <v>652</v>
      </c>
      <c r="D787" t="s">
        <v>378</v>
      </c>
      <c r="E787" t="s">
        <v>263</v>
      </c>
      <c r="F787">
        <v>17</v>
      </c>
      <c r="G787">
        <v>1986</v>
      </c>
      <c r="H787">
        <v>5</v>
      </c>
      <c r="I787">
        <v>46.125</v>
      </c>
      <c r="J787">
        <v>3283.8310000000001</v>
      </c>
      <c r="K787">
        <v>1456</v>
      </c>
    </row>
    <row r="788" spans="1:11" x14ac:dyDescent="0.4">
      <c r="A788">
        <v>13041</v>
      </c>
      <c r="B788" t="s">
        <v>1185</v>
      </c>
      <c r="C788" t="s">
        <v>503</v>
      </c>
      <c r="D788" t="s">
        <v>378</v>
      </c>
      <c r="E788" t="s">
        <v>237</v>
      </c>
      <c r="F788">
        <v>1</v>
      </c>
      <c r="G788">
        <v>1959</v>
      </c>
      <c r="H788">
        <v>59</v>
      </c>
      <c r="I788">
        <v>26.187999999999999</v>
      </c>
      <c r="J788">
        <v>1718.5830000000001</v>
      </c>
      <c r="K788">
        <v>569</v>
      </c>
    </row>
    <row r="789" spans="1:11" x14ac:dyDescent="0.4">
      <c r="A789">
        <v>16145</v>
      </c>
      <c r="B789" t="s">
        <v>1187</v>
      </c>
      <c r="C789" t="s">
        <v>490</v>
      </c>
      <c r="E789" t="s">
        <v>214</v>
      </c>
      <c r="F789">
        <v>69</v>
      </c>
      <c r="G789">
        <v>1981</v>
      </c>
      <c r="H789">
        <v>308</v>
      </c>
      <c r="I789">
        <v>5.8129999999999997</v>
      </c>
      <c r="J789">
        <v>332.72500000000002</v>
      </c>
      <c r="K789">
        <v>140</v>
      </c>
    </row>
    <row r="790" spans="1:11" x14ac:dyDescent="0.4">
      <c r="A790">
        <v>17094</v>
      </c>
      <c r="B790" t="s">
        <v>1381</v>
      </c>
      <c r="C790" t="s">
        <v>750</v>
      </c>
      <c r="D790" t="s">
        <v>378</v>
      </c>
      <c r="E790" t="s">
        <v>214</v>
      </c>
      <c r="F790">
        <v>69</v>
      </c>
      <c r="G790">
        <v>2001</v>
      </c>
      <c r="H790">
        <v>514</v>
      </c>
      <c r="I790">
        <v>0.625</v>
      </c>
      <c r="J790">
        <v>85.784000000000006</v>
      </c>
      <c r="K790">
        <v>57</v>
      </c>
    </row>
    <row r="791" spans="1:11" x14ac:dyDescent="0.4">
      <c r="A791">
        <v>96050</v>
      </c>
      <c r="B791" t="s">
        <v>1188</v>
      </c>
      <c r="C791" t="s">
        <v>1382</v>
      </c>
      <c r="E791" t="s">
        <v>714</v>
      </c>
      <c r="F791">
        <v>21</v>
      </c>
      <c r="G791">
        <v>1928</v>
      </c>
      <c r="H791">
        <v>932</v>
      </c>
      <c r="I791">
        <v>0</v>
      </c>
      <c r="J791">
        <v>0</v>
      </c>
      <c r="K791">
        <v>0</v>
      </c>
    </row>
    <row r="792" spans="1:11" x14ac:dyDescent="0.4">
      <c r="A792">
        <v>12049</v>
      </c>
      <c r="B792" t="s">
        <v>1190</v>
      </c>
      <c r="C792" t="s">
        <v>639</v>
      </c>
      <c r="E792" t="s">
        <v>391</v>
      </c>
      <c r="F792">
        <v>14</v>
      </c>
      <c r="G792">
        <v>1982</v>
      </c>
      <c r="H792">
        <v>116</v>
      </c>
      <c r="I792">
        <v>23.625</v>
      </c>
      <c r="J792">
        <v>1155.1400000000001</v>
      </c>
      <c r="K792">
        <v>252</v>
      </c>
    </row>
    <row r="793" spans="1:11" x14ac:dyDescent="0.4">
      <c r="A793">
        <v>19038</v>
      </c>
      <c r="B793" t="s">
        <v>1383</v>
      </c>
      <c r="C793" t="s">
        <v>485</v>
      </c>
      <c r="E793" t="s">
        <v>656</v>
      </c>
      <c r="F793">
        <v>66</v>
      </c>
      <c r="G793">
        <v>1968</v>
      </c>
      <c r="H793">
        <v>273</v>
      </c>
      <c r="I793">
        <v>9.3759999999999994</v>
      </c>
      <c r="J793">
        <v>408.42599999999999</v>
      </c>
      <c r="K793">
        <v>42</v>
      </c>
    </row>
    <row r="794" spans="1:11" x14ac:dyDescent="0.4">
      <c r="A794">
        <v>19053</v>
      </c>
      <c r="B794" t="s">
        <v>1191</v>
      </c>
      <c r="C794" t="s">
        <v>566</v>
      </c>
      <c r="E794" t="s">
        <v>180</v>
      </c>
      <c r="F794">
        <v>89</v>
      </c>
      <c r="G794">
        <v>1967</v>
      </c>
      <c r="H794">
        <v>290</v>
      </c>
      <c r="I794">
        <v>8.282</v>
      </c>
      <c r="J794">
        <v>367.21100000000001</v>
      </c>
      <c r="K794">
        <v>50</v>
      </c>
    </row>
    <row r="795" spans="1:11" x14ac:dyDescent="0.4">
      <c r="A795">
        <v>27051</v>
      </c>
      <c r="B795" t="s">
        <v>1192</v>
      </c>
      <c r="C795" t="s">
        <v>574</v>
      </c>
      <c r="D795" t="s">
        <v>378</v>
      </c>
      <c r="E795" t="s">
        <v>237</v>
      </c>
      <c r="F795">
        <v>1</v>
      </c>
      <c r="G795">
        <v>1953</v>
      </c>
      <c r="H795">
        <v>381</v>
      </c>
      <c r="I795">
        <v>4.782</v>
      </c>
      <c r="J795">
        <v>207.89699999999999</v>
      </c>
      <c r="K795">
        <v>52</v>
      </c>
    </row>
    <row r="796" spans="1:11" x14ac:dyDescent="0.4">
      <c r="A796">
        <v>15055</v>
      </c>
      <c r="B796" t="s">
        <v>1193</v>
      </c>
      <c r="C796" t="s">
        <v>610</v>
      </c>
      <c r="D796" t="s">
        <v>546</v>
      </c>
      <c r="E796" t="s">
        <v>237</v>
      </c>
      <c r="F796">
        <v>1</v>
      </c>
      <c r="G796">
        <v>2005</v>
      </c>
      <c r="H796">
        <v>148</v>
      </c>
      <c r="I796">
        <v>14.72</v>
      </c>
      <c r="J796">
        <v>972.37800000000004</v>
      </c>
      <c r="K796">
        <v>352</v>
      </c>
    </row>
    <row r="797" spans="1:11" x14ac:dyDescent="0.4">
      <c r="A797">
        <v>27015</v>
      </c>
      <c r="B797" t="s">
        <v>1193</v>
      </c>
      <c r="C797" t="s">
        <v>483</v>
      </c>
      <c r="E797" t="s">
        <v>237</v>
      </c>
      <c r="F797">
        <v>1</v>
      </c>
      <c r="G797">
        <v>1997</v>
      </c>
      <c r="H797">
        <v>23</v>
      </c>
      <c r="I797">
        <v>36.625</v>
      </c>
      <c r="J797">
        <v>2315.1819999999998</v>
      </c>
      <c r="K797">
        <v>705</v>
      </c>
    </row>
    <row r="798" spans="1:11" x14ac:dyDescent="0.4">
      <c r="A798">
        <v>28024</v>
      </c>
      <c r="B798" t="s">
        <v>1384</v>
      </c>
      <c r="C798" t="s">
        <v>678</v>
      </c>
      <c r="E798" t="s">
        <v>259</v>
      </c>
      <c r="F798">
        <v>27</v>
      </c>
      <c r="G798">
        <v>1957</v>
      </c>
      <c r="H798">
        <v>933</v>
      </c>
      <c r="I798">
        <v>0</v>
      </c>
      <c r="J798">
        <v>0</v>
      </c>
      <c r="K798">
        <v>0</v>
      </c>
    </row>
    <row r="799" spans="1:11" x14ac:dyDescent="0.4">
      <c r="A799">
        <v>16053</v>
      </c>
      <c r="B799" t="s">
        <v>1195</v>
      </c>
      <c r="C799" t="s">
        <v>485</v>
      </c>
      <c r="E799" t="s">
        <v>708</v>
      </c>
      <c r="F799">
        <v>82</v>
      </c>
      <c r="G799">
        <v>1967</v>
      </c>
      <c r="H799">
        <v>213</v>
      </c>
      <c r="I799">
        <v>11.563000000000001</v>
      </c>
      <c r="J799">
        <v>581.21100000000001</v>
      </c>
      <c r="K799">
        <v>115</v>
      </c>
    </row>
    <row r="800" spans="1:11" x14ac:dyDescent="0.4">
      <c r="A800">
        <v>20507</v>
      </c>
      <c r="B800" t="s">
        <v>1385</v>
      </c>
      <c r="C800" t="s">
        <v>1386</v>
      </c>
      <c r="E800" t="s">
        <v>194</v>
      </c>
      <c r="F800">
        <v>33</v>
      </c>
      <c r="G800">
        <v>1947</v>
      </c>
      <c r="H800">
        <v>934</v>
      </c>
      <c r="I800">
        <v>0</v>
      </c>
      <c r="J800">
        <v>0</v>
      </c>
      <c r="K800">
        <v>0</v>
      </c>
    </row>
    <row r="801" spans="1:11" x14ac:dyDescent="0.4">
      <c r="A801">
        <v>96095</v>
      </c>
      <c r="B801" t="s">
        <v>1197</v>
      </c>
      <c r="C801" t="s">
        <v>678</v>
      </c>
      <c r="E801" t="s">
        <v>653</v>
      </c>
      <c r="F801">
        <v>16</v>
      </c>
      <c r="G801">
        <v>1968</v>
      </c>
      <c r="H801">
        <v>487</v>
      </c>
      <c r="I801">
        <v>3.5</v>
      </c>
      <c r="J801">
        <v>102.05</v>
      </c>
      <c r="K801">
        <v>0</v>
      </c>
    </row>
    <row r="802" spans="1:11" x14ac:dyDescent="0.4">
      <c r="A802">
        <v>14055</v>
      </c>
      <c r="B802" t="s">
        <v>1197</v>
      </c>
      <c r="C802" t="s">
        <v>485</v>
      </c>
      <c r="E802" t="s">
        <v>527</v>
      </c>
      <c r="F802">
        <v>68</v>
      </c>
      <c r="G802">
        <v>1956</v>
      </c>
      <c r="H802">
        <v>217</v>
      </c>
      <c r="I802">
        <v>11.266999999999999</v>
      </c>
      <c r="J802">
        <v>558.74199999999996</v>
      </c>
      <c r="K802">
        <v>126</v>
      </c>
    </row>
    <row r="803" spans="1:11" x14ac:dyDescent="0.4">
      <c r="A803">
        <v>16117</v>
      </c>
      <c r="B803" t="s">
        <v>1197</v>
      </c>
      <c r="C803" t="s">
        <v>655</v>
      </c>
      <c r="E803" t="s">
        <v>527</v>
      </c>
      <c r="F803">
        <v>68</v>
      </c>
      <c r="G803">
        <v>1955</v>
      </c>
      <c r="H803">
        <v>106</v>
      </c>
      <c r="I803">
        <v>17.721</v>
      </c>
      <c r="J803">
        <v>1256.3510000000001</v>
      </c>
      <c r="K803">
        <v>508</v>
      </c>
    </row>
    <row r="804" spans="1:11" x14ac:dyDescent="0.4">
      <c r="A804">
        <v>10092</v>
      </c>
      <c r="B804" t="s">
        <v>1198</v>
      </c>
      <c r="C804" t="s">
        <v>1101</v>
      </c>
      <c r="D804" t="s">
        <v>378</v>
      </c>
      <c r="E804" t="s">
        <v>214</v>
      </c>
      <c r="F804">
        <v>69</v>
      </c>
      <c r="G804">
        <v>1957</v>
      </c>
      <c r="H804">
        <v>657</v>
      </c>
      <c r="I804">
        <v>0.875</v>
      </c>
      <c r="J804">
        <v>12.576000000000001</v>
      </c>
      <c r="K804">
        <v>0</v>
      </c>
    </row>
    <row r="805" spans="1:11" x14ac:dyDescent="0.4">
      <c r="A805">
        <v>11051</v>
      </c>
      <c r="B805" t="s">
        <v>1199</v>
      </c>
      <c r="C805" t="s">
        <v>566</v>
      </c>
      <c r="E805" t="s">
        <v>403</v>
      </c>
      <c r="F805">
        <v>22</v>
      </c>
      <c r="G805">
        <v>1970</v>
      </c>
      <c r="H805">
        <v>446</v>
      </c>
      <c r="I805">
        <v>3.25</v>
      </c>
      <c r="J805">
        <v>138.55699999999999</v>
      </c>
      <c r="K805">
        <v>0</v>
      </c>
    </row>
    <row r="806" spans="1:11" x14ac:dyDescent="0.4">
      <c r="A806">
        <v>96024</v>
      </c>
      <c r="B806" t="s">
        <v>1200</v>
      </c>
      <c r="C806" t="s">
        <v>485</v>
      </c>
      <c r="E806" t="s">
        <v>1387</v>
      </c>
      <c r="F806">
        <v>10</v>
      </c>
      <c r="G806">
        <v>1963</v>
      </c>
      <c r="H806">
        <v>466</v>
      </c>
      <c r="I806">
        <v>3.0630000000000002</v>
      </c>
      <c r="J806">
        <v>120.155</v>
      </c>
      <c r="K806">
        <v>0</v>
      </c>
    </row>
    <row r="807" spans="1:11" x14ac:dyDescent="0.4">
      <c r="A807">
        <v>96152</v>
      </c>
      <c r="B807" t="s">
        <v>1200</v>
      </c>
      <c r="C807" t="s">
        <v>554</v>
      </c>
      <c r="E807" t="s">
        <v>1387</v>
      </c>
      <c r="F807">
        <v>10</v>
      </c>
      <c r="G807">
        <v>1987</v>
      </c>
      <c r="H807">
        <v>171</v>
      </c>
      <c r="I807">
        <v>17</v>
      </c>
      <c r="J807">
        <v>800.46</v>
      </c>
      <c r="K807">
        <v>159</v>
      </c>
    </row>
    <row r="808" spans="1:11" x14ac:dyDescent="0.4">
      <c r="A808">
        <v>96025</v>
      </c>
      <c r="B808" t="s">
        <v>1388</v>
      </c>
      <c r="C808" t="s">
        <v>543</v>
      </c>
      <c r="D808" t="s">
        <v>378</v>
      </c>
      <c r="E808" t="s">
        <v>1387</v>
      </c>
      <c r="F808">
        <v>10</v>
      </c>
      <c r="G808">
        <v>1965</v>
      </c>
      <c r="H808">
        <v>500</v>
      </c>
      <c r="I808">
        <v>3.4689999999999999</v>
      </c>
      <c r="J808">
        <v>95.695999999999998</v>
      </c>
      <c r="K808">
        <v>0</v>
      </c>
    </row>
    <row r="809" spans="1:11" x14ac:dyDescent="0.4">
      <c r="A809">
        <v>18143</v>
      </c>
      <c r="B809" t="s">
        <v>1389</v>
      </c>
      <c r="C809" t="s">
        <v>492</v>
      </c>
      <c r="D809" t="s">
        <v>378</v>
      </c>
      <c r="E809" t="s">
        <v>779</v>
      </c>
      <c r="F809">
        <v>91</v>
      </c>
      <c r="G809">
        <v>1964</v>
      </c>
      <c r="H809">
        <v>624</v>
      </c>
      <c r="I809">
        <v>0.625</v>
      </c>
      <c r="J809">
        <v>25.780999999999999</v>
      </c>
      <c r="K809">
        <v>0</v>
      </c>
    </row>
    <row r="810" spans="1:11" x14ac:dyDescent="0.4">
      <c r="A810">
        <v>18098</v>
      </c>
      <c r="B810" t="s">
        <v>1202</v>
      </c>
      <c r="C810" t="s">
        <v>569</v>
      </c>
      <c r="E810" t="s">
        <v>522</v>
      </c>
      <c r="F810">
        <v>2</v>
      </c>
      <c r="G810">
        <v>1978</v>
      </c>
      <c r="H810">
        <v>331</v>
      </c>
      <c r="I810">
        <v>7.4379999999999997</v>
      </c>
      <c r="J810">
        <v>269.18599999999998</v>
      </c>
      <c r="K810">
        <v>0</v>
      </c>
    </row>
    <row r="811" spans="1:11" x14ac:dyDescent="0.4">
      <c r="A811">
        <v>16132</v>
      </c>
      <c r="B811" t="s">
        <v>1203</v>
      </c>
      <c r="C811" t="s">
        <v>1204</v>
      </c>
      <c r="D811" t="s">
        <v>508</v>
      </c>
      <c r="E811" t="s">
        <v>522</v>
      </c>
      <c r="F811">
        <v>2</v>
      </c>
      <c r="G811">
        <v>2008</v>
      </c>
      <c r="H811">
        <v>434</v>
      </c>
      <c r="I811">
        <v>4</v>
      </c>
      <c r="J811">
        <v>147.447</v>
      </c>
      <c r="K811">
        <v>0</v>
      </c>
    </row>
    <row r="812" spans="1:11" x14ac:dyDescent="0.4">
      <c r="A812">
        <v>16133</v>
      </c>
      <c r="B812" t="s">
        <v>1203</v>
      </c>
      <c r="C812" t="s">
        <v>1205</v>
      </c>
      <c r="D812" t="s">
        <v>508</v>
      </c>
      <c r="E812" t="s">
        <v>522</v>
      </c>
      <c r="F812">
        <v>2</v>
      </c>
      <c r="G812">
        <v>2005</v>
      </c>
      <c r="H812">
        <v>421</v>
      </c>
      <c r="I812">
        <v>4.375</v>
      </c>
      <c r="J812">
        <v>161.59899999999999</v>
      </c>
      <c r="K812">
        <v>0</v>
      </c>
    </row>
    <row r="813" spans="1:11" x14ac:dyDescent="0.4">
      <c r="A813">
        <v>96129</v>
      </c>
      <c r="B813" t="s">
        <v>1390</v>
      </c>
      <c r="C813" t="s">
        <v>1123</v>
      </c>
      <c r="E813" t="s">
        <v>1391</v>
      </c>
      <c r="F813">
        <v>7</v>
      </c>
      <c r="G813">
        <v>1971</v>
      </c>
      <c r="H813">
        <v>935</v>
      </c>
      <c r="I813">
        <v>0</v>
      </c>
      <c r="J813">
        <v>0</v>
      </c>
      <c r="K813">
        <v>0</v>
      </c>
    </row>
    <row r="814" spans="1:11" x14ac:dyDescent="0.4">
      <c r="A814">
        <v>28047</v>
      </c>
      <c r="B814" t="s">
        <v>1207</v>
      </c>
      <c r="C814" t="s">
        <v>519</v>
      </c>
      <c r="E814" t="s">
        <v>166</v>
      </c>
      <c r="F814">
        <v>54</v>
      </c>
      <c r="G814">
        <v>1962</v>
      </c>
      <c r="H814">
        <v>120</v>
      </c>
      <c r="I814">
        <v>11.75</v>
      </c>
      <c r="J814">
        <v>1116.269</v>
      </c>
      <c r="K814">
        <v>570</v>
      </c>
    </row>
    <row r="815" spans="1:11" x14ac:dyDescent="0.4">
      <c r="A815">
        <v>29023</v>
      </c>
      <c r="B815" t="s">
        <v>1392</v>
      </c>
      <c r="C815" t="s">
        <v>500</v>
      </c>
      <c r="E815" t="s">
        <v>724</v>
      </c>
      <c r="F815">
        <v>56</v>
      </c>
      <c r="G815">
        <v>1947</v>
      </c>
      <c r="H815">
        <v>391</v>
      </c>
      <c r="I815">
        <v>5.2809999999999997</v>
      </c>
      <c r="J815">
        <v>186.71899999999999</v>
      </c>
      <c r="K815">
        <v>0</v>
      </c>
    </row>
    <row r="816" spans="1:11" x14ac:dyDescent="0.4">
      <c r="A816">
        <v>11013</v>
      </c>
      <c r="B816" t="s">
        <v>1209</v>
      </c>
      <c r="C816" t="s">
        <v>524</v>
      </c>
      <c r="D816" t="s">
        <v>378</v>
      </c>
      <c r="E816" t="s">
        <v>724</v>
      </c>
      <c r="F816">
        <v>56</v>
      </c>
      <c r="G816">
        <v>1948</v>
      </c>
      <c r="H816">
        <v>388</v>
      </c>
      <c r="I816">
        <v>5.5010000000000003</v>
      </c>
      <c r="J816">
        <v>192.58699999999999</v>
      </c>
      <c r="K816">
        <v>0</v>
      </c>
    </row>
    <row r="817" spans="1:11" x14ac:dyDescent="0.4">
      <c r="A817">
        <v>12064</v>
      </c>
      <c r="B817" t="s">
        <v>1210</v>
      </c>
      <c r="C817" t="s">
        <v>566</v>
      </c>
      <c r="E817" t="s">
        <v>509</v>
      </c>
      <c r="F817">
        <v>74</v>
      </c>
      <c r="G817">
        <v>1981</v>
      </c>
      <c r="H817">
        <v>349</v>
      </c>
      <c r="I817">
        <v>5.0629999999999997</v>
      </c>
      <c r="J817">
        <v>244.19900000000001</v>
      </c>
      <c r="K817">
        <v>56</v>
      </c>
    </row>
    <row r="818" spans="1:11" x14ac:dyDescent="0.4">
      <c r="A818">
        <v>22990</v>
      </c>
      <c r="B818" t="s">
        <v>1210</v>
      </c>
      <c r="C818" t="s">
        <v>1123</v>
      </c>
      <c r="E818" t="s">
        <v>501</v>
      </c>
      <c r="F818">
        <v>29</v>
      </c>
      <c r="G818">
        <v>1967</v>
      </c>
      <c r="H818">
        <v>443</v>
      </c>
      <c r="I818">
        <v>3.7509999999999999</v>
      </c>
      <c r="J818">
        <v>141.316</v>
      </c>
      <c r="K818">
        <v>0</v>
      </c>
    </row>
    <row r="819" spans="1:11" x14ac:dyDescent="0.4">
      <c r="A819">
        <v>28055</v>
      </c>
      <c r="B819" t="s">
        <v>1212</v>
      </c>
      <c r="C819" t="s">
        <v>1179</v>
      </c>
      <c r="D819" t="s">
        <v>378</v>
      </c>
      <c r="E819" t="s">
        <v>724</v>
      </c>
      <c r="F819">
        <v>56</v>
      </c>
      <c r="G819">
        <v>1970</v>
      </c>
      <c r="H819">
        <v>52</v>
      </c>
      <c r="I819">
        <v>29.658000000000001</v>
      </c>
      <c r="J819">
        <v>1808.231</v>
      </c>
      <c r="K819">
        <v>650</v>
      </c>
    </row>
    <row r="820" spans="1:11" x14ac:dyDescent="0.4">
      <c r="A820">
        <v>10093</v>
      </c>
      <c r="B820" t="s">
        <v>1213</v>
      </c>
      <c r="C820" t="s">
        <v>727</v>
      </c>
      <c r="E820" t="s">
        <v>214</v>
      </c>
      <c r="F820">
        <v>69</v>
      </c>
      <c r="G820">
        <v>1947</v>
      </c>
      <c r="H820">
        <v>306</v>
      </c>
      <c r="I820">
        <v>6.9379999999999997</v>
      </c>
      <c r="J820">
        <v>335.35199999999998</v>
      </c>
      <c r="K820">
        <v>113</v>
      </c>
    </row>
    <row r="821" spans="1:11" x14ac:dyDescent="0.4">
      <c r="A821">
        <v>96042</v>
      </c>
      <c r="B821" t="s">
        <v>1214</v>
      </c>
      <c r="C821" t="s">
        <v>574</v>
      </c>
      <c r="D821" t="s">
        <v>378</v>
      </c>
      <c r="E821" t="s">
        <v>237</v>
      </c>
      <c r="F821">
        <v>1</v>
      </c>
      <c r="G821">
        <v>1963</v>
      </c>
      <c r="H821">
        <v>387</v>
      </c>
      <c r="I821">
        <v>3.375</v>
      </c>
      <c r="J821">
        <v>194.31100000000001</v>
      </c>
      <c r="K821">
        <v>68</v>
      </c>
    </row>
    <row r="822" spans="1:11" x14ac:dyDescent="0.4">
      <c r="A822">
        <v>20500</v>
      </c>
      <c r="B822" t="s">
        <v>1214</v>
      </c>
      <c r="C822" t="s">
        <v>1215</v>
      </c>
      <c r="D822" t="s">
        <v>378</v>
      </c>
      <c r="E822" t="s">
        <v>237</v>
      </c>
      <c r="F822">
        <v>1</v>
      </c>
      <c r="G822">
        <v>1971</v>
      </c>
      <c r="H822">
        <v>936</v>
      </c>
      <c r="I822">
        <v>0</v>
      </c>
      <c r="J822">
        <v>0</v>
      </c>
      <c r="K822">
        <v>0</v>
      </c>
    </row>
    <row r="823" spans="1:11" x14ac:dyDescent="0.4">
      <c r="A823">
        <v>20559</v>
      </c>
      <c r="B823" t="s">
        <v>1393</v>
      </c>
      <c r="C823" t="s">
        <v>1394</v>
      </c>
      <c r="D823" t="s">
        <v>546</v>
      </c>
      <c r="E823" t="s">
        <v>1395</v>
      </c>
      <c r="F823">
        <v>94</v>
      </c>
      <c r="G823">
        <v>2004</v>
      </c>
      <c r="H823">
        <v>459</v>
      </c>
      <c r="I823">
        <v>3.6880000000000002</v>
      </c>
      <c r="J823">
        <v>126.46299999999999</v>
      </c>
      <c r="K823">
        <v>0</v>
      </c>
    </row>
    <row r="824" spans="1:11" x14ac:dyDescent="0.4">
      <c r="A824">
        <v>18110</v>
      </c>
      <c r="B824" t="s">
        <v>1216</v>
      </c>
      <c r="C824" t="s">
        <v>498</v>
      </c>
      <c r="E824" t="s">
        <v>278</v>
      </c>
      <c r="F824">
        <v>31</v>
      </c>
      <c r="G824">
        <v>1979</v>
      </c>
      <c r="H824">
        <v>937</v>
      </c>
      <c r="I824">
        <v>0</v>
      </c>
      <c r="J824">
        <v>0</v>
      </c>
      <c r="K824">
        <v>0</v>
      </c>
    </row>
    <row r="825" spans="1:11" x14ac:dyDescent="0.4">
      <c r="A825">
        <v>21756</v>
      </c>
      <c r="B825" t="s">
        <v>1217</v>
      </c>
      <c r="C825" t="s">
        <v>703</v>
      </c>
      <c r="D825" t="s">
        <v>378</v>
      </c>
      <c r="E825" t="s">
        <v>278</v>
      </c>
      <c r="F825">
        <v>31</v>
      </c>
      <c r="G825">
        <v>1985</v>
      </c>
      <c r="H825">
        <v>604</v>
      </c>
      <c r="I825">
        <v>1.125</v>
      </c>
      <c r="J825">
        <v>36.725999999999999</v>
      </c>
      <c r="K825">
        <v>0</v>
      </c>
    </row>
    <row r="826" spans="1:11" x14ac:dyDescent="0.4">
      <c r="A826">
        <v>99596</v>
      </c>
      <c r="B826" t="s">
        <v>1396</v>
      </c>
      <c r="C826" t="s">
        <v>498</v>
      </c>
      <c r="E826" t="s">
        <v>285</v>
      </c>
      <c r="F826">
        <v>19</v>
      </c>
      <c r="G826">
        <v>1952</v>
      </c>
      <c r="H826">
        <v>595</v>
      </c>
      <c r="I826">
        <v>1.25</v>
      </c>
      <c r="J826">
        <v>40.805999999999997</v>
      </c>
      <c r="K826">
        <v>0</v>
      </c>
    </row>
    <row r="827" spans="1:11" x14ac:dyDescent="0.4">
      <c r="A827">
        <v>17045</v>
      </c>
      <c r="B827" t="s">
        <v>1397</v>
      </c>
      <c r="C827" t="s">
        <v>726</v>
      </c>
      <c r="D827" t="s">
        <v>508</v>
      </c>
      <c r="E827" t="s">
        <v>499</v>
      </c>
      <c r="F827">
        <v>51</v>
      </c>
      <c r="G827">
        <v>2007</v>
      </c>
      <c r="H827">
        <v>938</v>
      </c>
      <c r="I827">
        <v>0</v>
      </c>
      <c r="J827">
        <v>0</v>
      </c>
      <c r="K827">
        <v>0</v>
      </c>
    </row>
    <row r="828" spans="1:11" x14ac:dyDescent="0.4">
      <c r="A828">
        <v>28004</v>
      </c>
      <c r="B828" t="s">
        <v>1218</v>
      </c>
      <c r="C828" t="s">
        <v>485</v>
      </c>
      <c r="E828" t="s">
        <v>724</v>
      </c>
      <c r="F828">
        <v>56</v>
      </c>
      <c r="G828">
        <v>1978</v>
      </c>
      <c r="H828">
        <v>62</v>
      </c>
      <c r="I828">
        <v>26.969000000000001</v>
      </c>
      <c r="J828">
        <v>1709.789</v>
      </c>
      <c r="K828">
        <v>615</v>
      </c>
    </row>
    <row r="829" spans="1:11" x14ac:dyDescent="0.4">
      <c r="A829">
        <v>16027</v>
      </c>
      <c r="B829" t="s">
        <v>1219</v>
      </c>
      <c r="C829" t="s">
        <v>530</v>
      </c>
      <c r="D829" t="s">
        <v>378</v>
      </c>
      <c r="E829" t="s">
        <v>501</v>
      </c>
      <c r="F829">
        <v>29</v>
      </c>
      <c r="G829">
        <v>1972</v>
      </c>
      <c r="H829">
        <v>222</v>
      </c>
      <c r="I829">
        <v>15.500999999999999</v>
      </c>
      <c r="J829">
        <v>533.16499999999996</v>
      </c>
      <c r="K829">
        <v>29</v>
      </c>
    </row>
    <row r="830" spans="1:11" x14ac:dyDescent="0.4">
      <c r="A830">
        <v>12017</v>
      </c>
      <c r="B830" t="s">
        <v>1219</v>
      </c>
      <c r="C830" t="s">
        <v>693</v>
      </c>
      <c r="D830" t="s">
        <v>378</v>
      </c>
      <c r="E830" t="s">
        <v>499</v>
      </c>
      <c r="F830">
        <v>51</v>
      </c>
      <c r="G830">
        <v>1968</v>
      </c>
      <c r="H830">
        <v>35</v>
      </c>
      <c r="I830">
        <v>31.125</v>
      </c>
      <c r="J830">
        <v>2090.5720000000001</v>
      </c>
      <c r="K830">
        <v>796</v>
      </c>
    </row>
    <row r="831" spans="1:11" x14ac:dyDescent="0.4">
      <c r="A831">
        <v>10135</v>
      </c>
      <c r="B831" t="s">
        <v>1398</v>
      </c>
      <c r="C831" t="s">
        <v>485</v>
      </c>
      <c r="E831" t="s">
        <v>237</v>
      </c>
      <c r="F831">
        <v>1</v>
      </c>
      <c r="G831">
        <v>1945</v>
      </c>
      <c r="H831">
        <v>939</v>
      </c>
      <c r="I831">
        <v>0</v>
      </c>
      <c r="J831">
        <v>0</v>
      </c>
      <c r="K831">
        <v>0</v>
      </c>
    </row>
    <row r="832" spans="1:11" x14ac:dyDescent="0.4">
      <c r="A832">
        <v>16114</v>
      </c>
      <c r="B832" t="s">
        <v>1225</v>
      </c>
      <c r="C832" t="s">
        <v>500</v>
      </c>
      <c r="E832" t="s">
        <v>714</v>
      </c>
      <c r="F832">
        <v>21</v>
      </c>
      <c r="G832">
        <v>1954</v>
      </c>
      <c r="H832">
        <v>940</v>
      </c>
      <c r="I832">
        <v>0</v>
      </c>
      <c r="J832">
        <v>0</v>
      </c>
      <c r="K832">
        <v>0</v>
      </c>
    </row>
    <row r="833" spans="1:11" x14ac:dyDescent="0.4">
      <c r="A833">
        <v>28010</v>
      </c>
      <c r="B833" t="s">
        <v>1226</v>
      </c>
      <c r="C833" t="s">
        <v>485</v>
      </c>
      <c r="E833" t="s">
        <v>237</v>
      </c>
      <c r="F833">
        <v>1</v>
      </c>
      <c r="G833">
        <v>1969</v>
      </c>
      <c r="H833">
        <v>455</v>
      </c>
      <c r="I833">
        <v>4</v>
      </c>
      <c r="J833">
        <v>127.392</v>
      </c>
      <c r="K833">
        <v>0</v>
      </c>
    </row>
    <row r="834" spans="1:11" x14ac:dyDescent="0.4">
      <c r="A834">
        <v>20518</v>
      </c>
      <c r="B834" t="s">
        <v>1399</v>
      </c>
      <c r="C834" t="s">
        <v>678</v>
      </c>
      <c r="E834" t="s">
        <v>1400</v>
      </c>
      <c r="F834">
        <v>70</v>
      </c>
      <c r="G834">
        <v>1937</v>
      </c>
      <c r="H834">
        <v>941</v>
      </c>
      <c r="I834">
        <v>0</v>
      </c>
      <c r="J834">
        <v>0</v>
      </c>
      <c r="K834">
        <v>0</v>
      </c>
    </row>
    <row r="835" spans="1:11" x14ac:dyDescent="0.4">
      <c r="A835">
        <v>99551</v>
      </c>
      <c r="B835" t="s">
        <v>1228</v>
      </c>
      <c r="C835" t="s">
        <v>526</v>
      </c>
      <c r="E835" t="s">
        <v>189</v>
      </c>
      <c r="F835">
        <v>20</v>
      </c>
      <c r="G835">
        <v>1954</v>
      </c>
      <c r="H835">
        <v>551</v>
      </c>
      <c r="I835">
        <v>1.3129999999999999</v>
      </c>
      <c r="J835">
        <v>61.454999999999998</v>
      </c>
      <c r="K835">
        <v>0</v>
      </c>
    </row>
    <row r="836" spans="1:11" x14ac:dyDescent="0.4">
      <c r="A836">
        <v>28002</v>
      </c>
      <c r="B836" t="s">
        <v>1401</v>
      </c>
      <c r="C836" t="s">
        <v>526</v>
      </c>
      <c r="E836" t="s">
        <v>189</v>
      </c>
      <c r="F836">
        <v>20</v>
      </c>
      <c r="G836">
        <v>1996</v>
      </c>
      <c r="H836">
        <v>942</v>
      </c>
      <c r="I836">
        <v>0</v>
      </c>
      <c r="J836">
        <v>0</v>
      </c>
      <c r="K836">
        <v>0</v>
      </c>
    </row>
    <row r="837" spans="1:11" x14ac:dyDescent="0.4">
      <c r="A837">
        <v>19054</v>
      </c>
      <c r="B837" t="s">
        <v>1402</v>
      </c>
      <c r="C837" t="s">
        <v>1403</v>
      </c>
      <c r="D837" t="s">
        <v>378</v>
      </c>
      <c r="E837" t="s">
        <v>189</v>
      </c>
      <c r="F837">
        <v>20</v>
      </c>
      <c r="G837">
        <v>1991</v>
      </c>
      <c r="H837">
        <v>573</v>
      </c>
      <c r="I837">
        <v>1.0940000000000001</v>
      </c>
      <c r="J837">
        <v>51.244</v>
      </c>
      <c r="K837">
        <v>0</v>
      </c>
    </row>
    <row r="838" spans="1:11" x14ac:dyDescent="0.4">
      <c r="A838">
        <v>29054</v>
      </c>
      <c r="B838" t="s">
        <v>1229</v>
      </c>
      <c r="C838" t="s">
        <v>569</v>
      </c>
      <c r="E838" t="s">
        <v>160</v>
      </c>
      <c r="F838">
        <v>64</v>
      </c>
      <c r="G838">
        <v>1971</v>
      </c>
      <c r="H838">
        <v>541</v>
      </c>
      <c r="I838">
        <v>0.75</v>
      </c>
      <c r="J838">
        <v>65.924000000000007</v>
      </c>
      <c r="K838">
        <v>30</v>
      </c>
    </row>
    <row r="839" spans="1:11" x14ac:dyDescent="0.4">
      <c r="A839">
        <v>15001</v>
      </c>
      <c r="B839" t="s">
        <v>1230</v>
      </c>
      <c r="C839" t="s">
        <v>526</v>
      </c>
      <c r="E839" t="s">
        <v>415</v>
      </c>
      <c r="F839">
        <v>30</v>
      </c>
      <c r="G839">
        <v>1961</v>
      </c>
      <c r="H839">
        <v>73</v>
      </c>
      <c r="I839">
        <v>31.094000000000001</v>
      </c>
      <c r="J839">
        <v>1591.364</v>
      </c>
      <c r="K839">
        <v>471</v>
      </c>
    </row>
    <row r="840" spans="1:11" x14ac:dyDescent="0.4">
      <c r="A840">
        <v>98304</v>
      </c>
      <c r="B840" t="s">
        <v>1231</v>
      </c>
      <c r="C840" t="s">
        <v>1232</v>
      </c>
      <c r="D840" t="s">
        <v>378</v>
      </c>
      <c r="E840" t="s">
        <v>522</v>
      </c>
      <c r="F840">
        <v>2</v>
      </c>
      <c r="G840">
        <v>1960</v>
      </c>
      <c r="H840">
        <v>236</v>
      </c>
      <c r="I840">
        <v>10.063000000000001</v>
      </c>
      <c r="J840">
        <v>486.59300000000002</v>
      </c>
      <c r="K840">
        <v>113</v>
      </c>
    </row>
    <row r="841" spans="1:11" x14ac:dyDescent="0.4">
      <c r="A841">
        <v>20589</v>
      </c>
      <c r="B841" t="s">
        <v>1404</v>
      </c>
      <c r="C841" t="s">
        <v>584</v>
      </c>
      <c r="D841" t="s">
        <v>546</v>
      </c>
      <c r="E841" t="s">
        <v>176</v>
      </c>
      <c r="F841">
        <v>95</v>
      </c>
      <c r="G841">
        <v>2009</v>
      </c>
      <c r="H841">
        <v>943</v>
      </c>
      <c r="I841">
        <v>0</v>
      </c>
      <c r="J841">
        <v>0</v>
      </c>
      <c r="K841">
        <v>0</v>
      </c>
    </row>
    <row r="842" spans="1:11" x14ac:dyDescent="0.4">
      <c r="A842">
        <v>14005</v>
      </c>
      <c r="B842" t="s">
        <v>1233</v>
      </c>
      <c r="C842" t="s">
        <v>487</v>
      </c>
      <c r="E842" t="s">
        <v>527</v>
      </c>
      <c r="F842">
        <v>68</v>
      </c>
      <c r="G842">
        <v>1988</v>
      </c>
      <c r="H842">
        <v>944</v>
      </c>
      <c r="I842">
        <v>0</v>
      </c>
      <c r="J842">
        <v>0</v>
      </c>
      <c r="K842">
        <v>0</v>
      </c>
    </row>
    <row r="843" spans="1:11" x14ac:dyDescent="0.4">
      <c r="A843">
        <v>13063</v>
      </c>
      <c r="B843" t="s">
        <v>1234</v>
      </c>
      <c r="C843" t="s">
        <v>524</v>
      </c>
      <c r="D843" t="s">
        <v>378</v>
      </c>
      <c r="E843" t="s">
        <v>237</v>
      </c>
      <c r="F843">
        <v>1</v>
      </c>
      <c r="G843">
        <v>1953</v>
      </c>
      <c r="H843">
        <v>652</v>
      </c>
      <c r="I843">
        <v>0.438</v>
      </c>
      <c r="J843">
        <v>13.933999999999999</v>
      </c>
      <c r="K843">
        <v>0</v>
      </c>
    </row>
    <row r="844" spans="1:11" x14ac:dyDescent="0.4">
      <c r="A844">
        <v>26034</v>
      </c>
      <c r="B844" t="s">
        <v>1235</v>
      </c>
      <c r="C844" t="s">
        <v>596</v>
      </c>
      <c r="E844" t="s">
        <v>185</v>
      </c>
      <c r="F844">
        <v>63</v>
      </c>
      <c r="G844">
        <v>1954</v>
      </c>
      <c r="H844">
        <v>144</v>
      </c>
      <c r="I844">
        <v>26.312999999999999</v>
      </c>
      <c r="J844">
        <v>997.279</v>
      </c>
      <c r="K844">
        <v>99</v>
      </c>
    </row>
    <row r="845" spans="1:11" x14ac:dyDescent="0.4">
      <c r="A845">
        <v>20544</v>
      </c>
      <c r="B845" t="s">
        <v>1405</v>
      </c>
      <c r="C845" t="s">
        <v>498</v>
      </c>
      <c r="E845" t="s">
        <v>496</v>
      </c>
      <c r="F845">
        <v>93</v>
      </c>
      <c r="G845">
        <v>1965</v>
      </c>
      <c r="H845">
        <v>945</v>
      </c>
      <c r="I845">
        <v>0</v>
      </c>
      <c r="J845">
        <v>0</v>
      </c>
      <c r="K845">
        <v>0</v>
      </c>
    </row>
    <row r="846" spans="1:11" x14ac:dyDescent="0.4">
      <c r="A846">
        <v>18079</v>
      </c>
      <c r="B846" t="s">
        <v>1406</v>
      </c>
      <c r="C846" t="s">
        <v>808</v>
      </c>
      <c r="D846" t="s">
        <v>378</v>
      </c>
      <c r="E846" t="s">
        <v>180</v>
      </c>
      <c r="F846">
        <v>89</v>
      </c>
      <c r="G846">
        <v>1966</v>
      </c>
      <c r="H846">
        <v>565</v>
      </c>
      <c r="I846">
        <v>1.25</v>
      </c>
      <c r="J846">
        <v>53.920999999999999</v>
      </c>
      <c r="K846">
        <v>0</v>
      </c>
    </row>
    <row r="847" spans="1:11" x14ac:dyDescent="0.4">
      <c r="A847">
        <v>21754</v>
      </c>
      <c r="B847" t="s">
        <v>1236</v>
      </c>
      <c r="C847" t="s">
        <v>566</v>
      </c>
      <c r="E847" t="s">
        <v>1407</v>
      </c>
      <c r="F847">
        <v>55</v>
      </c>
      <c r="G847">
        <v>1976</v>
      </c>
      <c r="H847">
        <v>224</v>
      </c>
      <c r="I847">
        <v>5.4690000000000003</v>
      </c>
      <c r="J847">
        <v>527.69299999999998</v>
      </c>
      <c r="K847">
        <v>277</v>
      </c>
    </row>
    <row r="848" spans="1:11" x14ac:dyDescent="0.4">
      <c r="A848">
        <v>21755</v>
      </c>
      <c r="B848" t="s">
        <v>1236</v>
      </c>
      <c r="C848" t="s">
        <v>481</v>
      </c>
      <c r="E848" t="s">
        <v>278</v>
      </c>
      <c r="F848">
        <v>31</v>
      </c>
      <c r="G848">
        <v>1981</v>
      </c>
      <c r="H848">
        <v>10</v>
      </c>
      <c r="I848">
        <v>38.688000000000002</v>
      </c>
      <c r="J848">
        <v>2808.7869999999998</v>
      </c>
      <c r="K848">
        <v>1054</v>
      </c>
    </row>
    <row r="849" spans="1:11" x14ac:dyDescent="0.4">
      <c r="A849">
        <v>21837</v>
      </c>
      <c r="B849" t="s">
        <v>1237</v>
      </c>
      <c r="C849" t="s">
        <v>492</v>
      </c>
      <c r="D849" t="s">
        <v>378</v>
      </c>
      <c r="E849" t="s">
        <v>278</v>
      </c>
      <c r="F849">
        <v>31</v>
      </c>
      <c r="G849">
        <v>1982</v>
      </c>
      <c r="H849">
        <v>170</v>
      </c>
      <c r="I849">
        <v>9.625</v>
      </c>
      <c r="J849">
        <v>818.49800000000005</v>
      </c>
      <c r="K849">
        <v>361</v>
      </c>
    </row>
    <row r="850" spans="1:11" x14ac:dyDescent="0.4">
      <c r="A850">
        <v>19034</v>
      </c>
      <c r="B850" t="s">
        <v>1239</v>
      </c>
      <c r="C850" t="s">
        <v>1240</v>
      </c>
      <c r="D850" t="s">
        <v>546</v>
      </c>
      <c r="E850" t="s">
        <v>244</v>
      </c>
      <c r="F850">
        <v>88</v>
      </c>
      <c r="G850">
        <v>2009</v>
      </c>
      <c r="H850">
        <v>429</v>
      </c>
      <c r="I850">
        <v>4.875</v>
      </c>
      <c r="J850">
        <v>152.57</v>
      </c>
      <c r="K850">
        <v>0</v>
      </c>
    </row>
    <row r="851" spans="1:11" x14ac:dyDescent="0.4">
      <c r="A851">
        <v>18065</v>
      </c>
      <c r="B851" t="s">
        <v>1239</v>
      </c>
      <c r="C851" t="s">
        <v>576</v>
      </c>
      <c r="E851" t="s">
        <v>244</v>
      </c>
      <c r="F851">
        <v>88</v>
      </c>
      <c r="G851">
        <v>1971</v>
      </c>
      <c r="H851">
        <v>225</v>
      </c>
      <c r="I851">
        <v>10.625999999999999</v>
      </c>
      <c r="J851">
        <v>526.91200000000003</v>
      </c>
      <c r="K851">
        <v>144</v>
      </c>
    </row>
    <row r="852" spans="1:11" x14ac:dyDescent="0.4">
      <c r="A852">
        <v>18124</v>
      </c>
      <c r="B852" t="s">
        <v>1241</v>
      </c>
      <c r="C852" t="s">
        <v>1242</v>
      </c>
      <c r="D852" t="s">
        <v>508</v>
      </c>
      <c r="E852" t="s">
        <v>244</v>
      </c>
      <c r="F852">
        <v>88</v>
      </c>
      <c r="G852">
        <v>2007</v>
      </c>
      <c r="H852">
        <v>237</v>
      </c>
      <c r="I852">
        <v>10.938000000000001</v>
      </c>
      <c r="J852">
        <v>486.00299999999999</v>
      </c>
      <c r="K852">
        <v>110</v>
      </c>
    </row>
    <row r="853" spans="1:11" x14ac:dyDescent="0.4">
      <c r="A853">
        <v>96026</v>
      </c>
      <c r="B853" t="s">
        <v>1408</v>
      </c>
      <c r="C853" t="s">
        <v>526</v>
      </c>
      <c r="E853" t="s">
        <v>1387</v>
      </c>
      <c r="F853">
        <v>10</v>
      </c>
      <c r="G853">
        <v>1960</v>
      </c>
      <c r="H853">
        <v>668</v>
      </c>
      <c r="I853">
        <v>0.25</v>
      </c>
      <c r="J853">
        <v>5.0519999999999996</v>
      </c>
      <c r="K853">
        <v>0</v>
      </c>
    </row>
    <row r="854" spans="1:11" x14ac:dyDescent="0.4">
      <c r="A854">
        <v>96027</v>
      </c>
      <c r="B854" t="s">
        <v>1409</v>
      </c>
      <c r="C854" t="s">
        <v>703</v>
      </c>
      <c r="D854" t="s">
        <v>378</v>
      </c>
      <c r="E854" t="s">
        <v>1387</v>
      </c>
      <c r="F854">
        <v>10</v>
      </c>
      <c r="G854">
        <v>1961</v>
      </c>
      <c r="H854">
        <v>946</v>
      </c>
      <c r="I854">
        <v>0</v>
      </c>
      <c r="J854">
        <v>0</v>
      </c>
      <c r="K854">
        <v>0</v>
      </c>
    </row>
    <row r="855" spans="1:11" x14ac:dyDescent="0.4">
      <c r="A855">
        <v>10048</v>
      </c>
      <c r="B855" t="s">
        <v>1243</v>
      </c>
      <c r="C855" t="s">
        <v>655</v>
      </c>
      <c r="E855" t="s">
        <v>185</v>
      </c>
      <c r="F855">
        <v>63</v>
      </c>
      <c r="G855">
        <v>1996</v>
      </c>
      <c r="H855">
        <v>113</v>
      </c>
      <c r="I855">
        <v>23.001000000000001</v>
      </c>
      <c r="J855">
        <v>1205.8610000000001</v>
      </c>
      <c r="K855">
        <v>300</v>
      </c>
    </row>
    <row r="856" spans="1:11" x14ac:dyDescent="0.4">
      <c r="A856">
        <v>16140</v>
      </c>
      <c r="B856" t="s">
        <v>1244</v>
      </c>
      <c r="C856" t="s">
        <v>1245</v>
      </c>
      <c r="E856" t="s">
        <v>237</v>
      </c>
      <c r="F856">
        <v>1</v>
      </c>
      <c r="G856">
        <v>1951</v>
      </c>
      <c r="H856">
        <v>947</v>
      </c>
      <c r="I856">
        <v>0</v>
      </c>
      <c r="J856">
        <v>0</v>
      </c>
      <c r="K856">
        <v>0</v>
      </c>
    </row>
    <row r="857" spans="1:11" x14ac:dyDescent="0.4">
      <c r="A857">
        <v>24320</v>
      </c>
      <c r="B857" t="s">
        <v>1246</v>
      </c>
      <c r="C857" t="s">
        <v>770</v>
      </c>
      <c r="D857" t="s">
        <v>378</v>
      </c>
      <c r="E857" t="s">
        <v>285</v>
      </c>
      <c r="F857">
        <v>19</v>
      </c>
      <c r="G857">
        <v>1963</v>
      </c>
      <c r="H857">
        <v>457</v>
      </c>
      <c r="I857">
        <v>2.1880000000000002</v>
      </c>
      <c r="J857">
        <v>127.059</v>
      </c>
      <c r="K857">
        <v>40</v>
      </c>
    </row>
    <row r="858" spans="1:11" x14ac:dyDescent="0.4">
      <c r="A858">
        <v>19056</v>
      </c>
      <c r="B858" t="s">
        <v>1410</v>
      </c>
      <c r="C858" t="s">
        <v>1062</v>
      </c>
      <c r="D858" t="s">
        <v>546</v>
      </c>
      <c r="E858" t="s">
        <v>684</v>
      </c>
      <c r="F858">
        <v>77</v>
      </c>
      <c r="G858">
        <v>2008</v>
      </c>
      <c r="H858">
        <v>581</v>
      </c>
      <c r="I858">
        <v>0.98399999999999999</v>
      </c>
      <c r="J858">
        <v>47.033999999999999</v>
      </c>
      <c r="K858">
        <v>0</v>
      </c>
    </row>
    <row r="859" spans="1:11" x14ac:dyDescent="0.4">
      <c r="A859">
        <v>10159</v>
      </c>
      <c r="B859" t="s">
        <v>1248</v>
      </c>
      <c r="C859" t="s">
        <v>1249</v>
      </c>
      <c r="E859" t="s">
        <v>684</v>
      </c>
      <c r="F859">
        <v>77</v>
      </c>
      <c r="G859">
        <v>1949</v>
      </c>
      <c r="H859">
        <v>151</v>
      </c>
      <c r="I859">
        <v>15.891999999999999</v>
      </c>
      <c r="J859">
        <v>955.70699999999999</v>
      </c>
      <c r="K859">
        <v>238</v>
      </c>
    </row>
    <row r="860" spans="1:11" x14ac:dyDescent="0.4">
      <c r="A860">
        <v>10163</v>
      </c>
      <c r="B860" t="s">
        <v>1250</v>
      </c>
      <c r="C860" t="s">
        <v>530</v>
      </c>
      <c r="D860" t="s">
        <v>378</v>
      </c>
      <c r="E860" t="s">
        <v>684</v>
      </c>
      <c r="F860">
        <v>77</v>
      </c>
      <c r="G860">
        <v>1952</v>
      </c>
      <c r="H860">
        <v>89</v>
      </c>
      <c r="I860">
        <v>22.596</v>
      </c>
      <c r="J860">
        <v>1468.0319999999999</v>
      </c>
      <c r="K860">
        <v>469</v>
      </c>
    </row>
    <row r="861" spans="1:11" x14ac:dyDescent="0.4">
      <c r="A861">
        <v>29062</v>
      </c>
      <c r="B861" t="s">
        <v>1411</v>
      </c>
      <c r="C861" t="s">
        <v>1412</v>
      </c>
      <c r="E861" t="s">
        <v>189</v>
      </c>
      <c r="F861">
        <v>20</v>
      </c>
      <c r="G861">
        <v>1999</v>
      </c>
      <c r="H861">
        <v>2</v>
      </c>
      <c r="I861">
        <v>58</v>
      </c>
      <c r="J861">
        <v>3505.136</v>
      </c>
      <c r="K861">
        <v>1084</v>
      </c>
    </row>
    <row r="862" spans="1:11" x14ac:dyDescent="0.4">
      <c r="A862">
        <v>29061</v>
      </c>
      <c r="B862" t="s">
        <v>1411</v>
      </c>
      <c r="C862" t="s">
        <v>1413</v>
      </c>
      <c r="E862" t="s">
        <v>189</v>
      </c>
      <c r="F862">
        <v>20</v>
      </c>
      <c r="G862">
        <v>1970</v>
      </c>
      <c r="H862">
        <v>184</v>
      </c>
      <c r="I862">
        <v>10.782</v>
      </c>
      <c r="J862">
        <v>735.79</v>
      </c>
      <c r="K862">
        <v>254</v>
      </c>
    </row>
    <row r="863" spans="1:11" x14ac:dyDescent="0.4">
      <c r="A863">
        <v>18132</v>
      </c>
      <c r="B863" t="s">
        <v>1253</v>
      </c>
      <c r="C863" t="s">
        <v>552</v>
      </c>
      <c r="E863" t="s">
        <v>244</v>
      </c>
      <c r="F863">
        <v>88</v>
      </c>
      <c r="G863">
        <v>1976</v>
      </c>
      <c r="H863">
        <v>94</v>
      </c>
      <c r="I863">
        <v>22.908000000000001</v>
      </c>
      <c r="J863">
        <v>1423.7239999999999</v>
      </c>
      <c r="K863">
        <v>496</v>
      </c>
    </row>
    <row r="864" spans="1:11" x14ac:dyDescent="0.4">
      <c r="A864">
        <v>15070</v>
      </c>
      <c r="B864" t="s">
        <v>1254</v>
      </c>
      <c r="C864" t="s">
        <v>1414</v>
      </c>
      <c r="D864" t="s">
        <v>378</v>
      </c>
      <c r="E864" t="s">
        <v>456</v>
      </c>
      <c r="F864">
        <v>52</v>
      </c>
      <c r="G864">
        <v>1973</v>
      </c>
      <c r="H864">
        <v>80</v>
      </c>
      <c r="I864">
        <v>27.376999999999999</v>
      </c>
      <c r="J864">
        <v>1533.4059999999999</v>
      </c>
      <c r="K864">
        <v>554</v>
      </c>
    </row>
    <row r="865" spans="1:11" x14ac:dyDescent="0.4">
      <c r="A865">
        <v>15057</v>
      </c>
      <c r="B865" t="s">
        <v>1256</v>
      </c>
      <c r="C865" t="s">
        <v>669</v>
      </c>
      <c r="D865" t="s">
        <v>546</v>
      </c>
      <c r="E865" t="s">
        <v>237</v>
      </c>
      <c r="F865">
        <v>1</v>
      </c>
      <c r="G865">
        <v>2005</v>
      </c>
      <c r="H865">
        <v>48</v>
      </c>
      <c r="I865">
        <v>27.314</v>
      </c>
      <c r="J865">
        <v>1854.191</v>
      </c>
      <c r="K865">
        <v>732</v>
      </c>
    </row>
    <row r="866" spans="1:11" x14ac:dyDescent="0.4">
      <c r="A866">
        <v>18102</v>
      </c>
      <c r="B866" t="s">
        <v>1256</v>
      </c>
      <c r="C866" t="s">
        <v>566</v>
      </c>
      <c r="E866" t="s">
        <v>237</v>
      </c>
      <c r="F866">
        <v>1</v>
      </c>
      <c r="G866">
        <v>1947</v>
      </c>
      <c r="H866">
        <v>948</v>
      </c>
      <c r="I866">
        <v>0</v>
      </c>
      <c r="J866">
        <v>0</v>
      </c>
      <c r="K866">
        <v>0</v>
      </c>
    </row>
    <row r="867" spans="1:11" x14ac:dyDescent="0.4">
      <c r="A867">
        <v>17095</v>
      </c>
      <c r="B867" t="s">
        <v>1257</v>
      </c>
      <c r="C867" t="s">
        <v>530</v>
      </c>
      <c r="D867" t="s">
        <v>378</v>
      </c>
      <c r="E867" t="s">
        <v>237</v>
      </c>
      <c r="F867">
        <v>1</v>
      </c>
      <c r="G867">
        <v>1972</v>
      </c>
      <c r="H867">
        <v>491</v>
      </c>
      <c r="I867">
        <v>3.0939999999999999</v>
      </c>
      <c r="J867">
        <v>100.12</v>
      </c>
      <c r="K867">
        <v>0</v>
      </c>
    </row>
    <row r="868" spans="1:11" x14ac:dyDescent="0.4">
      <c r="A868">
        <v>14100</v>
      </c>
      <c r="B868" t="s">
        <v>1257</v>
      </c>
      <c r="C868" t="s">
        <v>703</v>
      </c>
      <c r="D868" t="s">
        <v>378</v>
      </c>
      <c r="E868" t="s">
        <v>160</v>
      </c>
      <c r="F868">
        <v>64</v>
      </c>
      <c r="G868">
        <v>1981</v>
      </c>
      <c r="H868">
        <v>644</v>
      </c>
      <c r="I868">
        <v>0.65600000000000003</v>
      </c>
      <c r="J868">
        <v>19.134</v>
      </c>
      <c r="K868">
        <v>0</v>
      </c>
    </row>
    <row r="869" spans="1:11" x14ac:dyDescent="0.4">
      <c r="A869">
        <v>96102</v>
      </c>
      <c r="B869" t="s">
        <v>1258</v>
      </c>
      <c r="C869" t="s">
        <v>569</v>
      </c>
      <c r="E869" t="s">
        <v>714</v>
      </c>
      <c r="F869">
        <v>21</v>
      </c>
      <c r="G869">
        <v>1980</v>
      </c>
      <c r="H869">
        <v>585</v>
      </c>
      <c r="I869">
        <v>2.5</v>
      </c>
      <c r="J869">
        <v>43.994999999999997</v>
      </c>
      <c r="K869">
        <v>0</v>
      </c>
    </row>
    <row r="870" spans="1:11" x14ac:dyDescent="0.4">
      <c r="A870">
        <v>96052</v>
      </c>
      <c r="B870" t="s">
        <v>1258</v>
      </c>
      <c r="C870" t="s">
        <v>552</v>
      </c>
      <c r="E870" t="s">
        <v>714</v>
      </c>
      <c r="F870">
        <v>21</v>
      </c>
      <c r="G870">
        <v>1948</v>
      </c>
      <c r="H870">
        <v>607</v>
      </c>
      <c r="I870">
        <v>2</v>
      </c>
      <c r="J870">
        <v>35.195999999999998</v>
      </c>
      <c r="K870">
        <v>0</v>
      </c>
    </row>
    <row r="871" spans="1:11" x14ac:dyDescent="0.4">
      <c r="A871">
        <v>10031</v>
      </c>
      <c r="B871" t="s">
        <v>1259</v>
      </c>
      <c r="C871" t="s">
        <v>526</v>
      </c>
      <c r="E871" t="s">
        <v>298</v>
      </c>
      <c r="F871">
        <v>67</v>
      </c>
      <c r="G871">
        <v>1959</v>
      </c>
      <c r="H871">
        <v>358</v>
      </c>
      <c r="I871">
        <v>3.5939999999999999</v>
      </c>
      <c r="J871">
        <v>231.053</v>
      </c>
      <c r="K871">
        <v>99</v>
      </c>
    </row>
    <row r="872" spans="1:11" x14ac:dyDescent="0.4">
      <c r="A872">
        <v>10032</v>
      </c>
      <c r="B872" t="s">
        <v>1259</v>
      </c>
      <c r="C872" t="s">
        <v>526</v>
      </c>
      <c r="E872" t="s">
        <v>298</v>
      </c>
      <c r="F872">
        <v>67</v>
      </c>
      <c r="G872">
        <v>1953</v>
      </c>
      <c r="H872">
        <v>347</v>
      </c>
      <c r="I872">
        <v>5.375</v>
      </c>
      <c r="J872">
        <v>246.61799999999999</v>
      </c>
      <c r="K872">
        <v>105</v>
      </c>
    </row>
    <row r="873" spans="1:11" x14ac:dyDescent="0.4">
      <c r="A873">
        <v>10033</v>
      </c>
      <c r="B873" t="s">
        <v>1259</v>
      </c>
      <c r="C873" t="s">
        <v>479</v>
      </c>
      <c r="E873" t="s">
        <v>298</v>
      </c>
      <c r="F873">
        <v>67</v>
      </c>
      <c r="G873">
        <v>1963</v>
      </c>
      <c r="H873">
        <v>360</v>
      </c>
      <c r="I873">
        <v>3.7189999999999999</v>
      </c>
      <c r="J873">
        <v>230.976</v>
      </c>
      <c r="K873">
        <v>99</v>
      </c>
    </row>
    <row r="874" spans="1:11" x14ac:dyDescent="0.4">
      <c r="A874">
        <v>17030</v>
      </c>
      <c r="B874" t="s">
        <v>1415</v>
      </c>
      <c r="C874" t="s">
        <v>1416</v>
      </c>
      <c r="D874" t="s">
        <v>546</v>
      </c>
      <c r="E874" t="s">
        <v>237</v>
      </c>
      <c r="F874">
        <v>1</v>
      </c>
      <c r="G874">
        <v>2011</v>
      </c>
      <c r="H874">
        <v>568</v>
      </c>
      <c r="I874">
        <v>1.4379999999999999</v>
      </c>
      <c r="J874">
        <v>52.912999999999997</v>
      </c>
      <c r="K874">
        <v>0</v>
      </c>
    </row>
    <row r="875" spans="1:11" x14ac:dyDescent="0.4">
      <c r="A875">
        <v>21786</v>
      </c>
      <c r="B875" t="s">
        <v>1260</v>
      </c>
      <c r="C875" t="s">
        <v>711</v>
      </c>
      <c r="D875" t="s">
        <v>378</v>
      </c>
      <c r="E875" t="s">
        <v>237</v>
      </c>
      <c r="F875">
        <v>1</v>
      </c>
      <c r="G875">
        <v>1986</v>
      </c>
      <c r="H875">
        <v>161</v>
      </c>
      <c r="I875">
        <v>15.000999999999999</v>
      </c>
      <c r="J875">
        <v>877.03899999999999</v>
      </c>
      <c r="K875">
        <v>267</v>
      </c>
    </row>
    <row r="876" spans="1:11" x14ac:dyDescent="0.4">
      <c r="A876">
        <v>17037</v>
      </c>
      <c r="B876" t="s">
        <v>1417</v>
      </c>
      <c r="C876" t="s">
        <v>503</v>
      </c>
      <c r="D876" t="s">
        <v>378</v>
      </c>
      <c r="E876" t="s">
        <v>619</v>
      </c>
      <c r="F876">
        <v>28</v>
      </c>
      <c r="G876">
        <v>1967</v>
      </c>
      <c r="H876">
        <v>510</v>
      </c>
      <c r="I876">
        <v>2.875</v>
      </c>
      <c r="J876">
        <v>87.787999999999997</v>
      </c>
      <c r="K876">
        <v>0</v>
      </c>
    </row>
    <row r="877" spans="1:11" x14ac:dyDescent="0.4">
      <c r="A877">
        <v>10128</v>
      </c>
      <c r="B877" t="s">
        <v>1418</v>
      </c>
      <c r="C877" t="s">
        <v>658</v>
      </c>
      <c r="D877" t="s">
        <v>378</v>
      </c>
      <c r="E877" t="s">
        <v>1400</v>
      </c>
      <c r="F877">
        <v>70</v>
      </c>
      <c r="G877">
        <v>1935</v>
      </c>
      <c r="H877">
        <v>949</v>
      </c>
      <c r="I877">
        <v>0</v>
      </c>
      <c r="J877">
        <v>0</v>
      </c>
      <c r="K877">
        <v>0</v>
      </c>
    </row>
    <row r="878" spans="1:11" x14ac:dyDescent="0.4">
      <c r="A878">
        <v>14082</v>
      </c>
      <c r="B878" t="s">
        <v>1419</v>
      </c>
      <c r="C878" t="s">
        <v>566</v>
      </c>
      <c r="E878" t="s">
        <v>488</v>
      </c>
      <c r="F878">
        <v>79</v>
      </c>
      <c r="G878">
        <v>1991</v>
      </c>
      <c r="H878">
        <v>950</v>
      </c>
      <c r="I878">
        <v>0</v>
      </c>
      <c r="J878">
        <v>0</v>
      </c>
      <c r="K878">
        <v>0</v>
      </c>
    </row>
    <row r="879" spans="1:11" x14ac:dyDescent="0.4">
      <c r="A879">
        <v>16139</v>
      </c>
      <c r="B879" t="s">
        <v>1420</v>
      </c>
      <c r="C879" t="s">
        <v>693</v>
      </c>
      <c r="D879" t="s">
        <v>378</v>
      </c>
      <c r="E879" t="s">
        <v>355</v>
      </c>
      <c r="F879">
        <v>42</v>
      </c>
      <c r="G879">
        <v>1962</v>
      </c>
      <c r="H879">
        <v>482</v>
      </c>
      <c r="I879">
        <v>1.0629999999999999</v>
      </c>
      <c r="J879">
        <v>106.08</v>
      </c>
      <c r="K879">
        <v>54</v>
      </c>
    </row>
    <row r="880" spans="1:11" x14ac:dyDescent="0.4">
      <c r="A880">
        <v>19001</v>
      </c>
      <c r="B880" t="s">
        <v>1261</v>
      </c>
      <c r="C880" t="s">
        <v>1123</v>
      </c>
      <c r="E880" t="s">
        <v>684</v>
      </c>
      <c r="F880">
        <v>77</v>
      </c>
      <c r="G880">
        <v>1966</v>
      </c>
      <c r="H880">
        <v>63</v>
      </c>
      <c r="I880">
        <v>28.564</v>
      </c>
      <c r="J880">
        <v>1700.2059999999999</v>
      </c>
      <c r="K880">
        <v>459</v>
      </c>
    </row>
    <row r="881" spans="1:11" x14ac:dyDescent="0.4">
      <c r="A881">
        <v>97232</v>
      </c>
      <c r="B881" t="s">
        <v>1262</v>
      </c>
      <c r="C881" t="s">
        <v>539</v>
      </c>
      <c r="E881" t="s">
        <v>631</v>
      </c>
      <c r="F881">
        <v>24</v>
      </c>
      <c r="G881">
        <v>1982</v>
      </c>
      <c r="H881">
        <v>951</v>
      </c>
      <c r="I881">
        <v>0</v>
      </c>
      <c r="J881">
        <v>0</v>
      </c>
      <c r="K881">
        <v>0</v>
      </c>
    </row>
    <row r="882" spans="1:11" x14ac:dyDescent="0.4">
      <c r="A882">
        <v>96200</v>
      </c>
      <c r="B882" t="s">
        <v>1262</v>
      </c>
      <c r="C882" t="s">
        <v>569</v>
      </c>
      <c r="E882" t="s">
        <v>631</v>
      </c>
      <c r="F882">
        <v>24</v>
      </c>
      <c r="G882">
        <v>1952</v>
      </c>
      <c r="H882">
        <v>492</v>
      </c>
      <c r="I882">
        <v>4</v>
      </c>
      <c r="J882">
        <v>99.951999999999998</v>
      </c>
      <c r="K882">
        <v>0</v>
      </c>
    </row>
    <row r="883" spans="1:11" x14ac:dyDescent="0.4">
      <c r="A883">
        <v>10037</v>
      </c>
      <c r="B883" t="s">
        <v>1263</v>
      </c>
      <c r="C883" t="s">
        <v>495</v>
      </c>
      <c r="E883" t="s">
        <v>527</v>
      </c>
      <c r="F883">
        <v>68</v>
      </c>
      <c r="G883">
        <v>1976</v>
      </c>
      <c r="H883">
        <v>952</v>
      </c>
      <c r="I883">
        <v>0</v>
      </c>
      <c r="J883">
        <v>0</v>
      </c>
      <c r="K883">
        <v>0</v>
      </c>
    </row>
    <row r="884" spans="1:11" x14ac:dyDescent="0.4">
      <c r="A884">
        <v>96213</v>
      </c>
      <c r="B884" t="s">
        <v>1267</v>
      </c>
      <c r="C884" t="s">
        <v>1268</v>
      </c>
      <c r="D884" t="s">
        <v>378</v>
      </c>
      <c r="E884" t="s">
        <v>631</v>
      </c>
      <c r="F884">
        <v>24</v>
      </c>
      <c r="G884">
        <v>1960</v>
      </c>
      <c r="H884">
        <v>426</v>
      </c>
      <c r="I884">
        <v>1</v>
      </c>
      <c r="J884">
        <v>157.05500000000001</v>
      </c>
      <c r="K884">
        <v>111</v>
      </c>
    </row>
    <row r="885" spans="1:11" x14ac:dyDescent="0.4">
      <c r="A885">
        <v>20611</v>
      </c>
      <c r="B885" t="s">
        <v>1269</v>
      </c>
      <c r="C885" t="s">
        <v>485</v>
      </c>
      <c r="E885" t="s">
        <v>176</v>
      </c>
      <c r="F885">
        <v>95</v>
      </c>
      <c r="G885">
        <v>1967</v>
      </c>
      <c r="H885">
        <v>953</v>
      </c>
      <c r="I885">
        <v>0</v>
      </c>
      <c r="J885">
        <v>0</v>
      </c>
      <c r="K885">
        <v>0</v>
      </c>
    </row>
    <row r="886" spans="1:11" x14ac:dyDescent="0.4">
      <c r="A886">
        <v>28027</v>
      </c>
      <c r="B886" t="s">
        <v>1272</v>
      </c>
      <c r="C886" t="s">
        <v>678</v>
      </c>
      <c r="E886" t="s">
        <v>225</v>
      </c>
      <c r="F886">
        <v>62</v>
      </c>
      <c r="G886">
        <v>1968</v>
      </c>
      <c r="H886">
        <v>415</v>
      </c>
      <c r="I886">
        <v>1.875</v>
      </c>
      <c r="J886">
        <v>165.31299999999999</v>
      </c>
      <c r="K886">
        <v>80</v>
      </c>
    </row>
    <row r="887" spans="1:11" x14ac:dyDescent="0.4">
      <c r="A887">
        <v>13084</v>
      </c>
      <c r="B887" t="s">
        <v>1274</v>
      </c>
      <c r="C887" t="s">
        <v>505</v>
      </c>
      <c r="E887" t="s">
        <v>160</v>
      </c>
      <c r="F887">
        <v>64</v>
      </c>
      <c r="G887">
        <v>1979</v>
      </c>
      <c r="H887">
        <v>194</v>
      </c>
      <c r="I887">
        <v>9.2200000000000006</v>
      </c>
      <c r="J887">
        <v>690.01199999999994</v>
      </c>
      <c r="K887">
        <v>265</v>
      </c>
    </row>
    <row r="888" spans="1:11" x14ac:dyDescent="0.4">
      <c r="A888">
        <v>18049</v>
      </c>
      <c r="B888" t="s">
        <v>1421</v>
      </c>
      <c r="C888" t="s">
        <v>503</v>
      </c>
      <c r="D888" t="s">
        <v>378</v>
      </c>
      <c r="E888" t="s">
        <v>714</v>
      </c>
      <c r="F888">
        <v>21</v>
      </c>
      <c r="G888">
        <v>1947</v>
      </c>
      <c r="H888">
        <v>954</v>
      </c>
      <c r="I888">
        <v>0</v>
      </c>
      <c r="J888">
        <v>0</v>
      </c>
      <c r="K888">
        <v>0</v>
      </c>
    </row>
    <row r="889" spans="1:11" x14ac:dyDescent="0.4">
      <c r="A889">
        <v>14079</v>
      </c>
      <c r="B889" t="s">
        <v>1422</v>
      </c>
      <c r="C889" t="s">
        <v>566</v>
      </c>
      <c r="E889" t="s">
        <v>488</v>
      </c>
      <c r="F889">
        <v>79</v>
      </c>
      <c r="G889">
        <v>2002</v>
      </c>
      <c r="H889">
        <v>84</v>
      </c>
      <c r="I889">
        <v>23.501999999999999</v>
      </c>
      <c r="J889">
        <v>1487.8320000000001</v>
      </c>
      <c r="K889">
        <v>508</v>
      </c>
    </row>
    <row r="890" spans="1:11" x14ac:dyDescent="0.4">
      <c r="A890">
        <v>19016</v>
      </c>
      <c r="B890" t="s">
        <v>1423</v>
      </c>
      <c r="C890" t="s">
        <v>554</v>
      </c>
      <c r="E890" t="s">
        <v>320</v>
      </c>
      <c r="F890">
        <v>86</v>
      </c>
      <c r="G890">
        <v>1984</v>
      </c>
      <c r="H890">
        <v>955</v>
      </c>
      <c r="I890">
        <v>0</v>
      </c>
      <c r="J890">
        <v>0</v>
      </c>
      <c r="K890">
        <v>0</v>
      </c>
    </row>
    <row r="891" spans="1:11" x14ac:dyDescent="0.4">
      <c r="A891">
        <v>21827</v>
      </c>
      <c r="B891" t="s">
        <v>1276</v>
      </c>
      <c r="C891" t="s">
        <v>526</v>
      </c>
      <c r="E891" t="s">
        <v>424</v>
      </c>
      <c r="F891">
        <v>36</v>
      </c>
      <c r="G891">
        <v>1978</v>
      </c>
      <c r="H891">
        <v>956</v>
      </c>
      <c r="I891">
        <v>0</v>
      </c>
      <c r="J891">
        <v>0</v>
      </c>
      <c r="K891">
        <v>0</v>
      </c>
    </row>
    <row r="892" spans="1:11" x14ac:dyDescent="0.4">
      <c r="A892">
        <v>15006</v>
      </c>
      <c r="B892" t="s">
        <v>1278</v>
      </c>
      <c r="C892" t="s">
        <v>526</v>
      </c>
      <c r="E892" t="s">
        <v>197</v>
      </c>
      <c r="F892">
        <v>15</v>
      </c>
      <c r="G892">
        <v>1996</v>
      </c>
      <c r="H892">
        <v>238</v>
      </c>
      <c r="I892">
        <v>7.6260000000000003</v>
      </c>
      <c r="J892">
        <v>484.09300000000002</v>
      </c>
      <c r="K892">
        <v>144</v>
      </c>
    </row>
    <row r="893" spans="1:11" x14ac:dyDescent="0.4">
      <c r="A893">
        <v>16005</v>
      </c>
      <c r="B893" t="s">
        <v>1278</v>
      </c>
      <c r="C893" t="s">
        <v>485</v>
      </c>
      <c r="E893" t="s">
        <v>197</v>
      </c>
      <c r="F893">
        <v>15</v>
      </c>
      <c r="G893">
        <v>1991</v>
      </c>
      <c r="H893">
        <v>957</v>
      </c>
      <c r="I893">
        <v>0</v>
      </c>
      <c r="J893">
        <v>0</v>
      </c>
      <c r="K893">
        <v>0</v>
      </c>
    </row>
    <row r="894" spans="1:11" x14ac:dyDescent="0.4">
      <c r="A894">
        <v>18048</v>
      </c>
      <c r="B894" t="s">
        <v>1279</v>
      </c>
      <c r="C894" t="s">
        <v>1280</v>
      </c>
      <c r="D894" t="s">
        <v>378</v>
      </c>
      <c r="E894" t="s">
        <v>197</v>
      </c>
      <c r="F894">
        <v>15</v>
      </c>
      <c r="G894">
        <v>1989</v>
      </c>
      <c r="H894">
        <v>365</v>
      </c>
      <c r="I894">
        <v>4.0010000000000003</v>
      </c>
      <c r="J894">
        <v>223.298</v>
      </c>
      <c r="K894">
        <v>49</v>
      </c>
    </row>
    <row r="895" spans="1:11" x14ac:dyDescent="0.4">
      <c r="A895">
        <v>18094</v>
      </c>
      <c r="B895" t="s">
        <v>1424</v>
      </c>
      <c r="C895" t="s">
        <v>574</v>
      </c>
      <c r="D895" t="s">
        <v>378</v>
      </c>
      <c r="E895" t="s">
        <v>647</v>
      </c>
      <c r="F895">
        <v>90</v>
      </c>
      <c r="G895">
        <v>1978</v>
      </c>
      <c r="H895">
        <v>958</v>
      </c>
      <c r="I895">
        <v>0</v>
      </c>
      <c r="J895">
        <v>0</v>
      </c>
      <c r="K895">
        <v>0</v>
      </c>
    </row>
    <row r="896" spans="1:11" x14ac:dyDescent="0.4">
      <c r="A896">
        <v>18067</v>
      </c>
      <c r="B896" t="s">
        <v>1281</v>
      </c>
      <c r="C896" t="s">
        <v>1282</v>
      </c>
      <c r="E896" t="s">
        <v>244</v>
      </c>
      <c r="F896">
        <v>88</v>
      </c>
      <c r="G896">
        <v>1974</v>
      </c>
      <c r="H896">
        <v>340</v>
      </c>
      <c r="I896">
        <v>8.6880000000000006</v>
      </c>
      <c r="J896">
        <v>259.90800000000002</v>
      </c>
      <c r="K896">
        <v>0</v>
      </c>
    </row>
    <row r="897" spans="1:11" x14ac:dyDescent="0.4">
      <c r="A897">
        <v>15067</v>
      </c>
      <c r="B897" t="s">
        <v>1285</v>
      </c>
      <c r="C897" t="s">
        <v>1286</v>
      </c>
      <c r="E897" t="s">
        <v>160</v>
      </c>
      <c r="F897">
        <v>64</v>
      </c>
      <c r="G897">
        <v>1978</v>
      </c>
      <c r="H897">
        <v>16</v>
      </c>
      <c r="I897">
        <v>39.375</v>
      </c>
      <c r="J897">
        <v>2530.3780000000002</v>
      </c>
      <c r="K897">
        <v>911</v>
      </c>
    </row>
    <row r="898" spans="1:11" x14ac:dyDescent="0.4">
      <c r="A898">
        <v>20603</v>
      </c>
      <c r="B898" t="s">
        <v>1287</v>
      </c>
      <c r="C898" t="s">
        <v>564</v>
      </c>
      <c r="E898" t="s">
        <v>176</v>
      </c>
      <c r="F898">
        <v>95</v>
      </c>
      <c r="G898">
        <v>1959</v>
      </c>
      <c r="H898">
        <v>959</v>
      </c>
      <c r="I898">
        <v>0</v>
      </c>
      <c r="J898">
        <v>0</v>
      </c>
      <c r="K898">
        <v>0</v>
      </c>
    </row>
    <row r="899" spans="1:11" x14ac:dyDescent="0.4">
      <c r="A899">
        <v>20594</v>
      </c>
      <c r="B899" t="s">
        <v>1288</v>
      </c>
      <c r="C899" t="s">
        <v>933</v>
      </c>
      <c r="D899" t="s">
        <v>378</v>
      </c>
      <c r="E899" t="s">
        <v>176</v>
      </c>
      <c r="F899">
        <v>95</v>
      </c>
      <c r="G899">
        <v>1958</v>
      </c>
      <c r="H899">
        <v>960</v>
      </c>
      <c r="I899">
        <v>0</v>
      </c>
      <c r="J899">
        <v>0</v>
      </c>
      <c r="K899">
        <v>0</v>
      </c>
    </row>
    <row r="900" spans="1:11" x14ac:dyDescent="0.4">
      <c r="A900">
        <v>20595</v>
      </c>
      <c r="B900" t="s">
        <v>1425</v>
      </c>
      <c r="C900" t="s">
        <v>933</v>
      </c>
      <c r="D900" t="s">
        <v>378</v>
      </c>
      <c r="E900" t="s">
        <v>176</v>
      </c>
      <c r="F900">
        <v>95</v>
      </c>
      <c r="G900">
        <v>1979</v>
      </c>
      <c r="H900">
        <v>961</v>
      </c>
      <c r="I900">
        <v>0</v>
      </c>
      <c r="J900">
        <v>0</v>
      </c>
      <c r="K900">
        <v>0</v>
      </c>
    </row>
    <row r="901" spans="1:11" x14ac:dyDescent="0.4">
      <c r="A901">
        <v>15019</v>
      </c>
      <c r="B901" t="s">
        <v>1426</v>
      </c>
      <c r="C901" t="s">
        <v>1427</v>
      </c>
      <c r="D901" t="s">
        <v>378</v>
      </c>
      <c r="E901" t="s">
        <v>166</v>
      </c>
      <c r="F901">
        <v>54</v>
      </c>
      <c r="G901">
        <v>1952</v>
      </c>
      <c r="H901">
        <v>662</v>
      </c>
      <c r="I901">
        <v>0.375</v>
      </c>
      <c r="J901">
        <v>11.622999999999999</v>
      </c>
      <c r="K901">
        <v>0</v>
      </c>
    </row>
    <row r="902" spans="1:11" x14ac:dyDescent="0.4">
      <c r="A902">
        <v>20573</v>
      </c>
      <c r="B902" t="s">
        <v>1290</v>
      </c>
      <c r="C902" t="s">
        <v>593</v>
      </c>
      <c r="D902" t="s">
        <v>378</v>
      </c>
      <c r="E902" t="s">
        <v>656</v>
      </c>
      <c r="F902">
        <v>66</v>
      </c>
      <c r="G902">
        <v>1965</v>
      </c>
      <c r="H902">
        <v>962</v>
      </c>
      <c r="I902">
        <v>0</v>
      </c>
      <c r="J902">
        <v>0</v>
      </c>
      <c r="K902">
        <v>0</v>
      </c>
    </row>
    <row r="903" spans="1:11" x14ac:dyDescent="0.4">
      <c r="A903">
        <v>20534</v>
      </c>
      <c r="B903" t="s">
        <v>1291</v>
      </c>
      <c r="C903" t="s">
        <v>1268</v>
      </c>
      <c r="D903" t="s">
        <v>378</v>
      </c>
      <c r="E903" t="s">
        <v>729</v>
      </c>
      <c r="F903">
        <v>87</v>
      </c>
      <c r="G903">
        <v>1956</v>
      </c>
      <c r="H903">
        <v>417</v>
      </c>
      <c r="I903">
        <v>4.782</v>
      </c>
      <c r="J903">
        <v>163.648</v>
      </c>
      <c r="K903">
        <v>0</v>
      </c>
    </row>
    <row r="904" spans="1:11" x14ac:dyDescent="0.4">
      <c r="A904">
        <v>15078</v>
      </c>
      <c r="B904" t="s">
        <v>1292</v>
      </c>
      <c r="C904" t="s">
        <v>505</v>
      </c>
      <c r="E904" t="s">
        <v>248</v>
      </c>
      <c r="F904">
        <v>13</v>
      </c>
      <c r="G904">
        <v>1983</v>
      </c>
      <c r="H904">
        <v>481</v>
      </c>
      <c r="I904">
        <v>4.1879999999999997</v>
      </c>
      <c r="J904">
        <v>107</v>
      </c>
      <c r="K904">
        <v>0</v>
      </c>
    </row>
    <row r="905" spans="1:11" x14ac:dyDescent="0.4">
      <c r="A905">
        <v>18104</v>
      </c>
      <c r="B905" t="s">
        <v>1293</v>
      </c>
      <c r="C905" t="s">
        <v>493</v>
      </c>
      <c r="D905" t="s">
        <v>378</v>
      </c>
      <c r="E905" t="s">
        <v>160</v>
      </c>
      <c r="F905">
        <v>64</v>
      </c>
      <c r="G905">
        <v>1978</v>
      </c>
      <c r="H905">
        <v>542</v>
      </c>
      <c r="I905">
        <v>0.75</v>
      </c>
      <c r="J905">
        <v>65.924000000000007</v>
      </c>
      <c r="K905">
        <v>30</v>
      </c>
    </row>
    <row r="906" spans="1:11" x14ac:dyDescent="0.4">
      <c r="A906">
        <v>18059</v>
      </c>
      <c r="B906" t="s">
        <v>1428</v>
      </c>
      <c r="C906" t="s">
        <v>1300</v>
      </c>
      <c r="D906" t="s">
        <v>378</v>
      </c>
      <c r="E906" t="s">
        <v>1429</v>
      </c>
      <c r="F906">
        <v>78</v>
      </c>
      <c r="G906">
        <v>1986</v>
      </c>
      <c r="H906">
        <v>963</v>
      </c>
      <c r="I906">
        <v>0</v>
      </c>
      <c r="J906">
        <v>0</v>
      </c>
      <c r="K906">
        <v>0</v>
      </c>
    </row>
    <row r="907" spans="1:11" x14ac:dyDescent="0.4">
      <c r="A907">
        <v>16137</v>
      </c>
      <c r="B907" t="s">
        <v>1430</v>
      </c>
      <c r="C907" t="s">
        <v>1026</v>
      </c>
      <c r="D907" t="s">
        <v>378</v>
      </c>
      <c r="E907" t="s">
        <v>488</v>
      </c>
      <c r="F907">
        <v>79</v>
      </c>
      <c r="G907">
        <v>1986</v>
      </c>
      <c r="H907">
        <v>964</v>
      </c>
      <c r="I907">
        <v>0</v>
      </c>
      <c r="J907">
        <v>0</v>
      </c>
      <c r="K907">
        <v>0</v>
      </c>
    </row>
    <row r="908" spans="1:11" x14ac:dyDescent="0.4">
      <c r="A908">
        <v>16046</v>
      </c>
      <c r="B908" t="s">
        <v>1431</v>
      </c>
      <c r="C908" t="s">
        <v>1432</v>
      </c>
      <c r="E908" t="s">
        <v>214</v>
      </c>
      <c r="F908">
        <v>69</v>
      </c>
      <c r="G908">
        <v>1949</v>
      </c>
      <c r="H908">
        <v>658</v>
      </c>
      <c r="I908">
        <v>0.875</v>
      </c>
      <c r="J908">
        <v>12.576000000000001</v>
      </c>
      <c r="K908">
        <v>0</v>
      </c>
    </row>
    <row r="909" spans="1:11" x14ac:dyDescent="0.4">
      <c r="A909">
        <v>20612</v>
      </c>
      <c r="B909" t="s">
        <v>1297</v>
      </c>
      <c r="C909" t="s">
        <v>485</v>
      </c>
      <c r="E909" t="s">
        <v>176</v>
      </c>
      <c r="F909">
        <v>95</v>
      </c>
      <c r="G909">
        <v>1967</v>
      </c>
      <c r="H909">
        <v>965</v>
      </c>
      <c r="I909">
        <v>0</v>
      </c>
      <c r="J909">
        <v>0</v>
      </c>
      <c r="K909">
        <v>0</v>
      </c>
    </row>
    <row r="910" spans="1:11" x14ac:dyDescent="0.4">
      <c r="A910">
        <v>16146</v>
      </c>
      <c r="B910" t="s">
        <v>1433</v>
      </c>
      <c r="C910" t="s">
        <v>498</v>
      </c>
      <c r="E910" t="s">
        <v>708</v>
      </c>
      <c r="F910">
        <v>82</v>
      </c>
      <c r="G910">
        <v>1984</v>
      </c>
      <c r="H910">
        <v>450</v>
      </c>
      <c r="I910">
        <v>3.25</v>
      </c>
      <c r="J910">
        <v>134.06299999999999</v>
      </c>
      <c r="K910">
        <v>0</v>
      </c>
    </row>
    <row r="911" spans="1:11" x14ac:dyDescent="0.4">
      <c r="A911">
        <v>13024</v>
      </c>
      <c r="B911" t="s">
        <v>1298</v>
      </c>
      <c r="C911" t="s">
        <v>926</v>
      </c>
      <c r="D911" t="s">
        <v>378</v>
      </c>
      <c r="E911" t="s">
        <v>570</v>
      </c>
      <c r="F911">
        <v>75</v>
      </c>
      <c r="G911">
        <v>1985</v>
      </c>
      <c r="H911">
        <v>966</v>
      </c>
      <c r="I911">
        <v>0</v>
      </c>
      <c r="J911">
        <v>0</v>
      </c>
      <c r="K911">
        <v>0</v>
      </c>
    </row>
    <row r="912" spans="1:11" x14ac:dyDescent="0.4">
      <c r="A912">
        <v>16135</v>
      </c>
      <c r="B912" t="s">
        <v>1434</v>
      </c>
      <c r="C912" t="s">
        <v>1333</v>
      </c>
      <c r="D912" t="s">
        <v>508</v>
      </c>
      <c r="E912" t="s">
        <v>522</v>
      </c>
      <c r="F912">
        <v>2</v>
      </c>
      <c r="G912">
        <v>2007</v>
      </c>
      <c r="H912">
        <v>968</v>
      </c>
      <c r="I912">
        <v>0</v>
      </c>
      <c r="J912">
        <v>0</v>
      </c>
      <c r="K912">
        <v>0</v>
      </c>
    </row>
    <row r="913" spans="1:11" x14ac:dyDescent="0.4">
      <c r="A913">
        <v>16134</v>
      </c>
      <c r="B913" t="s">
        <v>1434</v>
      </c>
      <c r="C913" t="s">
        <v>537</v>
      </c>
      <c r="D913" t="s">
        <v>508</v>
      </c>
      <c r="E913" t="s">
        <v>522</v>
      </c>
      <c r="F913">
        <v>2</v>
      </c>
      <c r="G913">
        <v>2004</v>
      </c>
      <c r="H913">
        <v>967</v>
      </c>
      <c r="I913">
        <v>0</v>
      </c>
      <c r="J913">
        <v>0</v>
      </c>
      <c r="K913">
        <v>0</v>
      </c>
    </row>
    <row r="914" spans="1:11" x14ac:dyDescent="0.4">
      <c r="A914">
        <v>20505</v>
      </c>
      <c r="B914" t="s">
        <v>1299</v>
      </c>
      <c r="C914" t="s">
        <v>1300</v>
      </c>
      <c r="D914" t="s">
        <v>508</v>
      </c>
      <c r="E914" t="s">
        <v>189</v>
      </c>
      <c r="F914">
        <v>20</v>
      </c>
      <c r="G914">
        <v>2006</v>
      </c>
      <c r="H914">
        <v>575</v>
      </c>
      <c r="I914">
        <v>1.157</v>
      </c>
      <c r="J914">
        <v>49.502000000000002</v>
      </c>
      <c r="K914">
        <v>0</v>
      </c>
    </row>
    <row r="915" spans="1:11" x14ac:dyDescent="0.4">
      <c r="A915">
        <v>10175</v>
      </c>
      <c r="B915" t="s">
        <v>1301</v>
      </c>
      <c r="C915" t="s">
        <v>639</v>
      </c>
      <c r="E915" t="s">
        <v>189</v>
      </c>
      <c r="F915">
        <v>20</v>
      </c>
      <c r="G915">
        <v>1979</v>
      </c>
      <c r="H915">
        <v>420</v>
      </c>
      <c r="I915">
        <v>3.4380000000000002</v>
      </c>
      <c r="J915">
        <v>161.67400000000001</v>
      </c>
      <c r="K915">
        <v>0</v>
      </c>
    </row>
    <row r="916" spans="1:11" x14ac:dyDescent="0.4">
      <c r="A916">
        <v>15058</v>
      </c>
      <c r="B916" t="s">
        <v>1301</v>
      </c>
      <c r="C916" t="s">
        <v>1435</v>
      </c>
      <c r="D916" t="s">
        <v>546</v>
      </c>
      <c r="E916" t="s">
        <v>189</v>
      </c>
      <c r="F916">
        <v>20</v>
      </c>
      <c r="G916">
        <v>2004</v>
      </c>
      <c r="H916">
        <v>12</v>
      </c>
      <c r="I916">
        <v>40.625</v>
      </c>
      <c r="J916">
        <v>2692.9630000000002</v>
      </c>
      <c r="K916">
        <v>1161</v>
      </c>
    </row>
    <row r="917" spans="1:11" x14ac:dyDescent="0.4">
      <c r="A917">
        <v>17100</v>
      </c>
      <c r="B917" t="s">
        <v>1436</v>
      </c>
      <c r="C917" t="s">
        <v>808</v>
      </c>
      <c r="D917" t="s">
        <v>378</v>
      </c>
      <c r="E917" t="s">
        <v>320</v>
      </c>
      <c r="F917">
        <v>86</v>
      </c>
      <c r="G917">
        <v>1989</v>
      </c>
      <c r="H917">
        <v>969</v>
      </c>
      <c r="I917">
        <v>0</v>
      </c>
      <c r="J917">
        <v>0</v>
      </c>
      <c r="K917">
        <v>0</v>
      </c>
    </row>
    <row r="918" spans="1:11" x14ac:dyDescent="0.4">
      <c r="A918">
        <v>19050</v>
      </c>
      <c r="B918" t="s">
        <v>1303</v>
      </c>
      <c r="C918" t="s">
        <v>479</v>
      </c>
      <c r="D918" t="s">
        <v>378</v>
      </c>
      <c r="E918" t="s">
        <v>320</v>
      </c>
      <c r="F918">
        <v>86</v>
      </c>
      <c r="G918">
        <v>1992</v>
      </c>
      <c r="H918">
        <v>970</v>
      </c>
      <c r="I918">
        <v>0</v>
      </c>
      <c r="J918">
        <v>0</v>
      </c>
      <c r="K918">
        <v>0</v>
      </c>
    </row>
    <row r="919" spans="1:11" x14ac:dyDescent="0.4">
      <c r="A919">
        <v>10098</v>
      </c>
      <c r="B919" t="s">
        <v>1304</v>
      </c>
      <c r="C919" t="s">
        <v>1305</v>
      </c>
      <c r="E919" t="s">
        <v>214</v>
      </c>
      <c r="F919">
        <v>69</v>
      </c>
      <c r="G919">
        <v>1959</v>
      </c>
      <c r="H919">
        <v>971</v>
      </c>
      <c r="I919">
        <v>0</v>
      </c>
      <c r="J919">
        <v>0</v>
      </c>
      <c r="K919">
        <v>0</v>
      </c>
    </row>
    <row r="920" spans="1:11" x14ac:dyDescent="0.4">
      <c r="A920">
        <v>17052</v>
      </c>
      <c r="B920" t="s">
        <v>1306</v>
      </c>
      <c r="C920" t="s">
        <v>487</v>
      </c>
      <c r="E920" t="s">
        <v>320</v>
      </c>
      <c r="F920">
        <v>86</v>
      </c>
      <c r="G920">
        <v>1962</v>
      </c>
      <c r="H920">
        <v>229</v>
      </c>
      <c r="I920">
        <v>11.064</v>
      </c>
      <c r="J920">
        <v>514.73800000000006</v>
      </c>
      <c r="K920">
        <v>64</v>
      </c>
    </row>
    <row r="921" spans="1:11" x14ac:dyDescent="0.4">
      <c r="A921">
        <v>17055</v>
      </c>
      <c r="B921" t="s">
        <v>1306</v>
      </c>
      <c r="C921" t="s">
        <v>1307</v>
      </c>
      <c r="E921" t="s">
        <v>320</v>
      </c>
      <c r="F921">
        <v>86</v>
      </c>
      <c r="G921">
        <v>2000</v>
      </c>
      <c r="H921">
        <v>187</v>
      </c>
      <c r="I921">
        <v>12.907</v>
      </c>
      <c r="J921">
        <v>727.79399999999998</v>
      </c>
      <c r="K921">
        <v>163</v>
      </c>
    </row>
    <row r="922" spans="1:11" x14ac:dyDescent="0.4">
      <c r="A922">
        <v>16144</v>
      </c>
      <c r="B922" t="s">
        <v>1306</v>
      </c>
      <c r="C922" t="s">
        <v>585</v>
      </c>
      <c r="E922" t="s">
        <v>320</v>
      </c>
      <c r="F922">
        <v>86</v>
      </c>
      <c r="G922">
        <v>1992</v>
      </c>
      <c r="H922">
        <v>263</v>
      </c>
      <c r="I922">
        <v>9.3460000000000001</v>
      </c>
      <c r="J922">
        <v>424.12700000000001</v>
      </c>
      <c r="K922">
        <v>25</v>
      </c>
    </row>
    <row r="923" spans="1:11" x14ac:dyDescent="0.4">
      <c r="A923">
        <v>96127</v>
      </c>
      <c r="B923" t="s">
        <v>1437</v>
      </c>
      <c r="C923" t="s">
        <v>655</v>
      </c>
      <c r="E923" t="s">
        <v>1391</v>
      </c>
      <c r="F923">
        <v>7</v>
      </c>
      <c r="G923">
        <v>1973</v>
      </c>
      <c r="H923">
        <v>972</v>
      </c>
      <c r="I923">
        <v>0</v>
      </c>
      <c r="J923">
        <v>0</v>
      </c>
      <c r="K923">
        <v>0</v>
      </c>
    </row>
    <row r="924" spans="1:11" x14ac:dyDescent="0.4">
      <c r="A924">
        <v>28036</v>
      </c>
      <c r="B924" t="s">
        <v>1308</v>
      </c>
      <c r="C924" t="s">
        <v>784</v>
      </c>
      <c r="E924" t="s">
        <v>380</v>
      </c>
      <c r="F924">
        <v>6</v>
      </c>
      <c r="G924">
        <v>1943</v>
      </c>
      <c r="H924">
        <v>405</v>
      </c>
      <c r="I924">
        <v>4.782</v>
      </c>
      <c r="J924">
        <v>178.245</v>
      </c>
      <c r="K924">
        <v>30</v>
      </c>
    </row>
    <row r="925" spans="1:11" x14ac:dyDescent="0.4">
      <c r="A925">
        <v>18057</v>
      </c>
      <c r="B925" t="s">
        <v>1438</v>
      </c>
      <c r="C925" t="s">
        <v>566</v>
      </c>
      <c r="E925" t="s">
        <v>166</v>
      </c>
      <c r="F925">
        <v>54</v>
      </c>
      <c r="G925">
        <v>1957</v>
      </c>
      <c r="H925">
        <v>436</v>
      </c>
      <c r="I925">
        <v>3</v>
      </c>
      <c r="J925">
        <v>145.5</v>
      </c>
      <c r="K925">
        <v>0</v>
      </c>
    </row>
    <row r="926" spans="1:11" x14ac:dyDescent="0.4">
      <c r="A926">
        <v>14090</v>
      </c>
      <c r="B926" t="s">
        <v>1310</v>
      </c>
      <c r="C926" t="s">
        <v>965</v>
      </c>
      <c r="E926" t="s">
        <v>488</v>
      </c>
      <c r="F926">
        <v>79</v>
      </c>
      <c r="G926">
        <v>1987</v>
      </c>
      <c r="H926">
        <v>973</v>
      </c>
      <c r="I926">
        <v>0</v>
      </c>
      <c r="J926">
        <v>0</v>
      </c>
      <c r="K926">
        <v>0</v>
      </c>
    </row>
    <row r="927" spans="1:11" x14ac:dyDescent="0.4">
      <c r="A927">
        <v>12083</v>
      </c>
      <c r="B927" t="s">
        <v>1439</v>
      </c>
      <c r="C927" t="s">
        <v>1125</v>
      </c>
      <c r="E927" t="s">
        <v>533</v>
      </c>
      <c r="F927">
        <v>73</v>
      </c>
      <c r="G927">
        <v>1954</v>
      </c>
      <c r="H927">
        <v>129</v>
      </c>
      <c r="I927">
        <v>18.501999999999999</v>
      </c>
      <c r="J927">
        <v>1076.0119999999999</v>
      </c>
      <c r="K927">
        <v>362</v>
      </c>
    </row>
    <row r="928" spans="1:11" x14ac:dyDescent="0.4">
      <c r="A928">
        <v>20525</v>
      </c>
      <c r="B928" t="s">
        <v>1440</v>
      </c>
      <c r="C928" t="s">
        <v>644</v>
      </c>
      <c r="D928" t="s">
        <v>378</v>
      </c>
      <c r="E928" t="s">
        <v>320</v>
      </c>
      <c r="F928">
        <v>86</v>
      </c>
      <c r="G928">
        <v>1993</v>
      </c>
      <c r="H928">
        <v>974</v>
      </c>
      <c r="I928">
        <v>0</v>
      </c>
      <c r="J928">
        <v>0</v>
      </c>
      <c r="K928">
        <v>0</v>
      </c>
    </row>
    <row r="929" spans="1:11" x14ac:dyDescent="0.4">
      <c r="A929">
        <v>17038</v>
      </c>
      <c r="B929" t="s">
        <v>1441</v>
      </c>
      <c r="C929" t="s">
        <v>574</v>
      </c>
      <c r="D929" t="s">
        <v>378</v>
      </c>
      <c r="E929" t="s">
        <v>194</v>
      </c>
      <c r="F929">
        <v>33</v>
      </c>
      <c r="G929">
        <v>1962</v>
      </c>
      <c r="H929">
        <v>234</v>
      </c>
      <c r="I929">
        <v>10.69</v>
      </c>
      <c r="J929">
        <v>494.69900000000001</v>
      </c>
      <c r="K929">
        <v>78</v>
      </c>
    </row>
    <row r="930" spans="1:11" x14ac:dyDescent="0.4">
      <c r="A930">
        <v>10094</v>
      </c>
      <c r="B930" t="s">
        <v>1312</v>
      </c>
      <c r="C930" t="s">
        <v>678</v>
      </c>
      <c r="E930" t="s">
        <v>214</v>
      </c>
      <c r="F930">
        <v>69</v>
      </c>
      <c r="G930">
        <v>1949</v>
      </c>
      <c r="H930">
        <v>608</v>
      </c>
      <c r="I930">
        <v>1.75</v>
      </c>
      <c r="J930">
        <v>34.287999999999997</v>
      </c>
      <c r="K930">
        <v>0</v>
      </c>
    </row>
    <row r="931" spans="1:11" x14ac:dyDescent="0.4">
      <c r="A931">
        <v>14066</v>
      </c>
      <c r="B931" t="s">
        <v>1442</v>
      </c>
      <c r="C931" t="s">
        <v>487</v>
      </c>
      <c r="E931" t="s">
        <v>522</v>
      </c>
      <c r="F931">
        <v>2</v>
      </c>
      <c r="G931">
        <v>1972</v>
      </c>
      <c r="H931">
        <v>975</v>
      </c>
      <c r="I931">
        <v>0</v>
      </c>
      <c r="J931">
        <v>0</v>
      </c>
      <c r="K931">
        <v>0</v>
      </c>
    </row>
    <row r="932" spans="1:11" x14ac:dyDescent="0.4">
      <c r="A932">
        <v>11037</v>
      </c>
      <c r="B932" t="s">
        <v>1313</v>
      </c>
      <c r="C932" t="s">
        <v>1314</v>
      </c>
      <c r="E932" t="s">
        <v>237</v>
      </c>
      <c r="F932">
        <v>1</v>
      </c>
      <c r="G932">
        <v>1983</v>
      </c>
      <c r="H932">
        <v>202</v>
      </c>
      <c r="I932">
        <v>15.657</v>
      </c>
      <c r="J932">
        <v>644.54200000000003</v>
      </c>
      <c r="K932">
        <v>0</v>
      </c>
    </row>
    <row r="933" spans="1:11" x14ac:dyDescent="0.4">
      <c r="A933">
        <v>26041</v>
      </c>
      <c r="B933" t="s">
        <v>1443</v>
      </c>
      <c r="C933" t="s">
        <v>861</v>
      </c>
      <c r="D933" t="s">
        <v>378</v>
      </c>
      <c r="E933" t="s">
        <v>619</v>
      </c>
      <c r="F933">
        <v>28</v>
      </c>
      <c r="G933">
        <v>1953</v>
      </c>
      <c r="H933">
        <v>976</v>
      </c>
      <c r="I933">
        <v>0</v>
      </c>
      <c r="J933">
        <v>0</v>
      </c>
      <c r="K933">
        <v>0</v>
      </c>
    </row>
    <row r="934" spans="1:11" x14ac:dyDescent="0.4">
      <c r="A934">
        <v>20689</v>
      </c>
      <c r="B934" t="s">
        <v>1444</v>
      </c>
      <c r="C934" t="s">
        <v>564</v>
      </c>
      <c r="E934" t="s">
        <v>403</v>
      </c>
      <c r="F934">
        <v>22</v>
      </c>
      <c r="G934">
        <v>1959</v>
      </c>
      <c r="H934">
        <v>977</v>
      </c>
      <c r="I934">
        <v>0</v>
      </c>
      <c r="J934">
        <v>0</v>
      </c>
      <c r="K934">
        <v>0</v>
      </c>
    </row>
    <row r="935" spans="1:11" x14ac:dyDescent="0.4">
      <c r="A935">
        <v>14094</v>
      </c>
      <c r="B935" t="s">
        <v>1315</v>
      </c>
      <c r="C935" t="s">
        <v>564</v>
      </c>
      <c r="E935" t="s">
        <v>438</v>
      </c>
      <c r="F935">
        <v>43</v>
      </c>
      <c r="G935">
        <v>1954</v>
      </c>
      <c r="H935">
        <v>142</v>
      </c>
      <c r="I935">
        <v>16.876999999999999</v>
      </c>
      <c r="J935">
        <v>1003.625</v>
      </c>
      <c r="K935">
        <v>330</v>
      </c>
    </row>
    <row r="936" spans="1:11" x14ac:dyDescent="0.4">
      <c r="A936">
        <v>23060</v>
      </c>
      <c r="B936" t="s">
        <v>1316</v>
      </c>
      <c r="C936" t="s">
        <v>539</v>
      </c>
      <c r="E936" t="s">
        <v>185</v>
      </c>
      <c r="F936">
        <v>63</v>
      </c>
      <c r="G936">
        <v>1954</v>
      </c>
      <c r="H936">
        <v>132</v>
      </c>
      <c r="I936">
        <v>21.876000000000001</v>
      </c>
      <c r="J936">
        <v>1071.4949999999999</v>
      </c>
      <c r="K936">
        <v>253</v>
      </c>
    </row>
    <row r="937" spans="1:11" x14ac:dyDescent="0.4">
      <c r="A937">
        <v>19002</v>
      </c>
      <c r="B937" t="s">
        <v>1445</v>
      </c>
      <c r="C937" t="s">
        <v>1073</v>
      </c>
      <c r="D937" t="s">
        <v>508</v>
      </c>
      <c r="E937" t="s">
        <v>684</v>
      </c>
      <c r="F937">
        <v>77</v>
      </c>
      <c r="G937">
        <v>2010</v>
      </c>
      <c r="H937">
        <v>978</v>
      </c>
      <c r="I937">
        <v>0</v>
      </c>
      <c r="J937">
        <v>0</v>
      </c>
      <c r="K937">
        <v>0</v>
      </c>
    </row>
    <row r="938" spans="1:11" x14ac:dyDescent="0.4">
      <c r="A938">
        <v>19003</v>
      </c>
      <c r="B938" t="s">
        <v>1445</v>
      </c>
      <c r="C938" t="s">
        <v>537</v>
      </c>
      <c r="D938" t="s">
        <v>508</v>
      </c>
      <c r="E938" t="s">
        <v>684</v>
      </c>
      <c r="F938">
        <v>77</v>
      </c>
      <c r="G938">
        <v>2003</v>
      </c>
      <c r="H938">
        <v>532</v>
      </c>
      <c r="I938">
        <v>1.5</v>
      </c>
      <c r="J938">
        <v>71.671999999999997</v>
      </c>
      <c r="K938">
        <v>0</v>
      </c>
    </row>
    <row r="939" spans="1:11" x14ac:dyDescent="0.4">
      <c r="A939">
        <v>29043</v>
      </c>
      <c r="B939" t="s">
        <v>1446</v>
      </c>
      <c r="C939" t="s">
        <v>678</v>
      </c>
      <c r="E939" t="s">
        <v>522</v>
      </c>
      <c r="F939">
        <v>2</v>
      </c>
      <c r="G939">
        <v>1953</v>
      </c>
      <c r="H939">
        <v>979</v>
      </c>
      <c r="I939">
        <v>0</v>
      </c>
      <c r="J939">
        <v>0</v>
      </c>
      <c r="K939">
        <v>0</v>
      </c>
    </row>
    <row r="940" spans="1:11" x14ac:dyDescent="0.4">
      <c r="A940">
        <v>16004</v>
      </c>
      <c r="B940" t="s">
        <v>1317</v>
      </c>
      <c r="C940" t="s">
        <v>1307</v>
      </c>
      <c r="D940" t="s">
        <v>546</v>
      </c>
      <c r="E940" t="s">
        <v>185</v>
      </c>
      <c r="F940">
        <v>63</v>
      </c>
      <c r="G940">
        <v>2003</v>
      </c>
      <c r="H940">
        <v>488</v>
      </c>
      <c r="I940">
        <v>3.25</v>
      </c>
      <c r="J940">
        <v>101.717</v>
      </c>
      <c r="K940">
        <v>0</v>
      </c>
    </row>
    <row r="941" spans="1:11" x14ac:dyDescent="0.4">
      <c r="A941">
        <v>97294</v>
      </c>
      <c r="B941" t="s">
        <v>1447</v>
      </c>
      <c r="C941" t="s">
        <v>485</v>
      </c>
      <c r="E941" t="s">
        <v>380</v>
      </c>
      <c r="F941">
        <v>6</v>
      </c>
      <c r="G941">
        <v>1968</v>
      </c>
      <c r="H941">
        <v>980</v>
      </c>
      <c r="I941">
        <v>0</v>
      </c>
      <c r="J941">
        <v>0</v>
      </c>
      <c r="K941">
        <v>0</v>
      </c>
    </row>
    <row r="942" spans="1:11" x14ac:dyDescent="0.4">
      <c r="A942">
        <v>13047</v>
      </c>
      <c r="B942" t="s">
        <v>1318</v>
      </c>
      <c r="C942" t="s">
        <v>479</v>
      </c>
      <c r="E942" t="s">
        <v>619</v>
      </c>
      <c r="F942">
        <v>28</v>
      </c>
      <c r="G942">
        <v>1957</v>
      </c>
      <c r="H942">
        <v>554</v>
      </c>
      <c r="I942">
        <v>2.0009999999999999</v>
      </c>
      <c r="J942">
        <v>59.915999999999997</v>
      </c>
      <c r="K942">
        <v>0</v>
      </c>
    </row>
    <row r="943" spans="1:11" x14ac:dyDescent="0.4">
      <c r="A943">
        <v>11031</v>
      </c>
      <c r="B943" t="s">
        <v>1319</v>
      </c>
      <c r="C943" t="s">
        <v>526</v>
      </c>
      <c r="E943" t="s">
        <v>522</v>
      </c>
      <c r="F943">
        <v>2</v>
      </c>
      <c r="G943">
        <v>1966</v>
      </c>
      <c r="H943">
        <v>264</v>
      </c>
      <c r="I943">
        <v>5.1879999999999997</v>
      </c>
      <c r="J943">
        <v>423.93400000000003</v>
      </c>
      <c r="K943">
        <v>216</v>
      </c>
    </row>
    <row r="944" spans="1:11" x14ac:dyDescent="0.4">
      <c r="A944">
        <v>22959</v>
      </c>
      <c r="B944" t="s">
        <v>1448</v>
      </c>
      <c r="C944" t="s">
        <v>526</v>
      </c>
      <c r="E944" t="s">
        <v>285</v>
      </c>
      <c r="F944">
        <v>19</v>
      </c>
      <c r="G944">
        <v>1959</v>
      </c>
      <c r="H944">
        <v>981</v>
      </c>
      <c r="I944">
        <v>0</v>
      </c>
      <c r="J944">
        <v>0</v>
      </c>
      <c r="K944">
        <v>0</v>
      </c>
    </row>
    <row r="945" spans="1:11" x14ac:dyDescent="0.4">
      <c r="A945">
        <v>20520</v>
      </c>
      <c r="B945" t="s">
        <v>1449</v>
      </c>
      <c r="C945" t="s">
        <v>526</v>
      </c>
      <c r="E945" t="s">
        <v>509</v>
      </c>
      <c r="F945">
        <v>74</v>
      </c>
      <c r="G945">
        <v>1957</v>
      </c>
      <c r="H945">
        <v>982</v>
      </c>
      <c r="I945">
        <v>0</v>
      </c>
      <c r="J945">
        <v>0</v>
      </c>
      <c r="K945">
        <v>0</v>
      </c>
    </row>
    <row r="946" spans="1:11" x14ac:dyDescent="0.4">
      <c r="A946">
        <v>20556</v>
      </c>
      <c r="B946" t="s">
        <v>1450</v>
      </c>
      <c r="C946" t="s">
        <v>566</v>
      </c>
      <c r="E946" t="s">
        <v>488</v>
      </c>
      <c r="F946">
        <v>79</v>
      </c>
      <c r="G946">
        <v>1987</v>
      </c>
      <c r="H946">
        <v>983</v>
      </c>
      <c r="I946">
        <v>0</v>
      </c>
      <c r="J946">
        <v>0</v>
      </c>
      <c r="K946">
        <v>0</v>
      </c>
    </row>
    <row r="947" spans="1:11" x14ac:dyDescent="0.4">
      <c r="A947">
        <v>21861</v>
      </c>
      <c r="B947" t="s">
        <v>1320</v>
      </c>
      <c r="C947" t="s">
        <v>485</v>
      </c>
      <c r="E947" t="s">
        <v>194</v>
      </c>
      <c r="F947">
        <v>33</v>
      </c>
      <c r="G947">
        <v>1962</v>
      </c>
      <c r="H947">
        <v>984</v>
      </c>
      <c r="I947">
        <v>0</v>
      </c>
      <c r="J947">
        <v>0</v>
      </c>
      <c r="K947">
        <v>0</v>
      </c>
    </row>
    <row r="948" spans="1:11" x14ac:dyDescent="0.4">
      <c r="A948">
        <v>22012</v>
      </c>
      <c r="B948" t="s">
        <v>1321</v>
      </c>
      <c r="C948" t="s">
        <v>487</v>
      </c>
      <c r="E948" t="s">
        <v>438</v>
      </c>
      <c r="F948">
        <v>43</v>
      </c>
      <c r="G948">
        <v>1980</v>
      </c>
      <c r="H948">
        <v>256</v>
      </c>
      <c r="I948">
        <v>6.1260000000000003</v>
      </c>
      <c r="J948">
        <v>431.14600000000002</v>
      </c>
      <c r="K948">
        <v>194</v>
      </c>
    </row>
    <row r="949" spans="1:11" x14ac:dyDescent="0.4">
      <c r="A949">
        <v>24281</v>
      </c>
      <c r="B949" t="s">
        <v>1321</v>
      </c>
      <c r="C949" t="s">
        <v>487</v>
      </c>
      <c r="E949" t="s">
        <v>456</v>
      </c>
      <c r="F949">
        <v>52</v>
      </c>
      <c r="G949">
        <v>1969</v>
      </c>
      <c r="H949">
        <v>233</v>
      </c>
      <c r="I949">
        <v>10.438000000000001</v>
      </c>
      <c r="J949">
        <v>496.08699999999999</v>
      </c>
      <c r="K949">
        <v>166</v>
      </c>
    </row>
    <row r="950" spans="1:11" x14ac:dyDescent="0.4">
      <c r="A950">
        <v>14052</v>
      </c>
      <c r="B950" t="s">
        <v>1451</v>
      </c>
      <c r="C950" t="s">
        <v>933</v>
      </c>
      <c r="D950" t="s">
        <v>378</v>
      </c>
      <c r="E950" t="s">
        <v>684</v>
      </c>
      <c r="F950">
        <v>77</v>
      </c>
      <c r="G950">
        <v>1970</v>
      </c>
      <c r="H950">
        <v>186</v>
      </c>
      <c r="I950">
        <v>10.952999999999999</v>
      </c>
      <c r="J950">
        <v>728.75800000000004</v>
      </c>
      <c r="K950">
        <v>233</v>
      </c>
    </row>
    <row r="951" spans="1:11" x14ac:dyDescent="0.4">
      <c r="A951">
        <v>21795</v>
      </c>
      <c r="B951" t="s">
        <v>1322</v>
      </c>
      <c r="C951" t="s">
        <v>1452</v>
      </c>
      <c r="E951" t="s">
        <v>259</v>
      </c>
      <c r="F951">
        <v>27</v>
      </c>
      <c r="G951">
        <v>1956</v>
      </c>
      <c r="H951">
        <v>311</v>
      </c>
      <c r="I951">
        <v>4.0629999999999997</v>
      </c>
      <c r="J951">
        <v>327.70100000000002</v>
      </c>
      <c r="K951">
        <v>137</v>
      </c>
    </row>
    <row r="952" spans="1:11" x14ac:dyDescent="0.4">
      <c r="A952">
        <v>16127</v>
      </c>
      <c r="B952" t="s">
        <v>1453</v>
      </c>
      <c r="C952" t="s">
        <v>573</v>
      </c>
      <c r="D952" t="s">
        <v>508</v>
      </c>
      <c r="E952" t="s">
        <v>522</v>
      </c>
      <c r="F952">
        <v>2</v>
      </c>
      <c r="G952">
        <v>2008</v>
      </c>
      <c r="H952">
        <v>986</v>
      </c>
      <c r="I952">
        <v>0</v>
      </c>
      <c r="J952">
        <v>0</v>
      </c>
      <c r="K952">
        <v>0</v>
      </c>
    </row>
    <row r="953" spans="1:11" x14ac:dyDescent="0.4">
      <c r="A953">
        <v>16126</v>
      </c>
      <c r="B953" t="s">
        <v>1453</v>
      </c>
      <c r="C953" t="s">
        <v>524</v>
      </c>
      <c r="D953" t="s">
        <v>508</v>
      </c>
      <c r="E953" t="s">
        <v>522</v>
      </c>
      <c r="F953">
        <v>2</v>
      </c>
      <c r="G953">
        <v>2010</v>
      </c>
      <c r="H953">
        <v>985</v>
      </c>
      <c r="I953">
        <v>0</v>
      </c>
      <c r="J953">
        <v>0</v>
      </c>
      <c r="K953">
        <v>0</v>
      </c>
    </row>
    <row r="954" spans="1:11" x14ac:dyDescent="0.4">
      <c r="A954">
        <v>14054</v>
      </c>
      <c r="B954" t="s">
        <v>1454</v>
      </c>
      <c r="C954" t="s">
        <v>1455</v>
      </c>
      <c r="E954" t="s">
        <v>1391</v>
      </c>
      <c r="F954">
        <v>7</v>
      </c>
      <c r="G954">
        <v>1962</v>
      </c>
      <c r="H954">
        <v>987</v>
      </c>
      <c r="I954">
        <v>0</v>
      </c>
      <c r="J954">
        <v>0</v>
      </c>
      <c r="K954">
        <v>0</v>
      </c>
    </row>
    <row r="955" spans="1:11" x14ac:dyDescent="0.4">
      <c r="A955">
        <v>18120</v>
      </c>
      <c r="B955" t="s">
        <v>1456</v>
      </c>
      <c r="C955" t="s">
        <v>593</v>
      </c>
      <c r="D955" t="s">
        <v>378</v>
      </c>
      <c r="E955" t="s">
        <v>779</v>
      </c>
      <c r="F955">
        <v>91</v>
      </c>
      <c r="G955">
        <v>1972</v>
      </c>
      <c r="H955">
        <v>988</v>
      </c>
      <c r="I955">
        <v>0</v>
      </c>
      <c r="J955">
        <v>0</v>
      </c>
      <c r="K955">
        <v>0</v>
      </c>
    </row>
    <row r="956" spans="1:11" x14ac:dyDescent="0.4">
      <c r="A956">
        <v>18082</v>
      </c>
      <c r="B956" t="s">
        <v>1324</v>
      </c>
      <c r="C956" t="s">
        <v>500</v>
      </c>
      <c r="E956" t="s">
        <v>180</v>
      </c>
      <c r="F956">
        <v>89</v>
      </c>
      <c r="G956">
        <v>1962</v>
      </c>
      <c r="H956">
        <v>989</v>
      </c>
      <c r="I956">
        <v>0</v>
      </c>
      <c r="J956">
        <v>0</v>
      </c>
      <c r="K956">
        <v>0</v>
      </c>
    </row>
    <row r="957" spans="1:11" x14ac:dyDescent="0.4">
      <c r="A957">
        <v>18083</v>
      </c>
      <c r="B957" t="s">
        <v>1457</v>
      </c>
      <c r="C957" t="s">
        <v>1458</v>
      </c>
      <c r="D957" t="s">
        <v>378</v>
      </c>
      <c r="E957" t="s">
        <v>180</v>
      </c>
      <c r="F957">
        <v>89</v>
      </c>
      <c r="G957">
        <v>1965</v>
      </c>
      <c r="H957">
        <v>990</v>
      </c>
      <c r="I957">
        <v>0</v>
      </c>
      <c r="J957">
        <v>0</v>
      </c>
      <c r="K957">
        <v>0</v>
      </c>
    </row>
    <row r="958" spans="1:11" x14ac:dyDescent="0.4">
      <c r="A958">
        <v>19062</v>
      </c>
      <c r="B958" t="s">
        <v>1459</v>
      </c>
      <c r="C958" t="s">
        <v>861</v>
      </c>
      <c r="D958" t="s">
        <v>378</v>
      </c>
      <c r="E958" t="s">
        <v>684</v>
      </c>
      <c r="F958">
        <v>77</v>
      </c>
      <c r="G958">
        <v>1950</v>
      </c>
      <c r="H958">
        <v>332</v>
      </c>
      <c r="I958">
        <v>5.875</v>
      </c>
      <c r="J958">
        <v>269.12599999999998</v>
      </c>
      <c r="K958">
        <v>116</v>
      </c>
    </row>
    <row r="959" spans="1:11" x14ac:dyDescent="0.4">
      <c r="A959">
        <v>25075</v>
      </c>
      <c r="B959" t="s">
        <v>1460</v>
      </c>
      <c r="C959" t="s">
        <v>498</v>
      </c>
      <c r="E959" t="s">
        <v>1407</v>
      </c>
      <c r="F959">
        <v>55</v>
      </c>
      <c r="G959">
        <v>1958</v>
      </c>
      <c r="H959">
        <v>125</v>
      </c>
      <c r="I959">
        <v>13.72</v>
      </c>
      <c r="J959">
        <v>1085.366</v>
      </c>
      <c r="K959">
        <v>491</v>
      </c>
    </row>
    <row r="960" spans="1:11" x14ac:dyDescent="0.4">
      <c r="A960">
        <v>16010</v>
      </c>
      <c r="B960" t="s">
        <v>1325</v>
      </c>
      <c r="C960" t="s">
        <v>693</v>
      </c>
      <c r="D960" t="s">
        <v>378</v>
      </c>
      <c r="E960" t="s">
        <v>160</v>
      </c>
      <c r="F960">
        <v>64</v>
      </c>
      <c r="G960">
        <v>1962</v>
      </c>
      <c r="H960">
        <v>40</v>
      </c>
      <c r="I960">
        <v>34.5</v>
      </c>
      <c r="J960">
        <v>1938.1780000000001</v>
      </c>
      <c r="K960">
        <v>503</v>
      </c>
    </row>
    <row r="961" spans="1:11" x14ac:dyDescent="0.4">
      <c r="A961">
        <v>99600</v>
      </c>
      <c r="B961" t="s">
        <v>1326</v>
      </c>
      <c r="C961" t="s">
        <v>500</v>
      </c>
      <c r="E961" t="s">
        <v>285</v>
      </c>
      <c r="F961">
        <v>19</v>
      </c>
      <c r="G961">
        <v>1966</v>
      </c>
      <c r="H961">
        <v>197</v>
      </c>
      <c r="I961">
        <v>12.781000000000001</v>
      </c>
      <c r="J961">
        <v>666.81799999999998</v>
      </c>
      <c r="K961">
        <v>213</v>
      </c>
    </row>
    <row r="962" spans="1:11" x14ac:dyDescent="0.4">
      <c r="A962">
        <v>15080</v>
      </c>
      <c r="B962" t="s">
        <v>1327</v>
      </c>
      <c r="C962" t="s">
        <v>596</v>
      </c>
      <c r="E962" t="s">
        <v>248</v>
      </c>
      <c r="F962">
        <v>13</v>
      </c>
      <c r="G962">
        <v>1983</v>
      </c>
      <c r="H962">
        <v>558</v>
      </c>
      <c r="I962">
        <v>2</v>
      </c>
      <c r="J962">
        <v>58.314</v>
      </c>
      <c r="K962">
        <v>0</v>
      </c>
    </row>
    <row r="963" spans="1:11" x14ac:dyDescent="0.4">
      <c r="A963">
        <v>97297</v>
      </c>
      <c r="B963" t="s">
        <v>1328</v>
      </c>
      <c r="C963" t="s">
        <v>526</v>
      </c>
      <c r="E963" t="s">
        <v>263</v>
      </c>
      <c r="F963">
        <v>17</v>
      </c>
      <c r="G963">
        <v>1959</v>
      </c>
      <c r="H963">
        <v>991</v>
      </c>
      <c r="I963">
        <v>0</v>
      </c>
      <c r="J963">
        <v>0</v>
      </c>
      <c r="K963">
        <v>0</v>
      </c>
    </row>
    <row r="964" spans="1:11" x14ac:dyDescent="0.4">
      <c r="A964">
        <v>99537</v>
      </c>
      <c r="B964" t="s">
        <v>1328</v>
      </c>
      <c r="C964" t="s">
        <v>639</v>
      </c>
      <c r="E964" t="s">
        <v>263</v>
      </c>
      <c r="F964">
        <v>17</v>
      </c>
      <c r="G964">
        <v>1986</v>
      </c>
      <c r="H964">
        <v>992</v>
      </c>
      <c r="I964">
        <v>0</v>
      </c>
      <c r="J964">
        <v>0</v>
      </c>
      <c r="K964">
        <v>0</v>
      </c>
    </row>
    <row r="965" spans="1:11" x14ac:dyDescent="0.4">
      <c r="A965">
        <v>21813</v>
      </c>
      <c r="B965" t="s">
        <v>1329</v>
      </c>
      <c r="C965" t="s">
        <v>503</v>
      </c>
      <c r="D965" t="s">
        <v>378</v>
      </c>
      <c r="E965" t="s">
        <v>263</v>
      </c>
      <c r="F965">
        <v>17</v>
      </c>
      <c r="G965">
        <v>1988</v>
      </c>
      <c r="H965">
        <v>993</v>
      </c>
      <c r="I965">
        <v>0</v>
      </c>
      <c r="J965">
        <v>0</v>
      </c>
      <c r="K965">
        <v>0</v>
      </c>
    </row>
    <row r="966" spans="1:11" x14ac:dyDescent="0.4">
      <c r="A966">
        <v>18109</v>
      </c>
      <c r="B966" t="s">
        <v>1331</v>
      </c>
      <c r="C966" t="s">
        <v>487</v>
      </c>
      <c r="E966" t="s">
        <v>647</v>
      </c>
      <c r="F966">
        <v>90</v>
      </c>
      <c r="G966">
        <v>1986</v>
      </c>
      <c r="H966">
        <v>114</v>
      </c>
      <c r="I966">
        <v>17.440000000000001</v>
      </c>
      <c r="J966">
        <v>1186.05</v>
      </c>
      <c r="K966">
        <v>474</v>
      </c>
    </row>
    <row r="967" spans="1:11" x14ac:dyDescent="0.4">
      <c r="A967">
        <v>20569</v>
      </c>
      <c r="B967" t="s">
        <v>1331</v>
      </c>
      <c r="C967" t="s">
        <v>979</v>
      </c>
      <c r="E967" t="s">
        <v>647</v>
      </c>
      <c r="F967">
        <v>90</v>
      </c>
      <c r="G967">
        <v>1994</v>
      </c>
      <c r="H967">
        <v>556</v>
      </c>
      <c r="I967">
        <v>1.8129999999999999</v>
      </c>
      <c r="J967">
        <v>59.168999999999997</v>
      </c>
      <c r="K967">
        <v>0</v>
      </c>
    </row>
    <row r="968" spans="1:11" x14ac:dyDescent="0.4">
      <c r="A968">
        <v>19058</v>
      </c>
      <c r="B968" t="s">
        <v>1332</v>
      </c>
      <c r="C968" t="s">
        <v>1333</v>
      </c>
      <c r="D968" t="s">
        <v>508</v>
      </c>
      <c r="E968" t="s">
        <v>647</v>
      </c>
      <c r="F968">
        <v>90</v>
      </c>
      <c r="G968">
        <v>2010</v>
      </c>
      <c r="H968">
        <v>571</v>
      </c>
      <c r="I968">
        <v>1.25</v>
      </c>
      <c r="J968">
        <v>51.256</v>
      </c>
      <c r="K968">
        <v>0</v>
      </c>
    </row>
    <row r="969" spans="1:11" x14ac:dyDescent="0.4">
      <c r="A969">
        <v>19076</v>
      </c>
      <c r="B969" t="s">
        <v>1461</v>
      </c>
      <c r="C969" t="s">
        <v>610</v>
      </c>
      <c r="D969" t="s">
        <v>546</v>
      </c>
      <c r="E969" t="s">
        <v>180</v>
      </c>
      <c r="F969">
        <v>89</v>
      </c>
      <c r="G969">
        <v>2007</v>
      </c>
      <c r="H969">
        <v>395</v>
      </c>
      <c r="I969">
        <v>4.1100000000000003</v>
      </c>
      <c r="J969">
        <v>182.74100000000001</v>
      </c>
      <c r="K969">
        <v>19</v>
      </c>
    </row>
    <row r="970" spans="1:11" x14ac:dyDescent="0.4">
      <c r="A970">
        <v>20577</v>
      </c>
      <c r="B970" t="s">
        <v>1461</v>
      </c>
      <c r="C970" t="s">
        <v>566</v>
      </c>
      <c r="D970" t="s">
        <v>546</v>
      </c>
      <c r="E970" t="s">
        <v>180</v>
      </c>
      <c r="F970">
        <v>89</v>
      </c>
      <c r="G970">
        <v>2008</v>
      </c>
      <c r="H970">
        <v>615</v>
      </c>
      <c r="I970">
        <v>0.81299999999999994</v>
      </c>
      <c r="J970">
        <v>31.87</v>
      </c>
      <c r="K970">
        <v>0</v>
      </c>
    </row>
    <row r="971" spans="1:11" x14ac:dyDescent="0.4">
      <c r="A971">
        <v>19079</v>
      </c>
      <c r="B971" t="s">
        <v>1461</v>
      </c>
      <c r="C971" t="s">
        <v>539</v>
      </c>
      <c r="E971" t="s">
        <v>180</v>
      </c>
      <c r="F971">
        <v>89</v>
      </c>
      <c r="G971">
        <v>1968</v>
      </c>
      <c r="H971">
        <v>362</v>
      </c>
      <c r="I971">
        <v>5.2350000000000003</v>
      </c>
      <c r="J971">
        <v>225.83</v>
      </c>
      <c r="K971">
        <v>19</v>
      </c>
    </row>
    <row r="972" spans="1:11" x14ac:dyDescent="0.4">
      <c r="A972">
        <v>19077</v>
      </c>
      <c r="B972" t="s">
        <v>1334</v>
      </c>
      <c r="C972" t="s">
        <v>574</v>
      </c>
      <c r="D972" t="s">
        <v>378</v>
      </c>
      <c r="E972" t="s">
        <v>180</v>
      </c>
      <c r="F972">
        <v>89</v>
      </c>
      <c r="G972">
        <v>1977</v>
      </c>
      <c r="H972">
        <v>537</v>
      </c>
      <c r="I972">
        <v>1.8440000000000001</v>
      </c>
      <c r="J972">
        <v>67.477000000000004</v>
      </c>
      <c r="K972">
        <v>0</v>
      </c>
    </row>
    <row r="973" spans="1:11" x14ac:dyDescent="0.4">
      <c r="A973">
        <v>19078</v>
      </c>
      <c r="B973" t="s">
        <v>1334</v>
      </c>
      <c r="C973" t="s">
        <v>574</v>
      </c>
      <c r="D973" t="s">
        <v>508</v>
      </c>
      <c r="E973" t="s">
        <v>180</v>
      </c>
      <c r="F973">
        <v>89</v>
      </c>
      <c r="G973">
        <v>2010</v>
      </c>
      <c r="H973">
        <v>324</v>
      </c>
      <c r="I973">
        <v>6.0949999999999998</v>
      </c>
      <c r="J973">
        <v>290.255</v>
      </c>
      <c r="K973">
        <v>50</v>
      </c>
    </row>
    <row r="974" spans="1:11" x14ac:dyDescent="0.4">
      <c r="A974">
        <v>19075</v>
      </c>
      <c r="B974" t="s">
        <v>1334</v>
      </c>
      <c r="C974" t="s">
        <v>1462</v>
      </c>
      <c r="D974" t="s">
        <v>508</v>
      </c>
      <c r="E974" t="s">
        <v>180</v>
      </c>
      <c r="F974">
        <v>89</v>
      </c>
      <c r="G974">
        <v>2012</v>
      </c>
      <c r="H974">
        <v>469</v>
      </c>
      <c r="I974">
        <v>3.0009999999999999</v>
      </c>
      <c r="J974">
        <v>116.755</v>
      </c>
      <c r="K974">
        <v>0</v>
      </c>
    </row>
    <row r="975" spans="1:11" x14ac:dyDescent="0.4">
      <c r="A975">
        <v>18135</v>
      </c>
      <c r="B975" t="s">
        <v>1335</v>
      </c>
      <c r="C975" t="s">
        <v>543</v>
      </c>
      <c r="D975" t="s">
        <v>378</v>
      </c>
      <c r="E975" t="s">
        <v>237</v>
      </c>
      <c r="F975">
        <v>1</v>
      </c>
      <c r="G975">
        <v>1967</v>
      </c>
      <c r="H975">
        <v>425</v>
      </c>
      <c r="I975">
        <v>3.3759999999999999</v>
      </c>
      <c r="J975">
        <v>157.96199999999999</v>
      </c>
      <c r="K975">
        <v>33</v>
      </c>
    </row>
    <row r="976" spans="1:11" x14ac:dyDescent="0.4">
      <c r="A976">
        <v>96030</v>
      </c>
      <c r="B976" t="s">
        <v>1336</v>
      </c>
      <c r="C976" t="s">
        <v>485</v>
      </c>
      <c r="E976" t="s">
        <v>237</v>
      </c>
      <c r="F976">
        <v>1</v>
      </c>
      <c r="G976">
        <v>1950</v>
      </c>
      <c r="H976">
        <v>994</v>
      </c>
      <c r="I976">
        <v>0</v>
      </c>
      <c r="J976">
        <v>0</v>
      </c>
      <c r="K976">
        <v>0</v>
      </c>
    </row>
    <row r="977" spans="1:11" x14ac:dyDescent="0.4">
      <c r="A977">
        <v>18061</v>
      </c>
      <c r="B977" t="s">
        <v>1337</v>
      </c>
      <c r="C977" t="s">
        <v>1463</v>
      </c>
      <c r="D977" t="s">
        <v>378</v>
      </c>
      <c r="E977" t="s">
        <v>237</v>
      </c>
      <c r="F977">
        <v>1</v>
      </c>
      <c r="G977">
        <v>1957</v>
      </c>
      <c r="H977">
        <v>995</v>
      </c>
      <c r="I977">
        <v>0</v>
      </c>
      <c r="J977">
        <v>0</v>
      </c>
      <c r="K977">
        <v>0</v>
      </c>
    </row>
    <row r="978" spans="1:11" x14ac:dyDescent="0.4">
      <c r="A978">
        <v>24232</v>
      </c>
      <c r="B978" t="s">
        <v>1464</v>
      </c>
      <c r="C978" t="s">
        <v>678</v>
      </c>
      <c r="E978" t="s">
        <v>499</v>
      </c>
      <c r="F978">
        <v>51</v>
      </c>
      <c r="G978">
        <v>1970</v>
      </c>
      <c r="H978">
        <v>996</v>
      </c>
      <c r="I978">
        <v>0</v>
      </c>
      <c r="J978">
        <v>0</v>
      </c>
      <c r="K978">
        <v>0</v>
      </c>
    </row>
    <row r="979" spans="1:11" x14ac:dyDescent="0.4">
      <c r="A979">
        <v>18052</v>
      </c>
      <c r="B979" t="s">
        <v>1339</v>
      </c>
      <c r="C979" t="s">
        <v>564</v>
      </c>
      <c r="E979" t="s">
        <v>724</v>
      </c>
      <c r="F979">
        <v>56</v>
      </c>
      <c r="G979">
        <v>1964</v>
      </c>
      <c r="H979">
        <v>334</v>
      </c>
      <c r="I979">
        <v>5.4379999999999997</v>
      </c>
      <c r="J979">
        <v>267.62599999999998</v>
      </c>
      <c r="K979">
        <v>84</v>
      </c>
    </row>
    <row r="980" spans="1:11" x14ac:dyDescent="0.4">
      <c r="A980">
        <v>20526</v>
      </c>
      <c r="B980" t="s">
        <v>1465</v>
      </c>
      <c r="C980" t="s">
        <v>500</v>
      </c>
      <c r="E980" t="s">
        <v>320</v>
      </c>
      <c r="F980">
        <v>86</v>
      </c>
      <c r="G980">
        <v>1989</v>
      </c>
      <c r="H980">
        <v>997</v>
      </c>
      <c r="I980">
        <v>0</v>
      </c>
      <c r="J980">
        <v>0</v>
      </c>
      <c r="K980">
        <v>0</v>
      </c>
    </row>
    <row r="981" spans="1:11" x14ac:dyDescent="0.4">
      <c r="A981">
        <v>20541</v>
      </c>
      <c r="B981" t="s">
        <v>1466</v>
      </c>
      <c r="C981" t="s">
        <v>1125</v>
      </c>
      <c r="E981" t="s">
        <v>496</v>
      </c>
      <c r="F981">
        <v>93</v>
      </c>
      <c r="G981">
        <v>1963</v>
      </c>
      <c r="H981">
        <v>646</v>
      </c>
      <c r="I981">
        <v>0.34399999999999997</v>
      </c>
      <c r="J981">
        <v>16.672000000000001</v>
      </c>
      <c r="K981">
        <v>0</v>
      </c>
    </row>
    <row r="982" spans="1:11" x14ac:dyDescent="0.4">
      <c r="A982">
        <v>17081</v>
      </c>
      <c r="B982" t="s">
        <v>1467</v>
      </c>
      <c r="C982" t="s">
        <v>626</v>
      </c>
      <c r="D982" t="s">
        <v>378</v>
      </c>
      <c r="E982" t="s">
        <v>355</v>
      </c>
      <c r="F982">
        <v>42</v>
      </c>
      <c r="G982">
        <v>1945</v>
      </c>
      <c r="H982">
        <v>258</v>
      </c>
      <c r="I982">
        <v>6.7039999999999997</v>
      </c>
      <c r="J982">
        <v>430.71</v>
      </c>
      <c r="K982">
        <v>132</v>
      </c>
    </row>
    <row r="983" spans="1:11" x14ac:dyDescent="0.4">
      <c r="A983">
        <v>15075</v>
      </c>
      <c r="B983" t="s">
        <v>1342</v>
      </c>
      <c r="C983" t="s">
        <v>1343</v>
      </c>
      <c r="D983" t="s">
        <v>378</v>
      </c>
      <c r="E983" t="s">
        <v>237</v>
      </c>
      <c r="F983">
        <v>1</v>
      </c>
      <c r="G983">
        <v>1956</v>
      </c>
      <c r="H983">
        <v>390</v>
      </c>
      <c r="I983">
        <v>4.1879999999999997</v>
      </c>
      <c r="J983">
        <v>189.452</v>
      </c>
      <c r="K983">
        <v>52</v>
      </c>
    </row>
    <row r="984" spans="1:11" x14ac:dyDescent="0.4">
      <c r="A984">
        <v>98352</v>
      </c>
      <c r="B984" t="s">
        <v>1344</v>
      </c>
      <c r="C984" t="s">
        <v>587</v>
      </c>
      <c r="D984" t="s">
        <v>378</v>
      </c>
      <c r="E984" t="s">
        <v>237</v>
      </c>
      <c r="F984">
        <v>1</v>
      </c>
      <c r="G984">
        <v>1967</v>
      </c>
      <c r="H984">
        <v>451</v>
      </c>
      <c r="I984">
        <v>2.6259999999999999</v>
      </c>
      <c r="J984">
        <v>133.76499999999999</v>
      </c>
      <c r="K984">
        <v>33</v>
      </c>
    </row>
    <row r="985" spans="1:11" x14ac:dyDescent="0.4">
      <c r="A985">
        <v>96205</v>
      </c>
      <c r="B985" t="s">
        <v>1345</v>
      </c>
      <c r="C985" t="s">
        <v>566</v>
      </c>
      <c r="E985" t="s">
        <v>237</v>
      </c>
      <c r="F985">
        <v>1</v>
      </c>
      <c r="G985">
        <v>1953</v>
      </c>
      <c r="H985">
        <v>317</v>
      </c>
      <c r="I985">
        <v>6.3129999999999997</v>
      </c>
      <c r="J985">
        <v>310.29599999999999</v>
      </c>
      <c r="K985">
        <v>74</v>
      </c>
    </row>
    <row r="986" spans="1:11" x14ac:dyDescent="0.4">
      <c r="A986">
        <v>20527</v>
      </c>
      <c r="B986" t="s">
        <v>1347</v>
      </c>
      <c r="C986" t="s">
        <v>539</v>
      </c>
      <c r="E986" t="s">
        <v>320</v>
      </c>
      <c r="F986">
        <v>86</v>
      </c>
      <c r="G986">
        <v>1989</v>
      </c>
      <c r="H986">
        <v>998</v>
      </c>
      <c r="I986">
        <v>0</v>
      </c>
      <c r="J986">
        <v>0</v>
      </c>
      <c r="K986">
        <v>0</v>
      </c>
    </row>
    <row r="987" spans="1:11" x14ac:dyDescent="0.4">
      <c r="A987">
        <v>21819</v>
      </c>
      <c r="B987" t="s">
        <v>1348</v>
      </c>
      <c r="C987" t="s">
        <v>630</v>
      </c>
      <c r="E987" t="s">
        <v>424</v>
      </c>
      <c r="F987">
        <v>36</v>
      </c>
      <c r="G987">
        <v>1952</v>
      </c>
      <c r="H987">
        <v>999</v>
      </c>
      <c r="I987">
        <v>0</v>
      </c>
      <c r="J987">
        <v>0</v>
      </c>
      <c r="K987">
        <v>0</v>
      </c>
    </row>
    <row r="988" spans="1:11" x14ac:dyDescent="0.4">
      <c r="A988">
        <v>17093</v>
      </c>
      <c r="B988" t="s">
        <v>1349</v>
      </c>
      <c r="C988" t="s">
        <v>1282</v>
      </c>
      <c r="E988" t="s">
        <v>185</v>
      </c>
      <c r="F988">
        <v>63</v>
      </c>
      <c r="G988">
        <v>1967</v>
      </c>
      <c r="H988">
        <v>199</v>
      </c>
      <c r="I988">
        <v>17.658000000000001</v>
      </c>
      <c r="J988">
        <v>662.76900000000001</v>
      </c>
      <c r="K988">
        <v>28</v>
      </c>
    </row>
    <row r="989" spans="1:11" x14ac:dyDescent="0.4">
      <c r="A989">
        <v>10047</v>
      </c>
      <c r="B989" t="s">
        <v>1349</v>
      </c>
      <c r="C989" t="s">
        <v>585</v>
      </c>
      <c r="E989" t="s">
        <v>185</v>
      </c>
      <c r="F989">
        <v>63</v>
      </c>
      <c r="G989">
        <v>1997</v>
      </c>
      <c r="H989">
        <v>138</v>
      </c>
      <c r="I989">
        <v>22.376000000000001</v>
      </c>
      <c r="J989">
        <v>1033.4100000000001</v>
      </c>
      <c r="K989">
        <v>186</v>
      </c>
    </row>
    <row r="990" spans="1:11" x14ac:dyDescent="0.4">
      <c r="A990">
        <v>13053</v>
      </c>
      <c r="B990" t="s">
        <v>1468</v>
      </c>
      <c r="C990" t="s">
        <v>626</v>
      </c>
      <c r="D990" t="s">
        <v>378</v>
      </c>
      <c r="E990" t="s">
        <v>1400</v>
      </c>
      <c r="F990">
        <v>70</v>
      </c>
      <c r="G990">
        <v>1946</v>
      </c>
      <c r="H990">
        <v>1000</v>
      </c>
      <c r="I990">
        <v>0</v>
      </c>
      <c r="J990">
        <v>0</v>
      </c>
      <c r="K990">
        <v>0</v>
      </c>
    </row>
    <row r="991" spans="1:11" x14ac:dyDescent="0.4">
      <c r="A991">
        <v>97272</v>
      </c>
      <c r="B991" t="s">
        <v>1352</v>
      </c>
      <c r="C991" t="s">
        <v>539</v>
      </c>
      <c r="E991" t="s">
        <v>237</v>
      </c>
      <c r="F991">
        <v>1</v>
      </c>
      <c r="G991">
        <v>1957</v>
      </c>
      <c r="H991">
        <v>461</v>
      </c>
      <c r="I991">
        <v>2.5950000000000002</v>
      </c>
      <c r="J991">
        <v>125.402</v>
      </c>
      <c r="K991">
        <v>25</v>
      </c>
    </row>
    <row r="992" spans="1:11" x14ac:dyDescent="0.4">
      <c r="A992">
        <v>15068</v>
      </c>
      <c r="B992" t="s">
        <v>1355</v>
      </c>
      <c r="C992" t="s">
        <v>596</v>
      </c>
      <c r="E992" t="s">
        <v>631</v>
      </c>
      <c r="F992">
        <v>24</v>
      </c>
      <c r="G992">
        <v>1956</v>
      </c>
      <c r="H992">
        <v>76</v>
      </c>
      <c r="I992">
        <v>23.532</v>
      </c>
      <c r="J992">
        <v>1563.09</v>
      </c>
      <c r="K992">
        <v>527</v>
      </c>
    </row>
    <row r="993" spans="1:11" x14ac:dyDescent="0.4">
      <c r="A993">
        <v>19005</v>
      </c>
      <c r="B993" t="s">
        <v>1356</v>
      </c>
      <c r="C993" t="s">
        <v>603</v>
      </c>
      <c r="E993" t="s">
        <v>619</v>
      </c>
      <c r="F993">
        <v>28</v>
      </c>
      <c r="G993">
        <v>1959</v>
      </c>
      <c r="H993">
        <v>490</v>
      </c>
      <c r="I993">
        <v>3.5</v>
      </c>
      <c r="J993">
        <v>100.492</v>
      </c>
      <c r="K993">
        <v>0</v>
      </c>
    </row>
    <row r="994" spans="1:11" x14ac:dyDescent="0.4">
      <c r="A994">
        <v>97262</v>
      </c>
      <c r="B994" t="s">
        <v>1357</v>
      </c>
      <c r="C994" t="s">
        <v>1179</v>
      </c>
      <c r="D994" t="s">
        <v>378</v>
      </c>
      <c r="E994" t="s">
        <v>619</v>
      </c>
      <c r="F994">
        <v>28</v>
      </c>
      <c r="G994">
        <v>1964</v>
      </c>
      <c r="H994">
        <v>1001</v>
      </c>
      <c r="I994">
        <v>0</v>
      </c>
      <c r="J994">
        <v>0</v>
      </c>
      <c r="K994">
        <v>0</v>
      </c>
    </row>
    <row r="995" spans="1:11" x14ac:dyDescent="0.4">
      <c r="A995">
        <v>21820</v>
      </c>
      <c r="B995" t="s">
        <v>1358</v>
      </c>
      <c r="C995" t="s">
        <v>519</v>
      </c>
      <c r="E995" t="s">
        <v>424</v>
      </c>
      <c r="F995">
        <v>36</v>
      </c>
      <c r="G995">
        <v>1959</v>
      </c>
      <c r="H995">
        <v>1002</v>
      </c>
      <c r="I995">
        <v>0</v>
      </c>
      <c r="J995">
        <v>0</v>
      </c>
      <c r="K995">
        <v>0</v>
      </c>
    </row>
    <row r="996" spans="1:11" x14ac:dyDescent="0.4">
      <c r="A996">
        <v>16012</v>
      </c>
      <c r="B996" t="s">
        <v>1469</v>
      </c>
      <c r="C996" t="s">
        <v>610</v>
      </c>
      <c r="E996" t="s">
        <v>488</v>
      </c>
      <c r="F996">
        <v>79</v>
      </c>
      <c r="G996">
        <v>2001</v>
      </c>
      <c r="H996">
        <v>1003</v>
      </c>
      <c r="I996">
        <v>0</v>
      </c>
      <c r="J996">
        <v>0</v>
      </c>
      <c r="K996">
        <v>0</v>
      </c>
    </row>
    <row r="997" spans="1:11" x14ac:dyDescent="0.4">
      <c r="A997">
        <v>18021</v>
      </c>
      <c r="B997" t="s">
        <v>1470</v>
      </c>
      <c r="C997" t="s">
        <v>1268</v>
      </c>
      <c r="D997" t="s">
        <v>378</v>
      </c>
      <c r="E997" t="s">
        <v>729</v>
      </c>
      <c r="F997">
        <v>87</v>
      </c>
      <c r="G997">
        <v>1938</v>
      </c>
      <c r="H997">
        <v>411</v>
      </c>
      <c r="I997">
        <v>2.907</v>
      </c>
      <c r="J997">
        <v>167.59</v>
      </c>
      <c r="K997">
        <v>40</v>
      </c>
    </row>
    <row r="998" spans="1:11" x14ac:dyDescent="0.4">
      <c r="A998">
        <v>17049</v>
      </c>
      <c r="B998" t="s">
        <v>1471</v>
      </c>
      <c r="C998" t="s">
        <v>485</v>
      </c>
      <c r="E998" t="s">
        <v>424</v>
      </c>
      <c r="F998">
        <v>36</v>
      </c>
      <c r="G998">
        <v>1951</v>
      </c>
      <c r="H998">
        <v>1004</v>
      </c>
      <c r="I998">
        <v>0</v>
      </c>
      <c r="J998">
        <v>0</v>
      </c>
      <c r="K998">
        <v>0</v>
      </c>
    </row>
    <row r="999" spans="1:11" x14ac:dyDescent="0.4">
      <c r="A999">
        <v>19044</v>
      </c>
      <c r="B999" t="s">
        <v>1359</v>
      </c>
      <c r="C999" t="s">
        <v>1065</v>
      </c>
      <c r="D999" t="s">
        <v>546</v>
      </c>
      <c r="E999" t="s">
        <v>237</v>
      </c>
      <c r="F999">
        <v>1</v>
      </c>
      <c r="G999">
        <v>2007</v>
      </c>
      <c r="H999">
        <v>477</v>
      </c>
      <c r="I999">
        <v>3</v>
      </c>
      <c r="J999">
        <v>110.42700000000001</v>
      </c>
      <c r="K999">
        <v>0</v>
      </c>
    </row>
    <row r="1000" spans="1:11" x14ac:dyDescent="0.4">
      <c r="A1000">
        <v>20575</v>
      </c>
      <c r="B1000" t="s">
        <v>1360</v>
      </c>
      <c r="C1000" t="s">
        <v>886</v>
      </c>
      <c r="D1000" t="s">
        <v>508</v>
      </c>
      <c r="E1000" t="s">
        <v>237</v>
      </c>
      <c r="F1000">
        <v>1</v>
      </c>
      <c r="G1000">
        <v>2009</v>
      </c>
      <c r="H1000">
        <v>1005</v>
      </c>
      <c r="I1000">
        <v>0</v>
      </c>
      <c r="J1000">
        <v>0</v>
      </c>
      <c r="K1000">
        <v>0</v>
      </c>
    </row>
    <row r="1001" spans="1:11" x14ac:dyDescent="0.4">
      <c r="A1001">
        <v>15026</v>
      </c>
      <c r="B1001" t="s">
        <v>1361</v>
      </c>
      <c r="C1001" t="s">
        <v>526</v>
      </c>
      <c r="E1001" t="s">
        <v>160</v>
      </c>
      <c r="F1001">
        <v>64</v>
      </c>
      <c r="G1001">
        <v>1964</v>
      </c>
      <c r="H1001">
        <v>1006</v>
      </c>
      <c r="I1001">
        <v>0</v>
      </c>
      <c r="J1001">
        <v>0</v>
      </c>
      <c r="K1001">
        <v>0</v>
      </c>
    </row>
    <row r="1002" spans="1:11" x14ac:dyDescent="0.4">
      <c r="A1002">
        <v>16059</v>
      </c>
      <c r="B1002" t="s">
        <v>1361</v>
      </c>
      <c r="C1002" t="s">
        <v>554</v>
      </c>
      <c r="E1002" t="s">
        <v>514</v>
      </c>
      <c r="F1002">
        <v>83</v>
      </c>
      <c r="G1002">
        <v>1975</v>
      </c>
      <c r="H1002">
        <v>1007</v>
      </c>
      <c r="I1002">
        <v>0</v>
      </c>
      <c r="J1002">
        <v>0</v>
      </c>
      <c r="K1002">
        <v>0</v>
      </c>
    </row>
    <row r="1003" spans="1:11" x14ac:dyDescent="0.4">
      <c r="A1003">
        <v>24258</v>
      </c>
      <c r="B1003" t="s">
        <v>1361</v>
      </c>
      <c r="C1003" t="s">
        <v>1432</v>
      </c>
      <c r="E1003" t="s">
        <v>237</v>
      </c>
      <c r="F1003">
        <v>1</v>
      </c>
      <c r="G1003">
        <v>1942</v>
      </c>
      <c r="H1003">
        <v>1008</v>
      </c>
      <c r="I1003">
        <v>0</v>
      </c>
      <c r="J1003">
        <v>0</v>
      </c>
      <c r="K1003">
        <v>0</v>
      </c>
    </row>
    <row r="1004" spans="1:11" x14ac:dyDescent="0.4">
      <c r="A1004">
        <v>98369</v>
      </c>
      <c r="B1004" t="s">
        <v>1472</v>
      </c>
      <c r="C1004" t="s">
        <v>573</v>
      </c>
      <c r="D1004" t="s">
        <v>378</v>
      </c>
      <c r="E1004" t="s">
        <v>619</v>
      </c>
      <c r="F1004">
        <v>28</v>
      </c>
      <c r="G1004">
        <v>1957</v>
      </c>
      <c r="H1004">
        <v>1009</v>
      </c>
      <c r="I1004">
        <v>0</v>
      </c>
      <c r="J1004">
        <v>0</v>
      </c>
      <c r="K1004">
        <v>0</v>
      </c>
    </row>
    <row r="1005" spans="1:11" x14ac:dyDescent="0.4">
      <c r="A1005">
        <v>20522</v>
      </c>
      <c r="B1005" t="s">
        <v>1473</v>
      </c>
      <c r="C1005" t="s">
        <v>532</v>
      </c>
      <c r="D1005" t="s">
        <v>508</v>
      </c>
      <c r="E1005" t="s">
        <v>684</v>
      </c>
      <c r="F1005">
        <v>77</v>
      </c>
      <c r="G1005">
        <v>2009</v>
      </c>
      <c r="H1005">
        <v>1010</v>
      </c>
      <c r="I1005">
        <v>0</v>
      </c>
      <c r="J1005">
        <v>0</v>
      </c>
      <c r="K1005">
        <v>0</v>
      </c>
    </row>
    <row r="1006" spans="1:11" x14ac:dyDescent="0.4">
      <c r="A1006">
        <v>19057</v>
      </c>
      <c r="B1006" t="s">
        <v>1362</v>
      </c>
      <c r="C1006" t="s">
        <v>814</v>
      </c>
      <c r="D1006" t="s">
        <v>546</v>
      </c>
      <c r="E1006" t="s">
        <v>684</v>
      </c>
      <c r="F1006">
        <v>77</v>
      </c>
      <c r="G1006">
        <v>2007</v>
      </c>
      <c r="H1006">
        <v>1011</v>
      </c>
      <c r="I1006">
        <v>0</v>
      </c>
      <c r="J1006">
        <v>0</v>
      </c>
      <c r="K1006">
        <v>0</v>
      </c>
    </row>
    <row r="1007" spans="1:11" x14ac:dyDescent="0.4">
      <c r="A1007">
        <v>24275</v>
      </c>
      <c r="B1007" t="s">
        <v>1362</v>
      </c>
      <c r="C1007" t="s">
        <v>585</v>
      </c>
      <c r="E1007" t="s">
        <v>456</v>
      </c>
      <c r="F1007">
        <v>52</v>
      </c>
      <c r="G1007">
        <v>1963</v>
      </c>
      <c r="H1007">
        <v>357</v>
      </c>
      <c r="I1007">
        <v>7.125</v>
      </c>
      <c r="J1007">
        <v>232.03</v>
      </c>
      <c r="K1007">
        <v>36</v>
      </c>
    </row>
    <row r="1008" spans="1:11" x14ac:dyDescent="0.4">
      <c r="A1008">
        <v>14019</v>
      </c>
      <c r="B1008" t="s">
        <v>1474</v>
      </c>
      <c r="C1008" t="s">
        <v>673</v>
      </c>
      <c r="D1008" t="s">
        <v>378</v>
      </c>
      <c r="E1008" t="s">
        <v>166</v>
      </c>
      <c r="F1008">
        <v>54</v>
      </c>
      <c r="G1008">
        <v>1945</v>
      </c>
      <c r="H1008">
        <v>1012</v>
      </c>
      <c r="I1008">
        <v>0</v>
      </c>
      <c r="J1008">
        <v>0</v>
      </c>
      <c r="K1008">
        <v>0</v>
      </c>
    </row>
    <row r="1009" spans="1:11" x14ac:dyDescent="0.4">
      <c r="A1009">
        <v>27080</v>
      </c>
      <c r="B1009" t="s">
        <v>1363</v>
      </c>
      <c r="C1009" t="s">
        <v>490</v>
      </c>
      <c r="E1009" t="s">
        <v>355</v>
      </c>
      <c r="F1009">
        <v>42</v>
      </c>
      <c r="G1009">
        <v>1970</v>
      </c>
      <c r="H1009">
        <v>280</v>
      </c>
      <c r="I1009">
        <v>4.0469999999999997</v>
      </c>
      <c r="J1009">
        <v>391.94099999999997</v>
      </c>
      <c r="K1009">
        <v>204</v>
      </c>
    </row>
    <row r="1010" spans="1:11" x14ac:dyDescent="0.4">
      <c r="A1010">
        <v>15028</v>
      </c>
      <c r="B1010" t="s">
        <v>1475</v>
      </c>
      <c r="C1010" t="s">
        <v>639</v>
      </c>
      <c r="E1010" t="s">
        <v>488</v>
      </c>
      <c r="F1010">
        <v>79</v>
      </c>
      <c r="G1010">
        <v>1987</v>
      </c>
      <c r="H1010">
        <v>342</v>
      </c>
      <c r="I1010">
        <v>6.5940000000000003</v>
      </c>
      <c r="J1010">
        <v>255.16399999999999</v>
      </c>
      <c r="K1010">
        <v>0</v>
      </c>
    </row>
    <row r="1011" spans="1:11" x14ac:dyDescent="0.4">
      <c r="A1011">
        <v>23086</v>
      </c>
      <c r="B1011" t="s">
        <v>1366</v>
      </c>
      <c r="C1011" t="s">
        <v>500</v>
      </c>
      <c r="E1011" t="s">
        <v>438</v>
      </c>
      <c r="F1011">
        <v>43</v>
      </c>
      <c r="G1011">
        <v>1955</v>
      </c>
      <c r="H1011">
        <v>28</v>
      </c>
      <c r="I1011">
        <v>35.313000000000002</v>
      </c>
      <c r="J1011">
        <v>2167.6759999999999</v>
      </c>
      <c r="K1011">
        <v>708</v>
      </c>
    </row>
    <row r="1012" spans="1:11" x14ac:dyDescent="0.4">
      <c r="A1012">
        <v>16090</v>
      </c>
      <c r="B1012" t="s">
        <v>1476</v>
      </c>
      <c r="C1012" t="s">
        <v>601</v>
      </c>
      <c r="D1012" t="s">
        <v>378</v>
      </c>
      <c r="E1012" t="s">
        <v>729</v>
      </c>
      <c r="F1012">
        <v>87</v>
      </c>
      <c r="G1012">
        <v>1945</v>
      </c>
      <c r="H1012">
        <v>505</v>
      </c>
      <c r="I1012">
        <v>0.93799999999999994</v>
      </c>
      <c r="J1012">
        <v>93.903999999999996</v>
      </c>
      <c r="K1012">
        <v>49</v>
      </c>
    </row>
    <row r="1013" spans="1:11" x14ac:dyDescent="0.4">
      <c r="A1013">
        <v>26010</v>
      </c>
      <c r="B1013" t="s">
        <v>1367</v>
      </c>
      <c r="C1013" t="s">
        <v>526</v>
      </c>
      <c r="E1013" t="s">
        <v>237</v>
      </c>
      <c r="F1013">
        <v>1</v>
      </c>
      <c r="G1013">
        <v>1953</v>
      </c>
      <c r="H1013">
        <v>45</v>
      </c>
      <c r="I1013">
        <v>29.814</v>
      </c>
      <c r="J1013">
        <v>1877.8589999999999</v>
      </c>
      <c r="K1013">
        <v>546</v>
      </c>
    </row>
    <row r="1014" spans="1:11" x14ac:dyDescent="0.4">
      <c r="A1014">
        <v>14022</v>
      </c>
      <c r="B1014" t="s">
        <v>1368</v>
      </c>
      <c r="C1014" t="s">
        <v>573</v>
      </c>
      <c r="D1014" t="s">
        <v>378</v>
      </c>
      <c r="E1014" t="s">
        <v>1407</v>
      </c>
      <c r="F1014">
        <v>55</v>
      </c>
      <c r="G1014">
        <v>1985</v>
      </c>
      <c r="H1014">
        <v>1013</v>
      </c>
      <c r="I1014">
        <v>0</v>
      </c>
      <c r="J1014">
        <v>0</v>
      </c>
      <c r="K1014">
        <v>0</v>
      </c>
    </row>
    <row r="1015" spans="1:11" x14ac:dyDescent="0.4">
      <c r="A1015">
        <v>28009</v>
      </c>
      <c r="B1015" t="s">
        <v>1368</v>
      </c>
      <c r="C1015" t="s">
        <v>1060</v>
      </c>
      <c r="D1015" t="s">
        <v>378</v>
      </c>
      <c r="E1015" t="s">
        <v>237</v>
      </c>
      <c r="F1015">
        <v>1</v>
      </c>
      <c r="G1015">
        <v>1955</v>
      </c>
      <c r="H1015">
        <v>449</v>
      </c>
      <c r="I1015">
        <v>2.657</v>
      </c>
      <c r="J1015">
        <v>134.91499999999999</v>
      </c>
      <c r="K1015">
        <v>33</v>
      </c>
    </row>
    <row r="1016" spans="1:11" x14ac:dyDescent="0.4">
      <c r="A1016">
        <v>16066</v>
      </c>
      <c r="B1016" t="s">
        <v>1477</v>
      </c>
      <c r="C1016" t="s">
        <v>1478</v>
      </c>
      <c r="D1016" t="s">
        <v>378</v>
      </c>
      <c r="E1016" t="s">
        <v>1400</v>
      </c>
      <c r="F1016">
        <v>70</v>
      </c>
      <c r="G1016">
        <v>1945</v>
      </c>
      <c r="H1016">
        <v>1014</v>
      </c>
      <c r="I1016">
        <v>0</v>
      </c>
      <c r="J1016">
        <v>0</v>
      </c>
      <c r="K1016">
        <v>0</v>
      </c>
    </row>
    <row r="1017" spans="1:11" x14ac:dyDescent="0.4">
      <c r="A1017">
        <v>20509</v>
      </c>
      <c r="B1017" t="s">
        <v>1369</v>
      </c>
      <c r="C1017" t="s">
        <v>596</v>
      </c>
      <c r="E1017" t="s">
        <v>304</v>
      </c>
      <c r="F1017">
        <v>45</v>
      </c>
      <c r="G1017">
        <v>1971</v>
      </c>
      <c r="H1017">
        <v>399</v>
      </c>
      <c r="I1017">
        <v>3.125</v>
      </c>
      <c r="J1017">
        <v>181.60400000000001</v>
      </c>
      <c r="K1017">
        <v>54</v>
      </c>
    </row>
    <row r="1018" spans="1:11" x14ac:dyDescent="0.4">
      <c r="A1018">
        <v>19031</v>
      </c>
      <c r="B1018" t="s">
        <v>1370</v>
      </c>
      <c r="C1018" t="s">
        <v>669</v>
      </c>
      <c r="D1018" t="s">
        <v>546</v>
      </c>
      <c r="E1018" t="s">
        <v>214</v>
      </c>
      <c r="F1018">
        <v>69</v>
      </c>
      <c r="G1018">
        <v>2006</v>
      </c>
      <c r="H1018">
        <v>265</v>
      </c>
      <c r="I1018">
        <v>8.2210000000000001</v>
      </c>
      <c r="J1018">
        <v>423.82600000000002</v>
      </c>
      <c r="K1018">
        <v>141</v>
      </c>
    </row>
    <row r="1019" spans="1:11" x14ac:dyDescent="0.4">
      <c r="A1019">
        <v>19017</v>
      </c>
      <c r="B1019" t="s">
        <v>1479</v>
      </c>
      <c r="C1019" t="s">
        <v>532</v>
      </c>
      <c r="D1019" t="s">
        <v>378</v>
      </c>
      <c r="E1019" t="s">
        <v>320</v>
      </c>
      <c r="F1019">
        <v>86</v>
      </c>
      <c r="G1019">
        <v>1995</v>
      </c>
      <c r="H1019">
        <v>1015</v>
      </c>
      <c r="I1019">
        <v>0</v>
      </c>
      <c r="J1019">
        <v>0</v>
      </c>
      <c r="K1019">
        <v>0</v>
      </c>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List3">
    <tabColor rgb="FF00B0F0"/>
  </sheetPr>
  <dimension ref="A1:H668"/>
  <sheetViews>
    <sheetView workbookViewId="0">
      <selection sqref="A1:F292"/>
    </sheetView>
  </sheetViews>
  <sheetFormatPr defaultRowHeight="12" x14ac:dyDescent="0.4"/>
  <cols>
    <col min="1" max="1" width="6.58203125" customWidth="1"/>
    <col min="2" max="2" width="39.75" customWidth="1"/>
    <col min="3" max="3" width="28.83203125" customWidth="1"/>
    <col min="4" max="4" width="9.58203125" customWidth="1"/>
    <col min="5" max="5" width="14.1640625" customWidth="1"/>
    <col min="6" max="6" width="11.4140625" customWidth="1"/>
  </cols>
  <sheetData>
    <row r="1" spans="1:8" ht="31.2" customHeight="1" x14ac:dyDescent="0.5">
      <c r="A1" s="453"/>
      <c r="B1" s="453"/>
      <c r="C1" s="453"/>
      <c r="D1" s="453"/>
      <c r="E1" s="454">
        <v>24039</v>
      </c>
      <c r="F1" s="454"/>
      <c r="G1" s="301" t="s">
        <v>1480</v>
      </c>
      <c r="H1" s="13"/>
    </row>
    <row r="2" spans="1:8" ht="13.2" customHeight="1" x14ac:dyDescent="0.4">
      <c r="A2" s="453"/>
      <c r="B2" s="453" t="s">
        <v>1718</v>
      </c>
      <c r="C2" s="455"/>
      <c r="D2" s="453"/>
      <c r="E2" s="453"/>
      <c r="F2" s="453"/>
      <c r="H2" s="13"/>
    </row>
    <row r="3" spans="1:8" ht="13.2" customHeight="1" thickBot="1" x14ac:dyDescent="0.5">
      <c r="A3" s="456" t="s">
        <v>1719</v>
      </c>
      <c r="B3" s="456" t="s">
        <v>209</v>
      </c>
      <c r="C3" s="457" t="s">
        <v>1720</v>
      </c>
      <c r="D3" s="456"/>
      <c r="E3" s="458">
        <v>45410</v>
      </c>
      <c r="F3" s="459" t="s">
        <v>1721</v>
      </c>
      <c r="G3" s="299" t="s">
        <v>1481</v>
      </c>
      <c r="H3" s="13"/>
    </row>
    <row r="4" spans="1:8" ht="10.95" customHeight="1" x14ac:dyDescent="0.45">
      <c r="A4" s="453"/>
      <c r="B4" s="453"/>
      <c r="C4" s="453"/>
      <c r="D4" s="453"/>
      <c r="E4" s="453"/>
      <c r="F4" s="453"/>
      <c r="G4" s="299" t="s">
        <v>1482</v>
      </c>
      <c r="H4" s="13"/>
    </row>
    <row r="5" spans="1:8" ht="13.2" customHeight="1" x14ac:dyDescent="0.45">
      <c r="A5" s="453"/>
      <c r="B5" s="453"/>
      <c r="C5" s="453"/>
      <c r="D5" s="453"/>
      <c r="E5" s="453"/>
      <c r="F5" s="453"/>
      <c r="G5" s="299" t="s">
        <v>1483</v>
      </c>
      <c r="H5" s="13"/>
    </row>
    <row r="6" spans="1:8" ht="26.5" customHeight="1" x14ac:dyDescent="0.4">
      <c r="A6" s="453"/>
      <c r="B6" s="453"/>
      <c r="C6" s="453"/>
      <c r="D6" s="453"/>
      <c r="E6" s="453"/>
      <c r="F6" s="453"/>
      <c r="G6" s="13"/>
      <c r="H6" s="13"/>
    </row>
    <row r="7" spans="1:8" ht="8.5" customHeight="1" thickBot="1" x14ac:dyDescent="0.45">
      <c r="A7" s="453"/>
      <c r="B7" s="453"/>
      <c r="C7" s="453"/>
      <c r="D7" s="453"/>
      <c r="E7" s="453"/>
      <c r="F7" s="453"/>
      <c r="G7" s="13"/>
      <c r="H7" s="13"/>
    </row>
    <row r="8" spans="1:8" ht="26.5" customHeight="1" thickBot="1" x14ac:dyDescent="0.5">
      <c r="A8" s="460" t="s">
        <v>1722</v>
      </c>
      <c r="B8" s="462" t="s">
        <v>1723</v>
      </c>
      <c r="C8" s="461" t="s">
        <v>1541</v>
      </c>
      <c r="D8" s="461">
        <v>1</v>
      </c>
      <c r="E8" s="460" t="s">
        <v>1542</v>
      </c>
      <c r="F8" s="460" t="s">
        <v>1724</v>
      </c>
      <c r="G8" s="299"/>
      <c r="H8" s="13"/>
    </row>
    <row r="9" spans="1:8" ht="12.9" x14ac:dyDescent="0.45">
      <c r="A9" s="463">
        <v>29062</v>
      </c>
      <c r="B9" s="464" t="s">
        <v>1725</v>
      </c>
      <c r="C9" s="464" t="s">
        <v>399</v>
      </c>
      <c r="D9" s="464"/>
      <c r="E9" s="463">
        <v>2</v>
      </c>
      <c r="F9" s="463" t="s">
        <v>1726</v>
      </c>
      <c r="G9" s="299" t="s">
        <v>1484</v>
      </c>
      <c r="H9" s="13"/>
    </row>
    <row r="10" spans="1:8" ht="12.9" x14ac:dyDescent="0.45">
      <c r="A10" s="453"/>
      <c r="B10" s="453"/>
      <c r="C10" s="453"/>
      <c r="D10" s="453"/>
      <c r="E10" s="453"/>
      <c r="F10" s="453"/>
      <c r="G10" s="299" t="s">
        <v>1485</v>
      </c>
      <c r="H10" s="13"/>
    </row>
    <row r="11" spans="1:8" x14ac:dyDescent="0.4">
      <c r="A11" s="453"/>
      <c r="B11" s="453"/>
      <c r="C11" s="453"/>
      <c r="D11" s="453"/>
      <c r="E11" s="453"/>
      <c r="F11" s="453"/>
      <c r="H11" s="13"/>
    </row>
    <row r="12" spans="1:8" ht="13.3" thickBot="1" x14ac:dyDescent="0.5">
      <c r="A12" s="453"/>
      <c r="B12" s="453"/>
      <c r="C12" s="453"/>
      <c r="D12" s="453"/>
      <c r="E12" s="453"/>
      <c r="F12" s="453"/>
      <c r="G12" s="299"/>
      <c r="H12" s="13"/>
    </row>
    <row r="13" spans="1:8" ht="33.9" thickBot="1" x14ac:dyDescent="0.5">
      <c r="A13" s="460" t="s">
        <v>1722</v>
      </c>
      <c r="B13" s="462" t="s">
        <v>1723</v>
      </c>
      <c r="C13" s="461" t="s">
        <v>1541</v>
      </c>
      <c r="D13" s="461">
        <v>2</v>
      </c>
      <c r="E13" s="460" t="s">
        <v>1542</v>
      </c>
      <c r="F13" s="460" t="s">
        <v>1727</v>
      </c>
      <c r="G13" s="299"/>
      <c r="H13" s="13"/>
    </row>
    <row r="14" spans="1:8" ht="12.9" x14ac:dyDescent="0.45">
      <c r="A14" s="463">
        <v>11039</v>
      </c>
      <c r="B14" s="464" t="s">
        <v>1728</v>
      </c>
      <c r="C14" s="464" t="s">
        <v>978</v>
      </c>
      <c r="D14" s="464"/>
      <c r="E14" s="463">
        <v>3</v>
      </c>
      <c r="F14" s="463" t="s">
        <v>1729</v>
      </c>
      <c r="G14" s="299"/>
      <c r="H14" s="13"/>
    </row>
    <row r="15" spans="1:8" ht="12.9" x14ac:dyDescent="0.45">
      <c r="A15" s="453"/>
      <c r="B15" s="453"/>
      <c r="C15" s="453"/>
      <c r="D15" s="453"/>
      <c r="E15" s="453"/>
      <c r="F15" s="453"/>
      <c r="G15" s="299"/>
      <c r="H15" s="13"/>
    </row>
    <row r="16" spans="1:8" ht="12.9" x14ac:dyDescent="0.45">
      <c r="A16" s="453"/>
      <c r="B16" s="453"/>
      <c r="C16" s="453"/>
      <c r="D16" s="453"/>
      <c r="E16" s="453"/>
      <c r="F16" s="453"/>
      <c r="G16" s="299"/>
      <c r="H16" s="13"/>
    </row>
    <row r="17" spans="1:8" ht="13.3" thickBot="1" x14ac:dyDescent="0.5">
      <c r="A17" s="453"/>
      <c r="B17" s="453"/>
      <c r="C17" s="453"/>
      <c r="D17" s="453"/>
      <c r="E17" s="453"/>
      <c r="F17" s="453"/>
      <c r="G17" s="299"/>
      <c r="H17" s="13"/>
    </row>
    <row r="18" spans="1:8" ht="33.9" thickBot="1" x14ac:dyDescent="0.5">
      <c r="A18" s="460" t="s">
        <v>1722</v>
      </c>
      <c r="B18" s="462" t="s">
        <v>1723</v>
      </c>
      <c r="C18" s="461" t="s">
        <v>1541</v>
      </c>
      <c r="D18" s="461">
        <v>3</v>
      </c>
      <c r="E18" s="460" t="s">
        <v>1542</v>
      </c>
      <c r="F18" s="460" t="s">
        <v>1730</v>
      </c>
      <c r="G18" s="299"/>
      <c r="H18" s="13"/>
    </row>
    <row r="19" spans="1:8" ht="12.9" x14ac:dyDescent="0.45">
      <c r="A19" s="463">
        <v>14075</v>
      </c>
      <c r="B19" s="464" t="s">
        <v>1731</v>
      </c>
      <c r="C19" s="464" t="s">
        <v>399</v>
      </c>
      <c r="D19" s="464"/>
      <c r="E19" s="463">
        <v>4</v>
      </c>
      <c r="F19" s="463" t="s">
        <v>1732</v>
      </c>
      <c r="G19" s="299"/>
      <c r="H19" s="13"/>
    </row>
    <row r="20" spans="1:8" x14ac:dyDescent="0.4">
      <c r="A20" s="453"/>
      <c r="B20" s="453"/>
      <c r="C20" s="453"/>
      <c r="D20" s="453"/>
      <c r="E20" s="453"/>
      <c r="F20" s="453"/>
      <c r="G20" s="13"/>
      <c r="H20" s="13"/>
    </row>
    <row r="21" spans="1:8" x14ac:dyDescent="0.4">
      <c r="A21" s="453"/>
      <c r="B21" s="453"/>
      <c r="C21" s="453"/>
      <c r="D21" s="453"/>
      <c r="E21" s="453"/>
      <c r="F21" s="453"/>
      <c r="G21" s="13"/>
      <c r="H21" s="13"/>
    </row>
    <row r="22" spans="1:8" ht="12.45" thickBot="1" x14ac:dyDescent="0.45">
      <c r="A22" s="453"/>
      <c r="B22" s="453"/>
      <c r="C22" s="453"/>
      <c r="D22" s="453"/>
      <c r="E22" s="453"/>
      <c r="F22" s="453"/>
      <c r="G22" s="13"/>
      <c r="H22" s="13"/>
    </row>
    <row r="23" spans="1:8" ht="33.9" thickBot="1" x14ac:dyDescent="0.45">
      <c r="A23" s="460" t="s">
        <v>1722</v>
      </c>
      <c r="B23" s="462" t="s">
        <v>1723</v>
      </c>
      <c r="C23" s="461" t="s">
        <v>1541</v>
      </c>
      <c r="D23" s="461">
        <v>4</v>
      </c>
      <c r="E23" s="460" t="s">
        <v>1542</v>
      </c>
      <c r="F23" s="460" t="s">
        <v>1733</v>
      </c>
      <c r="G23" s="13"/>
      <c r="H23" s="13"/>
    </row>
    <row r="24" spans="1:8" x14ac:dyDescent="0.4">
      <c r="A24" s="463">
        <v>27015</v>
      </c>
      <c r="B24" s="464" t="s">
        <v>1734</v>
      </c>
      <c r="C24" s="464" t="s">
        <v>371</v>
      </c>
      <c r="D24" s="464"/>
      <c r="E24" s="463">
        <v>28</v>
      </c>
      <c r="F24" s="463" t="s">
        <v>1735</v>
      </c>
      <c r="G24" s="13"/>
      <c r="H24" s="13"/>
    </row>
    <row r="25" spans="1:8" x14ac:dyDescent="0.4">
      <c r="A25" s="453"/>
      <c r="B25" s="453"/>
      <c r="C25" s="453"/>
      <c r="D25" s="453"/>
      <c r="E25" s="453"/>
      <c r="F25" s="453"/>
      <c r="G25" s="13"/>
      <c r="H25" s="13"/>
    </row>
    <row r="26" spans="1:8" x14ac:dyDescent="0.4">
      <c r="A26" s="453"/>
      <c r="B26" s="453"/>
      <c r="C26" s="453"/>
      <c r="D26" s="453"/>
      <c r="E26" s="453"/>
      <c r="F26" s="453"/>
      <c r="G26" s="13"/>
      <c r="H26" s="13"/>
    </row>
    <row r="27" spans="1:8" ht="12.45" thickBot="1" x14ac:dyDescent="0.45">
      <c r="A27" s="453"/>
      <c r="B27" s="453"/>
      <c r="C27" s="453"/>
      <c r="D27" s="453"/>
      <c r="E27" s="453"/>
      <c r="F27" s="453"/>
      <c r="G27" s="13"/>
      <c r="H27" s="13"/>
    </row>
    <row r="28" spans="1:8" ht="33.9" thickBot="1" x14ac:dyDescent="0.45">
      <c r="A28" s="460" t="s">
        <v>1722</v>
      </c>
      <c r="B28" s="462" t="s">
        <v>1723</v>
      </c>
      <c r="C28" s="461" t="s">
        <v>1541</v>
      </c>
      <c r="D28" s="461">
        <v>5</v>
      </c>
      <c r="E28" s="460" t="s">
        <v>1542</v>
      </c>
      <c r="F28" s="460" t="s">
        <v>1736</v>
      </c>
      <c r="G28" s="13"/>
      <c r="H28" s="13"/>
    </row>
    <row r="29" spans="1:8" x14ac:dyDescent="0.4">
      <c r="A29" s="463">
        <v>13027</v>
      </c>
      <c r="B29" s="464" t="s">
        <v>1737</v>
      </c>
      <c r="C29" s="464" t="s">
        <v>160</v>
      </c>
      <c r="D29" s="464"/>
      <c r="E29" s="463">
        <v>52</v>
      </c>
      <c r="F29" s="463" t="s">
        <v>1738</v>
      </c>
      <c r="G29" s="13"/>
      <c r="H29" s="13"/>
    </row>
    <row r="30" spans="1:8" x14ac:dyDescent="0.4">
      <c r="A30" s="453"/>
      <c r="B30" s="453"/>
      <c r="C30" s="453"/>
      <c r="D30" s="453"/>
      <c r="E30" s="453"/>
      <c r="F30" s="453"/>
      <c r="G30" s="13"/>
      <c r="H30" s="13"/>
    </row>
    <row r="31" spans="1:8" x14ac:dyDescent="0.4">
      <c r="A31" s="453"/>
      <c r="B31" s="453"/>
      <c r="C31" s="453"/>
      <c r="D31" s="453"/>
      <c r="E31" s="453"/>
      <c r="F31" s="453"/>
      <c r="G31" s="13"/>
      <c r="H31" s="13"/>
    </row>
    <row r="32" spans="1:8" ht="12.45" thickBot="1" x14ac:dyDescent="0.45">
      <c r="A32" s="453"/>
      <c r="B32" s="453"/>
      <c r="C32" s="453"/>
      <c r="D32" s="453"/>
      <c r="E32" s="453"/>
      <c r="F32" s="453"/>
      <c r="G32" s="13"/>
      <c r="H32" s="13"/>
    </row>
    <row r="33" spans="1:8" ht="33.9" thickBot="1" x14ac:dyDescent="0.45">
      <c r="A33" s="460" t="s">
        <v>1722</v>
      </c>
      <c r="B33" s="462" t="s">
        <v>1723</v>
      </c>
      <c r="C33" s="461" t="s">
        <v>1541</v>
      </c>
      <c r="D33" s="461">
        <v>6</v>
      </c>
      <c r="E33" s="460" t="s">
        <v>1542</v>
      </c>
      <c r="F33" s="460" t="s">
        <v>1739</v>
      </c>
      <c r="G33" s="13"/>
      <c r="H33" s="13"/>
    </row>
    <row r="34" spans="1:8" x14ac:dyDescent="0.4">
      <c r="A34" s="463">
        <v>13029</v>
      </c>
      <c r="B34" s="464" t="s">
        <v>1740</v>
      </c>
      <c r="C34" s="464" t="s">
        <v>160</v>
      </c>
      <c r="D34" s="464"/>
      <c r="E34" s="463">
        <v>54</v>
      </c>
      <c r="F34" s="463" t="s">
        <v>1741</v>
      </c>
      <c r="G34" s="13"/>
      <c r="H34" s="13"/>
    </row>
    <row r="35" spans="1:8" x14ac:dyDescent="0.4">
      <c r="A35" s="453"/>
      <c r="B35" s="453"/>
      <c r="C35" s="453"/>
      <c r="D35" s="453"/>
      <c r="E35" s="453"/>
      <c r="F35" s="453"/>
      <c r="G35" s="13"/>
      <c r="H35" s="13"/>
    </row>
    <row r="36" spans="1:8" x14ac:dyDescent="0.4">
      <c r="A36" s="453"/>
      <c r="B36" s="453"/>
      <c r="C36" s="453"/>
      <c r="D36" s="453"/>
      <c r="E36" s="453"/>
      <c r="F36" s="453"/>
      <c r="G36" s="13"/>
      <c r="H36" s="13"/>
    </row>
    <row r="37" spans="1:8" ht="12.45" thickBot="1" x14ac:dyDescent="0.45">
      <c r="A37" s="453"/>
      <c r="B37" s="453"/>
      <c r="C37" s="453"/>
      <c r="D37" s="453"/>
      <c r="E37" s="453"/>
      <c r="F37" s="453"/>
      <c r="G37" s="13"/>
      <c r="H37" s="13"/>
    </row>
    <row r="38" spans="1:8" ht="33.9" thickBot="1" x14ac:dyDescent="0.45">
      <c r="A38" s="460" t="s">
        <v>1722</v>
      </c>
      <c r="B38" s="462" t="s">
        <v>1723</v>
      </c>
      <c r="C38" s="461" t="s">
        <v>1541</v>
      </c>
      <c r="D38" s="461">
        <v>7</v>
      </c>
      <c r="E38" s="460" t="s">
        <v>1542</v>
      </c>
      <c r="F38" s="460" t="s">
        <v>1742</v>
      </c>
      <c r="G38" s="13"/>
      <c r="H38" s="13"/>
    </row>
    <row r="39" spans="1:8" x14ac:dyDescent="0.4">
      <c r="A39" s="463">
        <v>22100</v>
      </c>
      <c r="B39" s="464" t="s">
        <v>1743</v>
      </c>
      <c r="C39" s="464" t="s">
        <v>371</v>
      </c>
      <c r="D39" s="464"/>
      <c r="E39" s="463">
        <v>19</v>
      </c>
      <c r="F39" s="463" t="s">
        <v>1744</v>
      </c>
      <c r="G39" s="13"/>
      <c r="H39" s="13"/>
    </row>
    <row r="40" spans="1:8" x14ac:dyDescent="0.4">
      <c r="A40" s="453"/>
      <c r="B40" s="453"/>
      <c r="C40" s="453"/>
      <c r="D40" s="453"/>
      <c r="E40" s="453"/>
      <c r="F40" s="453"/>
      <c r="G40" s="13"/>
      <c r="H40" s="13"/>
    </row>
    <row r="41" spans="1:8" x14ac:dyDescent="0.4">
      <c r="A41" s="453"/>
      <c r="B41" s="453"/>
      <c r="C41" s="453"/>
      <c r="D41" s="453"/>
      <c r="E41" s="453"/>
      <c r="F41" s="453"/>
      <c r="G41" s="13"/>
      <c r="H41" s="13"/>
    </row>
    <row r="42" spans="1:8" ht="12.45" thickBot="1" x14ac:dyDescent="0.45">
      <c r="A42" s="453"/>
      <c r="B42" s="453"/>
      <c r="C42" s="453"/>
      <c r="D42" s="453"/>
      <c r="E42" s="453"/>
      <c r="F42" s="453"/>
      <c r="G42" s="13"/>
      <c r="H42" s="13"/>
    </row>
    <row r="43" spans="1:8" ht="33.9" thickBot="1" x14ac:dyDescent="0.45">
      <c r="A43" s="460" t="s">
        <v>1722</v>
      </c>
      <c r="B43" s="462" t="s">
        <v>1723</v>
      </c>
      <c r="C43" s="461" t="s">
        <v>1541</v>
      </c>
      <c r="D43" s="461">
        <v>8</v>
      </c>
      <c r="E43" s="460" t="s">
        <v>1542</v>
      </c>
      <c r="F43" s="460" t="s">
        <v>1745</v>
      </c>
      <c r="G43" s="13"/>
      <c r="H43" s="13"/>
    </row>
    <row r="44" spans="1:8" x14ac:dyDescent="0.4">
      <c r="A44" s="463">
        <v>22183</v>
      </c>
      <c r="B44" s="464" t="s">
        <v>1746</v>
      </c>
      <c r="C44" s="464" t="s">
        <v>549</v>
      </c>
      <c r="D44" s="464"/>
      <c r="E44" s="463">
        <v>67</v>
      </c>
      <c r="F44" s="463" t="s">
        <v>1747</v>
      </c>
      <c r="G44" s="13"/>
      <c r="H44" s="13"/>
    </row>
    <row r="45" spans="1:8" x14ac:dyDescent="0.4">
      <c r="A45" s="453"/>
      <c r="B45" s="453"/>
      <c r="C45" s="453"/>
      <c r="D45" s="453"/>
      <c r="E45" s="453"/>
      <c r="F45" s="453"/>
      <c r="G45" s="13"/>
      <c r="H45" s="13"/>
    </row>
    <row r="46" spans="1:8" x14ac:dyDescent="0.4">
      <c r="A46" s="453"/>
      <c r="B46" s="453"/>
      <c r="C46" s="453"/>
      <c r="D46" s="453"/>
      <c r="E46" s="453"/>
      <c r="F46" s="453"/>
      <c r="G46" s="13"/>
      <c r="H46" s="13"/>
    </row>
    <row r="47" spans="1:8" ht="12.45" thickBot="1" x14ac:dyDescent="0.45">
      <c r="A47" s="453"/>
      <c r="B47" s="453"/>
      <c r="C47" s="453"/>
      <c r="D47" s="453"/>
      <c r="E47" s="453"/>
      <c r="F47" s="453"/>
      <c r="G47" s="13"/>
      <c r="H47" s="13"/>
    </row>
    <row r="48" spans="1:8" ht="33.9" thickBot="1" x14ac:dyDescent="0.45">
      <c r="A48" s="460" t="s">
        <v>1722</v>
      </c>
      <c r="B48" s="462" t="s">
        <v>1723</v>
      </c>
      <c r="C48" s="461" t="s">
        <v>1541</v>
      </c>
      <c r="D48" s="461">
        <v>9</v>
      </c>
      <c r="E48" s="460" t="s">
        <v>1542</v>
      </c>
      <c r="F48" s="460" t="s">
        <v>1748</v>
      </c>
      <c r="G48" s="13"/>
      <c r="H48" s="13"/>
    </row>
    <row r="49" spans="1:8" x14ac:dyDescent="0.4">
      <c r="A49" s="463">
        <v>15065</v>
      </c>
      <c r="B49" s="464" t="s">
        <v>1749</v>
      </c>
      <c r="C49" s="464" t="s">
        <v>454</v>
      </c>
      <c r="D49" s="464"/>
      <c r="E49" s="463">
        <v>44</v>
      </c>
      <c r="F49" s="463" t="s">
        <v>1750</v>
      </c>
      <c r="G49" s="13"/>
      <c r="H49" s="13"/>
    </row>
    <row r="50" spans="1:8" x14ac:dyDescent="0.4">
      <c r="A50" s="453"/>
      <c r="B50" s="453"/>
      <c r="C50" s="453"/>
      <c r="D50" s="453"/>
      <c r="E50" s="453"/>
      <c r="F50" s="453"/>
      <c r="G50" s="13"/>
      <c r="H50" s="13"/>
    </row>
    <row r="51" spans="1:8" x14ac:dyDescent="0.4">
      <c r="A51" s="453"/>
      <c r="B51" s="453"/>
      <c r="C51" s="453"/>
      <c r="D51" s="453"/>
      <c r="E51" s="453"/>
      <c r="F51" s="453"/>
      <c r="G51" s="13"/>
      <c r="H51" s="13"/>
    </row>
    <row r="52" spans="1:8" ht="12.45" thickBot="1" x14ac:dyDescent="0.45">
      <c r="A52" s="453"/>
      <c r="B52" s="453"/>
      <c r="C52" s="453"/>
      <c r="D52" s="453"/>
      <c r="E52" s="453"/>
      <c r="F52" s="453"/>
      <c r="G52" s="13"/>
      <c r="H52" s="13"/>
    </row>
    <row r="53" spans="1:8" ht="33.9" thickBot="1" x14ac:dyDescent="0.45">
      <c r="A53" s="460" t="s">
        <v>1722</v>
      </c>
      <c r="B53" s="462" t="s">
        <v>1723</v>
      </c>
      <c r="C53" s="461" t="s">
        <v>1541</v>
      </c>
      <c r="D53" s="461">
        <v>10</v>
      </c>
      <c r="E53" s="460" t="s">
        <v>1542</v>
      </c>
      <c r="F53" s="460" t="s">
        <v>1751</v>
      </c>
      <c r="G53" s="13"/>
      <c r="H53" s="13"/>
    </row>
    <row r="54" spans="1:8" x14ac:dyDescent="0.4">
      <c r="A54" s="463">
        <v>16117</v>
      </c>
      <c r="B54" s="464" t="s">
        <v>1752</v>
      </c>
      <c r="C54" s="464" t="s">
        <v>527</v>
      </c>
      <c r="D54" s="464"/>
      <c r="E54" s="463">
        <v>92</v>
      </c>
      <c r="F54" s="463" t="s">
        <v>1753</v>
      </c>
      <c r="G54" s="13"/>
      <c r="H54" s="13"/>
    </row>
    <row r="55" spans="1:8" x14ac:dyDescent="0.4">
      <c r="A55" s="453"/>
      <c r="B55" s="453"/>
      <c r="C55" s="453"/>
      <c r="D55" s="453"/>
      <c r="E55" s="453"/>
      <c r="F55" s="453"/>
      <c r="G55" s="13"/>
      <c r="H55" s="13"/>
    </row>
    <row r="56" spans="1:8" x14ac:dyDescent="0.4">
      <c r="A56" s="453"/>
      <c r="B56" s="453"/>
      <c r="C56" s="453"/>
      <c r="D56" s="453"/>
      <c r="E56" s="453"/>
      <c r="F56" s="453"/>
      <c r="G56" s="13"/>
      <c r="H56" s="13"/>
    </row>
    <row r="57" spans="1:8" ht="12.45" thickBot="1" x14ac:dyDescent="0.45">
      <c r="A57" s="453"/>
      <c r="B57" s="453"/>
      <c r="C57" s="453"/>
      <c r="D57" s="453"/>
      <c r="E57" s="453"/>
      <c r="F57" s="453"/>
      <c r="G57" s="13"/>
      <c r="H57" s="13"/>
    </row>
    <row r="58" spans="1:8" ht="33.9" thickBot="1" x14ac:dyDescent="0.45">
      <c r="A58" s="460" t="s">
        <v>1722</v>
      </c>
      <c r="B58" s="462" t="s">
        <v>1723</v>
      </c>
      <c r="C58" s="461" t="s">
        <v>1541</v>
      </c>
      <c r="D58" s="461">
        <v>11</v>
      </c>
      <c r="E58" s="460" t="s">
        <v>1542</v>
      </c>
      <c r="F58" s="460" t="s">
        <v>1754</v>
      </c>
      <c r="G58" s="13"/>
      <c r="H58" s="13"/>
    </row>
    <row r="59" spans="1:8" x14ac:dyDescent="0.4">
      <c r="A59" s="463">
        <v>14099</v>
      </c>
      <c r="B59" s="464" t="s">
        <v>1755</v>
      </c>
      <c r="C59" s="464" t="s">
        <v>488</v>
      </c>
      <c r="D59" s="464"/>
      <c r="E59" s="463">
        <v>78</v>
      </c>
      <c r="F59" s="463" t="s">
        <v>1756</v>
      </c>
      <c r="G59" s="13"/>
      <c r="H59" s="13"/>
    </row>
    <row r="60" spans="1:8" x14ac:dyDescent="0.4">
      <c r="A60" s="453"/>
      <c r="B60" s="453"/>
      <c r="C60" s="453"/>
      <c r="D60" s="453"/>
      <c r="E60" s="453"/>
      <c r="F60" s="453"/>
      <c r="G60" s="13"/>
      <c r="H60" s="13"/>
    </row>
    <row r="61" spans="1:8" x14ac:dyDescent="0.4">
      <c r="A61" s="453"/>
      <c r="B61" s="453"/>
      <c r="C61" s="453"/>
      <c r="D61" s="453"/>
      <c r="E61" s="453"/>
      <c r="F61" s="453"/>
      <c r="G61" s="13"/>
      <c r="H61" s="13"/>
    </row>
    <row r="62" spans="1:8" ht="12.45" thickBot="1" x14ac:dyDescent="0.45">
      <c r="A62" s="453"/>
      <c r="B62" s="453"/>
      <c r="C62" s="453"/>
      <c r="D62" s="453"/>
      <c r="E62" s="453"/>
      <c r="F62" s="453"/>
      <c r="G62" s="13"/>
      <c r="H62" s="13"/>
    </row>
    <row r="63" spans="1:8" ht="33.9" thickBot="1" x14ac:dyDescent="0.45">
      <c r="A63" s="460" t="s">
        <v>1722</v>
      </c>
      <c r="B63" s="462" t="s">
        <v>1723</v>
      </c>
      <c r="C63" s="461" t="s">
        <v>1541</v>
      </c>
      <c r="D63" s="461">
        <v>12</v>
      </c>
      <c r="E63" s="460" t="s">
        <v>1542</v>
      </c>
      <c r="F63" s="460" t="s">
        <v>1757</v>
      </c>
      <c r="G63" s="13"/>
      <c r="H63" s="13"/>
    </row>
    <row r="64" spans="1:8" x14ac:dyDescent="0.4">
      <c r="A64" s="463">
        <v>14079</v>
      </c>
      <c r="B64" s="464" t="s">
        <v>1758</v>
      </c>
      <c r="C64" s="464" t="s">
        <v>1759</v>
      </c>
      <c r="D64" s="464"/>
      <c r="E64" s="463">
        <v>110</v>
      </c>
      <c r="F64" s="463" t="s">
        <v>1760</v>
      </c>
      <c r="G64" s="13"/>
      <c r="H64" s="13"/>
    </row>
    <row r="65" spans="1:8" x14ac:dyDescent="0.4">
      <c r="A65" s="453"/>
      <c r="B65" s="453"/>
      <c r="C65" s="453"/>
      <c r="D65" s="453"/>
      <c r="E65" s="453"/>
      <c r="F65" s="453"/>
      <c r="G65" s="13"/>
      <c r="H65" s="13"/>
    </row>
    <row r="66" spans="1:8" x14ac:dyDescent="0.4">
      <c r="A66" s="453"/>
      <c r="B66" s="453"/>
      <c r="C66" s="453"/>
      <c r="D66" s="453"/>
      <c r="E66" s="453"/>
      <c r="F66" s="453"/>
      <c r="G66" s="13"/>
      <c r="H66" s="13"/>
    </row>
    <row r="67" spans="1:8" ht="12.45" thickBot="1" x14ac:dyDescent="0.45">
      <c r="A67" s="453"/>
      <c r="B67" s="453"/>
      <c r="C67" s="453"/>
      <c r="D67" s="453"/>
      <c r="E67" s="453"/>
      <c r="F67" s="453"/>
      <c r="G67" s="13"/>
      <c r="H67" s="13"/>
    </row>
    <row r="68" spans="1:8" ht="33.9" thickBot="1" x14ac:dyDescent="0.45">
      <c r="A68" s="460" t="s">
        <v>1722</v>
      </c>
      <c r="B68" s="462" t="s">
        <v>1723</v>
      </c>
      <c r="C68" s="461" t="s">
        <v>1541</v>
      </c>
      <c r="D68" s="461">
        <v>13</v>
      </c>
      <c r="E68" s="460" t="s">
        <v>1542</v>
      </c>
      <c r="F68" s="460" t="s">
        <v>1761</v>
      </c>
      <c r="G68" s="13"/>
      <c r="H68" s="13"/>
    </row>
    <row r="69" spans="1:8" x14ac:dyDescent="0.4">
      <c r="A69" s="463">
        <v>14074</v>
      </c>
      <c r="B69" s="464" t="s">
        <v>1762</v>
      </c>
      <c r="C69" s="464" t="s">
        <v>399</v>
      </c>
      <c r="D69" s="464"/>
      <c r="E69" s="463">
        <v>60</v>
      </c>
      <c r="F69" s="463" t="s">
        <v>1763</v>
      </c>
      <c r="G69" s="13"/>
      <c r="H69" s="13"/>
    </row>
    <row r="70" spans="1:8" x14ac:dyDescent="0.4">
      <c r="A70" s="453"/>
      <c r="B70" s="453"/>
      <c r="C70" s="453"/>
      <c r="D70" s="453"/>
      <c r="E70" s="453"/>
      <c r="F70" s="453"/>
      <c r="G70" s="13"/>
      <c r="H70" s="13"/>
    </row>
    <row r="71" spans="1:8" x14ac:dyDescent="0.4">
      <c r="A71" s="453"/>
      <c r="B71" s="453"/>
      <c r="C71" s="453"/>
      <c r="D71" s="453"/>
      <c r="E71" s="453"/>
      <c r="F71" s="453"/>
      <c r="G71" s="13"/>
      <c r="H71" s="13"/>
    </row>
    <row r="72" spans="1:8" ht="12.45" thickBot="1" x14ac:dyDescent="0.45">
      <c r="A72" s="453"/>
      <c r="B72" s="453"/>
      <c r="C72" s="453"/>
      <c r="D72" s="453"/>
      <c r="E72" s="453"/>
      <c r="F72" s="453"/>
      <c r="G72" s="13"/>
      <c r="H72" s="13"/>
    </row>
    <row r="73" spans="1:8" ht="33.9" thickBot="1" x14ac:dyDescent="0.45">
      <c r="A73" s="460" t="s">
        <v>1722</v>
      </c>
      <c r="B73" s="462" t="s">
        <v>1723</v>
      </c>
      <c r="C73" s="461" t="s">
        <v>1541</v>
      </c>
      <c r="D73" s="461">
        <v>14</v>
      </c>
      <c r="E73" s="460" t="s">
        <v>1542</v>
      </c>
      <c r="F73" s="460" t="s">
        <v>1764</v>
      </c>
      <c r="G73" s="13"/>
      <c r="H73" s="13"/>
    </row>
    <row r="74" spans="1:8" x14ac:dyDescent="0.4">
      <c r="A74" s="463">
        <v>98446</v>
      </c>
      <c r="B74" s="464" t="s">
        <v>1765</v>
      </c>
      <c r="C74" s="464" t="s">
        <v>399</v>
      </c>
      <c r="D74" s="464"/>
      <c r="E74" s="463">
        <v>114</v>
      </c>
      <c r="F74" s="463" t="s">
        <v>1766</v>
      </c>
      <c r="G74" s="13"/>
      <c r="H74" s="13"/>
    </row>
    <row r="75" spans="1:8" x14ac:dyDescent="0.4">
      <c r="A75" s="453"/>
      <c r="B75" s="453"/>
      <c r="C75" s="453"/>
      <c r="D75" s="453"/>
      <c r="E75" s="453"/>
      <c r="F75" s="453"/>
      <c r="G75" s="13"/>
      <c r="H75" s="13"/>
    </row>
    <row r="76" spans="1:8" x14ac:dyDescent="0.4">
      <c r="A76" s="453"/>
      <c r="B76" s="453"/>
      <c r="C76" s="453"/>
      <c r="D76" s="453"/>
      <c r="E76" s="453"/>
      <c r="F76" s="453"/>
      <c r="G76" s="13"/>
      <c r="H76" s="13"/>
    </row>
    <row r="77" spans="1:8" ht="12.45" thickBot="1" x14ac:dyDescent="0.45">
      <c r="A77" s="453"/>
      <c r="B77" s="453"/>
      <c r="C77" s="453"/>
      <c r="D77" s="453"/>
      <c r="E77" s="453"/>
      <c r="F77" s="453"/>
      <c r="G77" s="13"/>
      <c r="H77" s="13"/>
    </row>
    <row r="78" spans="1:8" ht="33.9" thickBot="1" x14ac:dyDescent="0.45">
      <c r="A78" s="460" t="s">
        <v>1722</v>
      </c>
      <c r="B78" s="462" t="s">
        <v>1723</v>
      </c>
      <c r="C78" s="461" t="s">
        <v>1541</v>
      </c>
      <c r="D78" s="461">
        <v>15</v>
      </c>
      <c r="E78" s="460" t="s">
        <v>1542</v>
      </c>
      <c r="F78" s="460" t="s">
        <v>1767</v>
      </c>
      <c r="G78" s="13"/>
      <c r="H78" s="13"/>
    </row>
    <row r="79" spans="1:8" x14ac:dyDescent="0.4">
      <c r="A79" s="463">
        <v>19001</v>
      </c>
      <c r="B79" s="464" t="s">
        <v>1768</v>
      </c>
      <c r="C79" s="464" t="s">
        <v>684</v>
      </c>
      <c r="D79" s="464"/>
      <c r="E79" s="463">
        <v>66</v>
      </c>
      <c r="F79" s="463" t="s">
        <v>1769</v>
      </c>
      <c r="G79" s="13"/>
      <c r="H79" s="13"/>
    </row>
    <row r="80" spans="1:8" x14ac:dyDescent="0.4">
      <c r="A80" s="453"/>
      <c r="B80" s="453"/>
      <c r="C80" s="453"/>
      <c r="D80" s="453"/>
      <c r="E80" s="453"/>
      <c r="F80" s="453"/>
      <c r="G80" s="13"/>
      <c r="H80" s="13"/>
    </row>
    <row r="81" spans="1:8" x14ac:dyDescent="0.4">
      <c r="A81" s="453"/>
      <c r="B81" s="453"/>
      <c r="C81" s="453"/>
      <c r="D81" s="453"/>
      <c r="E81" s="453"/>
      <c r="F81" s="453"/>
      <c r="G81" s="13"/>
      <c r="H81" s="13"/>
    </row>
    <row r="82" spans="1:8" ht="12.45" thickBot="1" x14ac:dyDescent="0.45">
      <c r="A82" s="453"/>
      <c r="B82" s="453"/>
      <c r="C82" s="453"/>
      <c r="D82" s="453"/>
      <c r="E82" s="453"/>
      <c r="F82" s="453"/>
      <c r="G82" s="13"/>
      <c r="H82" s="13"/>
    </row>
    <row r="83" spans="1:8" ht="33.9" thickBot="1" x14ac:dyDescent="0.45">
      <c r="A83" s="460" t="s">
        <v>1722</v>
      </c>
      <c r="B83" s="462" t="s">
        <v>1723</v>
      </c>
      <c r="C83" s="461" t="s">
        <v>1541</v>
      </c>
      <c r="D83" s="461">
        <v>17</v>
      </c>
      <c r="E83" s="460" t="s">
        <v>1542</v>
      </c>
      <c r="F83" s="460" t="s">
        <v>1770</v>
      </c>
      <c r="G83" s="13"/>
      <c r="H83" s="13"/>
    </row>
    <row r="84" spans="1:8" x14ac:dyDescent="0.4">
      <c r="A84" s="463">
        <v>15067</v>
      </c>
      <c r="B84" s="464" t="s">
        <v>1771</v>
      </c>
      <c r="C84" s="464" t="s">
        <v>399</v>
      </c>
      <c r="D84" s="464"/>
      <c r="E84" s="463">
        <v>51</v>
      </c>
      <c r="F84" s="463" t="s">
        <v>1772</v>
      </c>
      <c r="G84" s="13"/>
      <c r="H84" s="13"/>
    </row>
    <row r="85" spans="1:8" x14ac:dyDescent="0.4">
      <c r="A85" s="453"/>
      <c r="B85" s="453"/>
      <c r="C85" s="453"/>
      <c r="D85" s="453"/>
      <c r="E85" s="453"/>
      <c r="F85" s="453"/>
      <c r="G85" s="13"/>
      <c r="H85" s="13"/>
    </row>
    <row r="86" spans="1:8" x14ac:dyDescent="0.4">
      <c r="A86" s="453"/>
      <c r="B86" s="453"/>
      <c r="C86" s="453"/>
      <c r="D86" s="453"/>
      <c r="E86" s="453"/>
      <c r="F86" s="453"/>
      <c r="G86" s="13"/>
      <c r="H86" s="13"/>
    </row>
    <row r="87" spans="1:8" ht="12.45" thickBot="1" x14ac:dyDescent="0.45">
      <c r="A87" s="453"/>
      <c r="B87" s="453"/>
      <c r="C87" s="453"/>
      <c r="D87" s="453"/>
      <c r="E87" s="453"/>
      <c r="F87" s="453"/>
      <c r="G87" s="13"/>
      <c r="H87" s="13"/>
    </row>
    <row r="88" spans="1:8" ht="33.9" thickBot="1" x14ac:dyDescent="0.45">
      <c r="A88" s="460" t="s">
        <v>1722</v>
      </c>
      <c r="B88" s="462" t="s">
        <v>1723</v>
      </c>
      <c r="C88" s="461" t="s">
        <v>1541</v>
      </c>
      <c r="D88" s="461">
        <v>16</v>
      </c>
      <c r="E88" s="460" t="s">
        <v>1542</v>
      </c>
      <c r="F88" s="460" t="s">
        <v>1770</v>
      </c>
      <c r="G88" s="13"/>
      <c r="H88" s="13"/>
    </row>
    <row r="89" spans="1:8" x14ac:dyDescent="0.4">
      <c r="A89" s="463">
        <v>22181</v>
      </c>
      <c r="B89" s="464" t="s">
        <v>1773</v>
      </c>
      <c r="C89" s="464" t="s">
        <v>549</v>
      </c>
      <c r="D89" s="464"/>
      <c r="E89" s="463">
        <v>91</v>
      </c>
      <c r="F89" s="463" t="s">
        <v>1772</v>
      </c>
      <c r="G89" s="13"/>
      <c r="H89" s="13"/>
    </row>
    <row r="90" spans="1:8" x14ac:dyDescent="0.4">
      <c r="A90" s="453"/>
      <c r="B90" s="453"/>
      <c r="C90" s="453"/>
      <c r="D90" s="453"/>
      <c r="E90" s="453"/>
      <c r="F90" s="453"/>
      <c r="G90" s="13"/>
      <c r="H90" s="13"/>
    </row>
    <row r="91" spans="1:8" x14ac:dyDescent="0.4">
      <c r="A91" s="453"/>
      <c r="B91" s="453"/>
      <c r="C91" s="453"/>
      <c r="D91" s="453"/>
      <c r="E91" s="453"/>
      <c r="F91" s="453"/>
      <c r="G91" s="13"/>
      <c r="H91" s="13"/>
    </row>
    <row r="92" spans="1:8" ht="12.45" thickBot="1" x14ac:dyDescent="0.45">
      <c r="A92" s="453"/>
      <c r="B92" s="453"/>
      <c r="C92" s="453"/>
      <c r="D92" s="453"/>
      <c r="E92" s="453"/>
      <c r="F92" s="453"/>
      <c r="G92" s="13"/>
      <c r="H92" s="13"/>
    </row>
    <row r="93" spans="1:8" ht="33.9" thickBot="1" x14ac:dyDescent="0.45">
      <c r="A93" s="460" t="s">
        <v>1722</v>
      </c>
      <c r="B93" s="462" t="s">
        <v>1723</v>
      </c>
      <c r="C93" s="461" t="s">
        <v>1541</v>
      </c>
      <c r="D93" s="461">
        <v>18</v>
      </c>
      <c r="E93" s="460" t="s">
        <v>1542</v>
      </c>
      <c r="F93" s="460" t="s">
        <v>1774</v>
      </c>
      <c r="G93" s="13"/>
      <c r="H93" s="13"/>
    </row>
    <row r="94" spans="1:8" x14ac:dyDescent="0.4">
      <c r="A94" s="463">
        <v>16029</v>
      </c>
      <c r="B94" s="464" t="s">
        <v>1775</v>
      </c>
      <c r="C94" s="464" t="s">
        <v>488</v>
      </c>
      <c r="D94" s="464"/>
      <c r="E94" s="463">
        <v>75</v>
      </c>
      <c r="F94" s="463" t="s">
        <v>1776</v>
      </c>
      <c r="G94" s="13"/>
      <c r="H94" s="13"/>
    </row>
    <row r="95" spans="1:8" x14ac:dyDescent="0.4">
      <c r="A95" s="453"/>
      <c r="B95" s="453"/>
      <c r="C95" s="453"/>
      <c r="D95" s="453"/>
      <c r="E95" s="453"/>
      <c r="F95" s="453"/>
      <c r="G95" s="13"/>
      <c r="H95" s="13"/>
    </row>
    <row r="96" spans="1:8" x14ac:dyDescent="0.4">
      <c r="A96" s="453"/>
      <c r="B96" s="453"/>
      <c r="C96" s="453"/>
      <c r="D96" s="453"/>
      <c r="E96" s="453"/>
      <c r="F96" s="453"/>
      <c r="G96" s="13"/>
      <c r="H96" s="13"/>
    </row>
    <row r="97" spans="1:8" ht="12.45" thickBot="1" x14ac:dyDescent="0.45">
      <c r="A97" s="453"/>
      <c r="B97" s="453"/>
      <c r="C97" s="453"/>
      <c r="D97" s="453"/>
      <c r="E97" s="453"/>
      <c r="F97" s="453"/>
      <c r="G97" s="13"/>
      <c r="H97" s="13"/>
    </row>
    <row r="98" spans="1:8" ht="33.9" thickBot="1" x14ac:dyDescent="0.45">
      <c r="A98" s="460" t="s">
        <v>1722</v>
      </c>
      <c r="B98" s="462" t="s">
        <v>1723</v>
      </c>
      <c r="C98" s="461" t="s">
        <v>1541</v>
      </c>
      <c r="D98" s="461">
        <v>19</v>
      </c>
      <c r="E98" s="460" t="s">
        <v>1542</v>
      </c>
      <c r="F98" s="460" t="s">
        <v>1777</v>
      </c>
      <c r="G98" s="13"/>
      <c r="H98" s="13"/>
    </row>
    <row r="99" spans="1:8" x14ac:dyDescent="0.4">
      <c r="A99" s="463">
        <v>20532</v>
      </c>
      <c r="B99" s="464" t="s">
        <v>1778</v>
      </c>
      <c r="C99" s="464" t="s">
        <v>454</v>
      </c>
      <c r="D99" s="464"/>
      <c r="E99" s="463">
        <v>134</v>
      </c>
      <c r="F99" s="463" t="s">
        <v>1779</v>
      </c>
      <c r="G99" s="13"/>
      <c r="H99" s="13"/>
    </row>
    <row r="100" spans="1:8" x14ac:dyDescent="0.4">
      <c r="A100" s="453"/>
      <c r="B100" s="453"/>
      <c r="C100" s="453"/>
      <c r="D100" s="453"/>
      <c r="E100" s="453"/>
      <c r="F100" s="453"/>
      <c r="G100" s="13"/>
      <c r="H100" s="13"/>
    </row>
    <row r="101" spans="1:8" x14ac:dyDescent="0.4">
      <c r="A101" s="453"/>
      <c r="B101" s="453"/>
      <c r="C101" s="453"/>
      <c r="D101" s="453"/>
      <c r="E101" s="453"/>
      <c r="F101" s="453"/>
      <c r="G101" s="13"/>
      <c r="H101" s="13"/>
    </row>
    <row r="102" spans="1:8" ht="12.45" thickBot="1" x14ac:dyDescent="0.45">
      <c r="A102" s="453"/>
      <c r="B102" s="453"/>
      <c r="C102" s="453"/>
      <c r="D102" s="453"/>
      <c r="E102" s="453"/>
      <c r="F102" s="453"/>
      <c r="G102" s="13"/>
      <c r="H102" s="13"/>
    </row>
    <row r="103" spans="1:8" ht="33.9" thickBot="1" x14ac:dyDescent="0.45">
      <c r="A103" s="460" t="s">
        <v>1722</v>
      </c>
      <c r="B103" s="462" t="s">
        <v>1723</v>
      </c>
      <c r="C103" s="461" t="s">
        <v>1541</v>
      </c>
      <c r="D103" s="461">
        <v>20</v>
      </c>
      <c r="E103" s="460" t="s">
        <v>1542</v>
      </c>
      <c r="F103" s="460" t="s">
        <v>1780</v>
      </c>
      <c r="G103" s="13"/>
      <c r="H103" s="13"/>
    </row>
    <row r="104" spans="1:8" x14ac:dyDescent="0.4">
      <c r="A104" s="463">
        <v>98482</v>
      </c>
      <c r="B104" s="464" t="s">
        <v>1781</v>
      </c>
      <c r="C104" s="464" t="s">
        <v>1782</v>
      </c>
      <c r="D104" s="464"/>
      <c r="E104" s="463">
        <v>106</v>
      </c>
      <c r="F104" s="463" t="s">
        <v>1783</v>
      </c>
      <c r="G104" s="13"/>
      <c r="H104" s="13"/>
    </row>
    <row r="105" spans="1:8" x14ac:dyDescent="0.4">
      <c r="A105" s="453"/>
      <c r="B105" s="453"/>
      <c r="C105" s="453"/>
      <c r="D105" s="453"/>
      <c r="E105" s="453"/>
      <c r="F105" s="453"/>
      <c r="G105" s="13"/>
      <c r="H105" s="13"/>
    </row>
    <row r="106" spans="1:8" x14ac:dyDescent="0.4">
      <c r="A106" s="453"/>
      <c r="B106" s="453"/>
      <c r="C106" s="453"/>
      <c r="D106" s="453"/>
      <c r="E106" s="453"/>
      <c r="F106" s="453"/>
      <c r="G106" s="13"/>
      <c r="H106" s="13"/>
    </row>
    <row r="107" spans="1:8" ht="12.45" thickBot="1" x14ac:dyDescent="0.45">
      <c r="A107" s="453"/>
      <c r="B107" s="453"/>
      <c r="C107" s="453"/>
      <c r="D107" s="453"/>
      <c r="E107" s="453"/>
      <c r="F107" s="453"/>
      <c r="G107" s="13"/>
      <c r="H107" s="13"/>
    </row>
    <row r="108" spans="1:8" ht="33.9" thickBot="1" x14ac:dyDescent="0.45">
      <c r="A108" s="460" t="s">
        <v>1722</v>
      </c>
      <c r="B108" s="462" t="s">
        <v>1723</v>
      </c>
      <c r="C108" s="461" t="s">
        <v>1541</v>
      </c>
      <c r="D108" s="461">
        <v>21</v>
      </c>
      <c r="E108" s="460" t="s">
        <v>1542</v>
      </c>
      <c r="F108" s="460" t="s">
        <v>1784</v>
      </c>
      <c r="G108" s="13"/>
      <c r="H108" s="13"/>
    </row>
    <row r="109" spans="1:8" x14ac:dyDescent="0.4">
      <c r="A109" s="463">
        <v>16082</v>
      </c>
      <c r="B109" s="464" t="s">
        <v>1785</v>
      </c>
      <c r="C109" s="464" t="s">
        <v>1786</v>
      </c>
      <c r="D109" s="464"/>
      <c r="E109" s="463">
        <v>141</v>
      </c>
      <c r="F109" s="463" t="s">
        <v>1787</v>
      </c>
      <c r="G109" s="13"/>
      <c r="H109" s="13"/>
    </row>
    <row r="110" spans="1:8" x14ac:dyDescent="0.4">
      <c r="A110" s="453"/>
      <c r="B110" s="453"/>
      <c r="C110" s="453"/>
      <c r="D110" s="453"/>
      <c r="E110" s="453"/>
      <c r="F110" s="453"/>
      <c r="G110" s="13"/>
      <c r="H110" s="13"/>
    </row>
    <row r="111" spans="1:8" x14ac:dyDescent="0.4">
      <c r="A111" s="453"/>
      <c r="B111" s="453"/>
      <c r="C111" s="453"/>
      <c r="D111" s="453"/>
      <c r="E111" s="453"/>
      <c r="F111" s="453"/>
      <c r="G111" s="13"/>
      <c r="H111" s="13"/>
    </row>
    <row r="112" spans="1:8" ht="12.45" thickBot="1" x14ac:dyDescent="0.45">
      <c r="A112" s="453"/>
      <c r="B112" s="453"/>
      <c r="C112" s="453"/>
      <c r="D112" s="453"/>
      <c r="E112" s="453"/>
      <c r="F112" s="453"/>
      <c r="G112" s="13"/>
      <c r="H112" s="13"/>
    </row>
    <row r="113" spans="1:8" ht="33.9" thickBot="1" x14ac:dyDescent="0.45">
      <c r="A113" s="460" t="s">
        <v>1722</v>
      </c>
      <c r="B113" s="462" t="s">
        <v>1723</v>
      </c>
      <c r="C113" s="461" t="s">
        <v>1541</v>
      </c>
      <c r="D113" s="461">
        <v>22</v>
      </c>
      <c r="E113" s="460" t="s">
        <v>1542</v>
      </c>
      <c r="F113" s="460" t="s">
        <v>1788</v>
      </c>
      <c r="G113" s="13"/>
      <c r="H113" s="13"/>
    </row>
    <row r="114" spans="1:8" x14ac:dyDescent="0.4">
      <c r="A114" s="463">
        <v>12042</v>
      </c>
      <c r="B114" s="464" t="s">
        <v>1789</v>
      </c>
      <c r="C114" s="464" t="s">
        <v>533</v>
      </c>
      <c r="D114" s="464"/>
      <c r="E114" s="463">
        <v>155</v>
      </c>
      <c r="F114" s="463" t="s">
        <v>1790</v>
      </c>
      <c r="G114" s="13"/>
      <c r="H114" s="13"/>
    </row>
    <row r="115" spans="1:8" x14ac:dyDescent="0.4">
      <c r="A115" s="453"/>
      <c r="B115" s="453"/>
      <c r="C115" s="453"/>
      <c r="D115" s="453"/>
      <c r="E115" s="453"/>
      <c r="F115" s="453"/>
      <c r="G115" s="13"/>
      <c r="H115" s="13"/>
    </row>
    <row r="116" spans="1:8" x14ac:dyDescent="0.4">
      <c r="A116" s="453"/>
      <c r="B116" s="453"/>
      <c r="C116" s="453"/>
      <c r="D116" s="453"/>
      <c r="E116" s="453"/>
      <c r="F116" s="453"/>
      <c r="G116" s="13"/>
      <c r="H116" s="13"/>
    </row>
    <row r="117" spans="1:8" ht="12.45" thickBot="1" x14ac:dyDescent="0.45">
      <c r="A117" s="453"/>
      <c r="B117" s="453"/>
      <c r="C117" s="453"/>
      <c r="D117" s="453"/>
      <c r="E117" s="453"/>
      <c r="F117" s="453"/>
      <c r="G117" s="13"/>
      <c r="H117" s="13"/>
    </row>
    <row r="118" spans="1:8" ht="33.9" thickBot="1" x14ac:dyDescent="0.45">
      <c r="A118" s="460" t="s">
        <v>1722</v>
      </c>
      <c r="B118" s="462" t="s">
        <v>1723</v>
      </c>
      <c r="C118" s="461" t="s">
        <v>1541</v>
      </c>
      <c r="D118" s="461">
        <v>23</v>
      </c>
      <c r="E118" s="460" t="s">
        <v>1542</v>
      </c>
      <c r="F118" s="460" t="s">
        <v>1791</v>
      </c>
      <c r="G118" s="13"/>
      <c r="H118" s="13"/>
    </row>
    <row r="119" spans="1:8" x14ac:dyDescent="0.4">
      <c r="A119" s="463">
        <v>28051</v>
      </c>
      <c r="B119" s="464" t="s">
        <v>1792</v>
      </c>
      <c r="C119" s="464" t="s">
        <v>285</v>
      </c>
      <c r="D119" s="464"/>
      <c r="E119" s="463">
        <v>105</v>
      </c>
      <c r="F119" s="463" t="s">
        <v>1793</v>
      </c>
      <c r="G119" s="13"/>
      <c r="H119" s="13"/>
    </row>
    <row r="120" spans="1:8" x14ac:dyDescent="0.4">
      <c r="A120" s="453"/>
      <c r="B120" s="453"/>
      <c r="C120" s="453"/>
      <c r="D120" s="453"/>
      <c r="E120" s="453"/>
      <c r="F120" s="453"/>
      <c r="G120" s="13"/>
      <c r="H120" s="13"/>
    </row>
    <row r="121" spans="1:8" x14ac:dyDescent="0.4">
      <c r="A121" s="453"/>
      <c r="B121" s="453"/>
      <c r="C121" s="453"/>
      <c r="D121" s="453"/>
      <c r="E121" s="453"/>
      <c r="F121" s="453"/>
      <c r="G121" s="13"/>
      <c r="H121" s="13"/>
    </row>
    <row r="122" spans="1:8" ht="12.45" thickBot="1" x14ac:dyDescent="0.45">
      <c r="A122" s="453"/>
      <c r="B122" s="453"/>
      <c r="C122" s="453"/>
      <c r="D122" s="453"/>
      <c r="E122" s="453"/>
      <c r="F122" s="453"/>
      <c r="G122" s="13"/>
      <c r="H122" s="13"/>
    </row>
    <row r="123" spans="1:8" ht="33.9" thickBot="1" x14ac:dyDescent="0.45">
      <c r="A123" s="460" t="s">
        <v>1722</v>
      </c>
      <c r="B123" s="462" t="s">
        <v>1723</v>
      </c>
      <c r="C123" s="461" t="s">
        <v>1541</v>
      </c>
      <c r="D123" s="461">
        <v>24</v>
      </c>
      <c r="E123" s="460" t="s">
        <v>1542</v>
      </c>
      <c r="F123" s="460" t="s">
        <v>1794</v>
      </c>
      <c r="G123" s="13"/>
      <c r="H123" s="13"/>
    </row>
    <row r="124" spans="1:8" x14ac:dyDescent="0.4">
      <c r="A124" s="463">
        <v>20534</v>
      </c>
      <c r="B124" s="464" t="s">
        <v>1795</v>
      </c>
      <c r="C124" s="464" t="s">
        <v>1786</v>
      </c>
      <c r="D124" s="464"/>
      <c r="E124" s="463">
        <v>154</v>
      </c>
      <c r="F124" s="463" t="s">
        <v>1796</v>
      </c>
      <c r="G124" s="13"/>
      <c r="H124" s="13"/>
    </row>
    <row r="125" spans="1:8" x14ac:dyDescent="0.4">
      <c r="A125" s="453"/>
      <c r="B125" s="453"/>
      <c r="C125" s="453"/>
      <c r="D125" s="453"/>
      <c r="E125" s="453"/>
      <c r="F125" s="453"/>
      <c r="G125" s="13"/>
      <c r="H125" s="13"/>
    </row>
    <row r="126" spans="1:8" x14ac:dyDescent="0.4">
      <c r="A126" s="453"/>
      <c r="B126" s="453"/>
      <c r="C126" s="453"/>
      <c r="D126" s="453"/>
      <c r="E126" s="453"/>
      <c r="F126" s="453"/>
      <c r="G126" s="13"/>
      <c r="H126" s="13"/>
    </row>
    <row r="127" spans="1:8" ht="12.45" thickBot="1" x14ac:dyDescent="0.45">
      <c r="A127" s="453"/>
      <c r="B127" s="453"/>
      <c r="C127" s="453"/>
      <c r="D127" s="453"/>
      <c r="E127" s="453"/>
      <c r="F127" s="453"/>
      <c r="G127" s="13"/>
      <c r="H127" s="13"/>
    </row>
    <row r="128" spans="1:8" ht="33.9" thickBot="1" x14ac:dyDescent="0.45">
      <c r="A128" s="460" t="s">
        <v>1722</v>
      </c>
      <c r="B128" s="462" t="s">
        <v>1723</v>
      </c>
      <c r="C128" s="461" t="s">
        <v>1541</v>
      </c>
      <c r="D128" s="461">
        <v>25</v>
      </c>
      <c r="E128" s="460" t="s">
        <v>1542</v>
      </c>
      <c r="F128" s="460" t="s">
        <v>1797</v>
      </c>
      <c r="G128" s="13"/>
      <c r="H128" s="13"/>
    </row>
    <row r="129" spans="1:8" x14ac:dyDescent="0.4">
      <c r="A129" s="463">
        <v>21026</v>
      </c>
      <c r="B129" s="464" t="s">
        <v>1798</v>
      </c>
      <c r="C129" s="464" t="s">
        <v>1786</v>
      </c>
      <c r="D129" s="464"/>
      <c r="E129" s="463">
        <v>144</v>
      </c>
      <c r="F129" s="463" t="s">
        <v>1799</v>
      </c>
      <c r="G129" s="13"/>
      <c r="H129" s="13"/>
    </row>
    <row r="130" spans="1:8" x14ac:dyDescent="0.4">
      <c r="A130" s="453"/>
      <c r="B130" s="453"/>
      <c r="C130" s="453"/>
      <c r="D130" s="453"/>
      <c r="E130" s="453"/>
      <c r="F130" s="453"/>
      <c r="G130" s="13"/>
      <c r="H130" s="13"/>
    </row>
    <row r="131" spans="1:8" x14ac:dyDescent="0.4">
      <c r="A131" s="453"/>
      <c r="B131" s="453"/>
      <c r="C131" s="453"/>
      <c r="D131" s="453"/>
      <c r="E131" s="453"/>
      <c r="F131" s="453"/>
      <c r="G131" s="13"/>
      <c r="H131" s="13"/>
    </row>
    <row r="132" spans="1:8" ht="12.45" thickBot="1" x14ac:dyDescent="0.45">
      <c r="A132" s="453"/>
      <c r="B132" s="453"/>
      <c r="C132" s="453"/>
      <c r="D132" s="453"/>
      <c r="E132" s="453"/>
      <c r="F132" s="453"/>
      <c r="G132" s="13"/>
      <c r="H132" s="13"/>
    </row>
    <row r="133" spans="1:8" ht="33.9" thickBot="1" x14ac:dyDescent="0.45">
      <c r="A133" s="460" t="s">
        <v>1722</v>
      </c>
      <c r="B133" s="462" t="s">
        <v>1723</v>
      </c>
      <c r="C133" s="461" t="s">
        <v>1541</v>
      </c>
      <c r="D133" s="461">
        <v>26</v>
      </c>
      <c r="E133" s="460" t="s">
        <v>1542</v>
      </c>
      <c r="F133" s="460" t="s">
        <v>1800</v>
      </c>
      <c r="G133" s="13"/>
      <c r="H133" s="13"/>
    </row>
    <row r="134" spans="1:8" x14ac:dyDescent="0.4">
      <c r="A134" s="463">
        <v>14076</v>
      </c>
      <c r="B134" s="464" t="s">
        <v>1801</v>
      </c>
      <c r="C134" s="464" t="s">
        <v>488</v>
      </c>
      <c r="D134" s="464"/>
      <c r="E134" s="463">
        <v>118</v>
      </c>
      <c r="F134" s="463" t="s">
        <v>1802</v>
      </c>
      <c r="G134" s="13"/>
      <c r="H134" s="13"/>
    </row>
    <row r="135" spans="1:8" x14ac:dyDescent="0.4">
      <c r="A135" s="453"/>
      <c r="B135" s="453"/>
      <c r="C135" s="453"/>
      <c r="D135" s="453"/>
      <c r="E135" s="453"/>
      <c r="F135" s="453"/>
      <c r="G135" s="13"/>
      <c r="H135" s="13"/>
    </row>
    <row r="136" spans="1:8" x14ac:dyDescent="0.4">
      <c r="A136" s="453"/>
      <c r="B136" s="453"/>
      <c r="C136" s="453"/>
      <c r="D136" s="453"/>
      <c r="E136" s="453"/>
      <c r="F136" s="453"/>
      <c r="G136" s="13"/>
      <c r="H136" s="13"/>
    </row>
    <row r="137" spans="1:8" ht="12.45" thickBot="1" x14ac:dyDescent="0.45">
      <c r="A137" s="453"/>
      <c r="B137" s="453"/>
      <c r="C137" s="453"/>
      <c r="D137" s="453"/>
      <c r="E137" s="453"/>
      <c r="F137" s="453"/>
      <c r="G137" s="13"/>
      <c r="H137" s="13"/>
    </row>
    <row r="138" spans="1:8" ht="33.9" thickBot="1" x14ac:dyDescent="0.45">
      <c r="A138" s="460" t="s">
        <v>1722</v>
      </c>
      <c r="B138" s="462" t="s">
        <v>1723</v>
      </c>
      <c r="C138" s="461" t="s">
        <v>1541</v>
      </c>
      <c r="D138" s="461">
        <v>27</v>
      </c>
      <c r="E138" s="460" t="s">
        <v>1542</v>
      </c>
      <c r="F138" s="460" t="s">
        <v>1803</v>
      </c>
      <c r="G138" s="13"/>
      <c r="H138" s="13"/>
    </row>
    <row r="139" spans="1:8" x14ac:dyDescent="0.4">
      <c r="A139" s="463">
        <v>16075</v>
      </c>
      <c r="B139" s="464" t="s">
        <v>1804</v>
      </c>
      <c r="C139" s="464" t="s">
        <v>1786</v>
      </c>
      <c r="D139" s="464"/>
      <c r="E139" s="463">
        <v>145</v>
      </c>
      <c r="F139" s="463" t="s">
        <v>1805</v>
      </c>
      <c r="G139" s="13"/>
      <c r="H139" s="13"/>
    </row>
    <row r="140" spans="1:8" x14ac:dyDescent="0.4">
      <c r="A140" s="453"/>
      <c r="B140" s="453"/>
      <c r="C140" s="453"/>
      <c r="D140" s="453"/>
      <c r="E140" s="453"/>
      <c r="F140" s="453"/>
      <c r="G140" s="13"/>
      <c r="H140" s="13"/>
    </row>
    <row r="141" spans="1:8" x14ac:dyDescent="0.4">
      <c r="A141" s="453"/>
      <c r="B141" s="453"/>
      <c r="C141" s="453"/>
      <c r="D141" s="453"/>
      <c r="E141" s="453"/>
      <c r="F141" s="453"/>
      <c r="G141" s="13"/>
      <c r="H141" s="13"/>
    </row>
    <row r="142" spans="1:8" ht="12.45" thickBot="1" x14ac:dyDescent="0.45">
      <c r="A142" s="453"/>
      <c r="B142" s="453"/>
      <c r="C142" s="453"/>
      <c r="D142" s="453"/>
      <c r="E142" s="453"/>
      <c r="F142" s="453"/>
      <c r="G142" s="13"/>
      <c r="H142" s="13"/>
    </row>
    <row r="143" spans="1:8" ht="33.9" thickBot="1" x14ac:dyDescent="0.45">
      <c r="A143" s="460" t="s">
        <v>1722</v>
      </c>
      <c r="B143" s="462" t="s">
        <v>1723</v>
      </c>
      <c r="C143" s="461" t="s">
        <v>1541</v>
      </c>
      <c r="D143" s="461">
        <v>28</v>
      </c>
      <c r="E143" s="460" t="s">
        <v>1542</v>
      </c>
      <c r="F143" s="460" t="s">
        <v>1806</v>
      </c>
      <c r="G143" s="13"/>
      <c r="H143" s="13"/>
    </row>
    <row r="144" spans="1:8" x14ac:dyDescent="0.4">
      <c r="A144" s="463">
        <v>20513</v>
      </c>
      <c r="B144" s="464" t="s">
        <v>1807</v>
      </c>
      <c r="C144" s="464" t="s">
        <v>1808</v>
      </c>
      <c r="D144" s="464"/>
      <c r="E144" s="463">
        <v>197</v>
      </c>
      <c r="F144" s="463" t="s">
        <v>1809</v>
      </c>
      <c r="G144" s="13"/>
      <c r="H144" s="13"/>
    </row>
    <row r="145" spans="1:8" x14ac:dyDescent="0.4">
      <c r="A145" s="453"/>
      <c r="B145" s="453"/>
      <c r="C145" s="453"/>
      <c r="D145" s="453"/>
      <c r="E145" s="453"/>
      <c r="F145" s="453"/>
      <c r="G145" s="13"/>
      <c r="H145" s="13"/>
    </row>
    <row r="146" spans="1:8" x14ac:dyDescent="0.4">
      <c r="A146" s="453"/>
      <c r="B146" s="453"/>
      <c r="C146" s="453"/>
      <c r="D146" s="453"/>
      <c r="E146" s="453"/>
      <c r="F146" s="453"/>
      <c r="G146" s="13"/>
      <c r="H146" s="13"/>
    </row>
    <row r="147" spans="1:8" ht="12.45" thickBot="1" x14ac:dyDescent="0.45">
      <c r="A147" s="453"/>
      <c r="B147" s="453"/>
      <c r="C147" s="453"/>
      <c r="D147" s="453"/>
      <c r="E147" s="453"/>
      <c r="F147" s="453"/>
      <c r="G147" s="13"/>
      <c r="H147" s="13"/>
    </row>
    <row r="148" spans="1:8" ht="33.9" thickBot="1" x14ac:dyDescent="0.45">
      <c r="A148" s="460" t="s">
        <v>1722</v>
      </c>
      <c r="B148" s="462" t="s">
        <v>1723</v>
      </c>
      <c r="C148" s="461" t="s">
        <v>1541</v>
      </c>
      <c r="D148" s="461">
        <v>29</v>
      </c>
      <c r="E148" s="460" t="s">
        <v>1542</v>
      </c>
      <c r="F148" s="460" t="s">
        <v>1810</v>
      </c>
      <c r="G148" s="13"/>
      <c r="H148" s="13"/>
    </row>
    <row r="149" spans="1:8" x14ac:dyDescent="0.4">
      <c r="A149" s="463">
        <v>17052</v>
      </c>
      <c r="B149" s="464" t="s">
        <v>1811</v>
      </c>
      <c r="C149" s="464" t="s">
        <v>1759</v>
      </c>
      <c r="D149" s="464"/>
      <c r="E149" s="463">
        <v>192</v>
      </c>
      <c r="F149" s="463" t="s">
        <v>1812</v>
      </c>
      <c r="G149" s="13"/>
      <c r="H149" s="13"/>
    </row>
    <row r="150" spans="1:8" x14ac:dyDescent="0.4">
      <c r="A150" s="453"/>
      <c r="B150" s="453"/>
      <c r="C150" s="453"/>
      <c r="D150" s="453"/>
      <c r="E150" s="453"/>
      <c r="F150" s="453"/>
      <c r="G150" s="13"/>
      <c r="H150" s="13"/>
    </row>
    <row r="151" spans="1:8" x14ac:dyDescent="0.4">
      <c r="A151" s="453"/>
      <c r="B151" s="453"/>
      <c r="C151" s="453"/>
      <c r="D151" s="453"/>
      <c r="E151" s="453"/>
      <c r="F151" s="453"/>
      <c r="G151" s="13"/>
      <c r="H151" s="13"/>
    </row>
    <row r="152" spans="1:8" ht="12.45" thickBot="1" x14ac:dyDescent="0.45">
      <c r="A152" s="453"/>
      <c r="B152" s="453"/>
      <c r="C152" s="453"/>
      <c r="D152" s="453"/>
      <c r="E152" s="453"/>
      <c r="F152" s="453"/>
      <c r="G152" s="13"/>
      <c r="H152" s="13"/>
    </row>
    <row r="153" spans="1:8" ht="33.9" thickBot="1" x14ac:dyDescent="0.45">
      <c r="A153" s="460" t="s">
        <v>1722</v>
      </c>
      <c r="B153" s="462" t="s">
        <v>1723</v>
      </c>
      <c r="C153" s="461" t="s">
        <v>1541</v>
      </c>
      <c r="D153" s="461">
        <v>30</v>
      </c>
      <c r="E153" s="460" t="s">
        <v>1542</v>
      </c>
      <c r="F153" s="460" t="s">
        <v>1813</v>
      </c>
      <c r="G153" s="13"/>
      <c r="H153" s="13"/>
    </row>
    <row r="154" spans="1:8" x14ac:dyDescent="0.4">
      <c r="A154" s="463">
        <v>23217</v>
      </c>
      <c r="B154" s="464" t="s">
        <v>1814</v>
      </c>
      <c r="C154" s="464" t="s">
        <v>163</v>
      </c>
      <c r="D154" s="464"/>
      <c r="E154" s="463">
        <v>157</v>
      </c>
      <c r="F154" s="463" t="s">
        <v>1815</v>
      </c>
      <c r="G154" s="13"/>
      <c r="H154" s="13"/>
    </row>
    <row r="155" spans="1:8" x14ac:dyDescent="0.4">
      <c r="A155" s="453"/>
      <c r="B155" s="453"/>
      <c r="C155" s="453"/>
      <c r="D155" s="453"/>
      <c r="E155" s="453"/>
      <c r="F155" s="453"/>
      <c r="G155" s="13"/>
      <c r="H155" s="13"/>
    </row>
    <row r="156" spans="1:8" x14ac:dyDescent="0.4">
      <c r="A156" s="453"/>
      <c r="B156" s="453"/>
      <c r="C156" s="453"/>
      <c r="D156" s="453"/>
      <c r="E156" s="453"/>
      <c r="F156" s="453"/>
      <c r="G156" s="13"/>
      <c r="H156" s="13"/>
    </row>
    <row r="157" spans="1:8" ht="12.45" thickBot="1" x14ac:dyDescent="0.45">
      <c r="A157" s="453"/>
      <c r="B157" s="453"/>
      <c r="C157" s="453"/>
      <c r="D157" s="453"/>
      <c r="E157" s="453"/>
      <c r="F157" s="453"/>
      <c r="G157" s="13"/>
      <c r="H157" s="13"/>
    </row>
    <row r="158" spans="1:8" ht="33.9" thickBot="1" x14ac:dyDescent="0.45">
      <c r="A158" s="460" t="s">
        <v>1722</v>
      </c>
      <c r="B158" s="462" t="s">
        <v>1723</v>
      </c>
      <c r="C158" s="461" t="s">
        <v>1541</v>
      </c>
      <c r="D158" s="461">
        <v>31</v>
      </c>
      <c r="E158" s="460" t="s">
        <v>1542</v>
      </c>
      <c r="F158" s="460" t="s">
        <v>1816</v>
      </c>
      <c r="G158" s="13"/>
      <c r="H158" s="13"/>
    </row>
    <row r="159" spans="1:8" x14ac:dyDescent="0.4">
      <c r="A159" s="463">
        <v>16077</v>
      </c>
      <c r="B159" s="464" t="s">
        <v>1817</v>
      </c>
      <c r="C159" s="464" t="s">
        <v>1786</v>
      </c>
      <c r="D159" s="464"/>
      <c r="E159" s="463">
        <v>140</v>
      </c>
      <c r="F159" s="463" t="s">
        <v>1818</v>
      </c>
      <c r="G159" s="13"/>
      <c r="H159" s="13"/>
    </row>
    <row r="160" spans="1:8" x14ac:dyDescent="0.4">
      <c r="A160" s="453"/>
      <c r="B160" s="453"/>
      <c r="C160" s="453"/>
      <c r="D160" s="453"/>
      <c r="E160" s="453"/>
      <c r="F160" s="453"/>
      <c r="G160" s="13"/>
      <c r="H160" s="13"/>
    </row>
    <row r="161" spans="1:8" x14ac:dyDescent="0.4">
      <c r="A161" s="453"/>
      <c r="B161" s="453"/>
      <c r="C161" s="453"/>
      <c r="D161" s="453"/>
      <c r="E161" s="453"/>
      <c r="F161" s="453"/>
      <c r="G161" s="13"/>
      <c r="H161" s="13"/>
    </row>
    <row r="162" spans="1:8" ht="12.45" thickBot="1" x14ac:dyDescent="0.45">
      <c r="A162" s="453"/>
      <c r="B162" s="453"/>
      <c r="C162" s="453"/>
      <c r="D162" s="453"/>
      <c r="E162" s="453"/>
      <c r="F162" s="453"/>
      <c r="G162" s="13"/>
      <c r="H162" s="13"/>
    </row>
    <row r="163" spans="1:8" ht="33.9" thickBot="1" x14ac:dyDescent="0.45">
      <c r="A163" s="460" t="s">
        <v>1722</v>
      </c>
      <c r="B163" s="462" t="s">
        <v>1723</v>
      </c>
      <c r="C163" s="461" t="s">
        <v>1541</v>
      </c>
      <c r="D163" s="461">
        <v>32</v>
      </c>
      <c r="E163" s="460" t="s">
        <v>1542</v>
      </c>
      <c r="F163" s="460" t="s">
        <v>1819</v>
      </c>
      <c r="G163" s="13"/>
      <c r="H163" s="13"/>
    </row>
    <row r="164" spans="1:8" x14ac:dyDescent="0.4">
      <c r="A164" s="463">
        <v>21025</v>
      </c>
      <c r="B164" s="464" t="s">
        <v>1820</v>
      </c>
      <c r="C164" s="464" t="s">
        <v>1786</v>
      </c>
      <c r="D164" s="464"/>
      <c r="E164" s="463">
        <v>208</v>
      </c>
      <c r="F164" s="463" t="s">
        <v>1821</v>
      </c>
      <c r="G164" s="13"/>
      <c r="H164" s="13"/>
    </row>
    <row r="165" spans="1:8" x14ac:dyDescent="0.4">
      <c r="A165" s="453"/>
      <c r="B165" s="453"/>
      <c r="C165" s="453"/>
      <c r="D165" s="453"/>
      <c r="E165" s="453"/>
      <c r="F165" s="453"/>
      <c r="G165" s="13"/>
      <c r="H165" s="13"/>
    </row>
    <row r="166" spans="1:8" x14ac:dyDescent="0.4">
      <c r="A166" s="453"/>
      <c r="B166" s="453"/>
      <c r="C166" s="453"/>
      <c r="D166" s="453"/>
      <c r="E166" s="453"/>
      <c r="F166" s="453"/>
      <c r="G166" s="13"/>
      <c r="H166" s="13"/>
    </row>
    <row r="167" spans="1:8" ht="12.45" thickBot="1" x14ac:dyDescent="0.45">
      <c r="A167" s="453"/>
      <c r="B167" s="453"/>
      <c r="C167" s="453"/>
      <c r="D167" s="453"/>
      <c r="E167" s="453"/>
      <c r="F167" s="453"/>
      <c r="G167" s="13"/>
      <c r="H167" s="13"/>
    </row>
    <row r="168" spans="1:8" ht="33.9" thickBot="1" x14ac:dyDescent="0.45">
      <c r="A168" s="460" t="s">
        <v>1722</v>
      </c>
      <c r="B168" s="462" t="s">
        <v>1723</v>
      </c>
      <c r="C168" s="461" t="s">
        <v>1541</v>
      </c>
      <c r="D168" s="461">
        <v>33</v>
      </c>
      <c r="E168" s="460" t="s">
        <v>1542</v>
      </c>
      <c r="F168" s="460" t="s">
        <v>1822</v>
      </c>
      <c r="G168" s="13"/>
      <c r="H168" s="13"/>
    </row>
    <row r="169" spans="1:8" x14ac:dyDescent="0.4">
      <c r="A169" s="463">
        <v>20614</v>
      </c>
      <c r="B169" s="464" t="s">
        <v>1823</v>
      </c>
      <c r="C169" s="464" t="s">
        <v>1786</v>
      </c>
      <c r="D169" s="464"/>
      <c r="E169" s="463">
        <v>174</v>
      </c>
      <c r="F169" s="463" t="s">
        <v>1824</v>
      </c>
      <c r="G169" s="13"/>
      <c r="H169" s="13"/>
    </row>
    <row r="170" spans="1:8" x14ac:dyDescent="0.4">
      <c r="A170" s="453"/>
      <c r="B170" s="453"/>
      <c r="C170" s="453"/>
      <c r="D170" s="453"/>
      <c r="E170" s="453"/>
      <c r="F170" s="453"/>
      <c r="G170" s="13"/>
      <c r="H170" s="13"/>
    </row>
    <row r="171" spans="1:8" x14ac:dyDescent="0.4">
      <c r="A171" s="453"/>
      <c r="B171" s="453"/>
      <c r="C171" s="453"/>
      <c r="D171" s="453"/>
      <c r="E171" s="453"/>
      <c r="F171" s="453"/>
      <c r="G171" s="13"/>
      <c r="H171" s="13"/>
    </row>
    <row r="172" spans="1:8" ht="12.45" thickBot="1" x14ac:dyDescent="0.45">
      <c r="A172" s="453"/>
      <c r="B172" s="453"/>
      <c r="C172" s="453"/>
      <c r="D172" s="453"/>
      <c r="E172" s="453"/>
      <c r="F172" s="453"/>
      <c r="G172" s="13"/>
      <c r="H172" s="13"/>
    </row>
    <row r="173" spans="1:8" ht="33.9" thickBot="1" x14ac:dyDescent="0.45">
      <c r="A173" s="460" t="s">
        <v>1722</v>
      </c>
      <c r="B173" s="462" t="s">
        <v>1723</v>
      </c>
      <c r="C173" s="461" t="s">
        <v>1541</v>
      </c>
      <c r="D173" s="461">
        <v>34</v>
      </c>
      <c r="E173" s="460" t="s">
        <v>1542</v>
      </c>
      <c r="F173" s="460" t="s">
        <v>1825</v>
      </c>
      <c r="G173" s="13"/>
      <c r="H173" s="13"/>
    </row>
    <row r="174" spans="1:8" x14ac:dyDescent="0.4">
      <c r="A174" s="463">
        <v>11037</v>
      </c>
      <c r="B174" s="464" t="s">
        <v>1826</v>
      </c>
      <c r="C174" s="464" t="s">
        <v>371</v>
      </c>
      <c r="D174" s="464"/>
      <c r="E174" s="463">
        <v>210</v>
      </c>
      <c r="F174" s="463" t="s">
        <v>1827</v>
      </c>
      <c r="G174" s="13"/>
      <c r="H174" s="13"/>
    </row>
    <row r="175" spans="1:8" x14ac:dyDescent="0.4">
      <c r="A175" s="453"/>
      <c r="B175" s="453"/>
      <c r="C175" s="453"/>
      <c r="D175" s="453"/>
      <c r="E175" s="453"/>
      <c r="F175" s="453"/>
      <c r="G175" s="13"/>
      <c r="H175" s="13"/>
    </row>
    <row r="176" spans="1:8" x14ac:dyDescent="0.4">
      <c r="A176" s="453"/>
      <c r="B176" s="453"/>
      <c r="C176" s="453"/>
      <c r="D176" s="453"/>
      <c r="E176" s="453"/>
      <c r="F176" s="453"/>
      <c r="G176" s="13"/>
      <c r="H176" s="13"/>
    </row>
    <row r="177" spans="1:8" ht="12.45" thickBot="1" x14ac:dyDescent="0.45">
      <c r="A177" s="453"/>
      <c r="B177" s="453"/>
      <c r="C177" s="453"/>
      <c r="D177" s="453"/>
      <c r="E177" s="453"/>
      <c r="F177" s="453"/>
      <c r="G177" s="13"/>
      <c r="H177" s="13"/>
    </row>
    <row r="178" spans="1:8" ht="33.9" thickBot="1" x14ac:dyDescent="0.45">
      <c r="A178" s="460" t="s">
        <v>1722</v>
      </c>
      <c r="B178" s="462" t="s">
        <v>1723</v>
      </c>
      <c r="C178" s="461" t="s">
        <v>1541</v>
      </c>
      <c r="D178" s="461">
        <v>35</v>
      </c>
      <c r="E178" s="460" t="s">
        <v>1542</v>
      </c>
      <c r="F178" s="460" t="s">
        <v>1828</v>
      </c>
      <c r="G178" s="13"/>
      <c r="H178" s="13"/>
    </row>
    <row r="179" spans="1:8" x14ac:dyDescent="0.4">
      <c r="A179" s="463">
        <v>20533</v>
      </c>
      <c r="B179" s="464" t="s">
        <v>1829</v>
      </c>
      <c r="C179" s="464" t="s">
        <v>1786</v>
      </c>
      <c r="D179" s="464"/>
      <c r="E179" s="463">
        <v>195</v>
      </c>
      <c r="F179" s="463" t="s">
        <v>1830</v>
      </c>
      <c r="G179" s="13"/>
      <c r="H179" s="13"/>
    </row>
    <row r="180" spans="1:8" x14ac:dyDescent="0.4">
      <c r="A180" s="453"/>
      <c r="B180" s="453"/>
      <c r="C180" s="453"/>
      <c r="D180" s="453"/>
      <c r="E180" s="453"/>
      <c r="F180" s="453"/>
      <c r="G180" s="13"/>
      <c r="H180" s="13"/>
    </row>
    <row r="181" spans="1:8" x14ac:dyDescent="0.4">
      <c r="A181" s="453"/>
      <c r="B181" s="453"/>
      <c r="C181" s="453"/>
      <c r="D181" s="453"/>
      <c r="E181" s="453"/>
      <c r="F181" s="453"/>
      <c r="G181" s="13"/>
      <c r="H181" s="13"/>
    </row>
    <row r="182" spans="1:8" ht="12.45" thickBot="1" x14ac:dyDescent="0.45">
      <c r="A182" s="453"/>
      <c r="B182" s="453"/>
      <c r="C182" s="453"/>
      <c r="D182" s="453"/>
      <c r="E182" s="453"/>
      <c r="F182" s="453"/>
      <c r="G182" s="13"/>
      <c r="H182" s="13"/>
    </row>
    <row r="183" spans="1:8" ht="33.9" thickBot="1" x14ac:dyDescent="0.45">
      <c r="A183" s="460" t="s">
        <v>1722</v>
      </c>
      <c r="B183" s="462" t="s">
        <v>1723</v>
      </c>
      <c r="C183" s="461" t="s">
        <v>1541</v>
      </c>
      <c r="D183" s="461">
        <v>36</v>
      </c>
      <c r="E183" s="460" t="s">
        <v>1542</v>
      </c>
      <c r="F183" s="460" t="s">
        <v>1831</v>
      </c>
      <c r="G183" s="13"/>
      <c r="H183" s="13"/>
    </row>
    <row r="184" spans="1:8" x14ac:dyDescent="0.4">
      <c r="A184" s="463">
        <v>23021</v>
      </c>
      <c r="B184" s="464" t="s">
        <v>1832</v>
      </c>
      <c r="C184" s="464" t="s">
        <v>438</v>
      </c>
      <c r="D184" s="464"/>
      <c r="E184" s="463">
        <v>245</v>
      </c>
      <c r="F184" s="463" t="s">
        <v>1833</v>
      </c>
      <c r="G184" s="13"/>
      <c r="H184" s="13"/>
    </row>
    <row r="185" spans="1:8" x14ac:dyDescent="0.4">
      <c r="A185" s="453"/>
      <c r="B185" s="453"/>
      <c r="C185" s="453"/>
      <c r="D185" s="453"/>
      <c r="E185" s="453"/>
      <c r="F185" s="453"/>
      <c r="G185" s="13"/>
      <c r="H185" s="13"/>
    </row>
    <row r="186" spans="1:8" x14ac:dyDescent="0.4">
      <c r="A186" s="453"/>
      <c r="B186" s="453"/>
      <c r="C186" s="453"/>
      <c r="D186" s="453"/>
      <c r="E186" s="453"/>
      <c r="F186" s="453"/>
      <c r="G186" s="13"/>
      <c r="H186" s="13"/>
    </row>
    <row r="187" spans="1:8" ht="12.45" thickBot="1" x14ac:dyDescent="0.45">
      <c r="A187" s="453"/>
      <c r="B187" s="453"/>
      <c r="C187" s="453"/>
      <c r="D187" s="453"/>
      <c r="E187" s="453"/>
      <c r="F187" s="453"/>
      <c r="G187" s="13"/>
      <c r="H187" s="13"/>
    </row>
    <row r="188" spans="1:8" ht="33.9" thickBot="1" x14ac:dyDescent="0.45">
      <c r="A188" s="460" t="s">
        <v>1722</v>
      </c>
      <c r="B188" s="462" t="s">
        <v>1723</v>
      </c>
      <c r="C188" s="461" t="s">
        <v>1541</v>
      </c>
      <c r="D188" s="461">
        <v>37</v>
      </c>
      <c r="E188" s="460" t="s">
        <v>1542</v>
      </c>
      <c r="F188" s="460" t="s">
        <v>1834</v>
      </c>
      <c r="G188" s="13"/>
      <c r="H188" s="13"/>
    </row>
    <row r="189" spans="1:8" x14ac:dyDescent="0.4">
      <c r="A189" s="463">
        <v>21032</v>
      </c>
      <c r="B189" s="464" t="s">
        <v>1835</v>
      </c>
      <c r="C189" s="464" t="s">
        <v>1786</v>
      </c>
      <c r="D189" s="464"/>
      <c r="E189" s="463">
        <v>170</v>
      </c>
      <c r="F189" s="463" t="s">
        <v>1836</v>
      </c>
      <c r="G189" s="13"/>
      <c r="H189" s="13"/>
    </row>
    <row r="190" spans="1:8" x14ac:dyDescent="0.4">
      <c r="A190" s="453"/>
      <c r="B190" s="453"/>
      <c r="C190" s="453"/>
      <c r="D190" s="453"/>
      <c r="E190" s="453"/>
      <c r="F190" s="453"/>
      <c r="G190" s="13"/>
      <c r="H190" s="13"/>
    </row>
    <row r="191" spans="1:8" x14ac:dyDescent="0.4">
      <c r="A191" s="453"/>
      <c r="B191" s="453"/>
      <c r="C191" s="453"/>
      <c r="D191" s="453"/>
      <c r="E191" s="453"/>
      <c r="F191" s="453"/>
      <c r="G191" s="13"/>
      <c r="H191" s="13"/>
    </row>
    <row r="192" spans="1:8" ht="12.45" thickBot="1" x14ac:dyDescent="0.45">
      <c r="A192" s="453"/>
      <c r="B192" s="453"/>
      <c r="C192" s="453"/>
      <c r="D192" s="453"/>
      <c r="E192" s="453"/>
      <c r="F192" s="453"/>
      <c r="G192" s="13"/>
      <c r="H192" s="13"/>
    </row>
    <row r="193" spans="1:8" ht="33.9" thickBot="1" x14ac:dyDescent="0.45">
      <c r="A193" s="460" t="s">
        <v>1722</v>
      </c>
      <c r="B193" s="462" t="s">
        <v>1723</v>
      </c>
      <c r="C193" s="461" t="s">
        <v>1541</v>
      </c>
      <c r="D193" s="461">
        <v>38</v>
      </c>
      <c r="E193" s="460" t="s">
        <v>1542</v>
      </c>
      <c r="F193" s="460" t="s">
        <v>1837</v>
      </c>
      <c r="G193" s="13"/>
      <c r="H193" s="13"/>
    </row>
    <row r="194" spans="1:8" x14ac:dyDescent="0.4">
      <c r="A194" s="463">
        <v>96162</v>
      </c>
      <c r="B194" s="464" t="s">
        <v>1838</v>
      </c>
      <c r="C194" s="464" t="s">
        <v>377</v>
      </c>
      <c r="D194" s="464"/>
      <c r="E194" s="463">
        <v>367</v>
      </c>
      <c r="F194" s="463" t="s">
        <v>1839</v>
      </c>
      <c r="G194" s="13"/>
      <c r="H194" s="13"/>
    </row>
    <row r="195" spans="1:8" x14ac:dyDescent="0.4">
      <c r="A195" s="453"/>
      <c r="B195" s="453"/>
      <c r="C195" s="453"/>
      <c r="D195" s="453"/>
      <c r="E195" s="453"/>
      <c r="F195" s="453"/>
      <c r="G195" s="13"/>
      <c r="H195" s="13"/>
    </row>
    <row r="196" spans="1:8" x14ac:dyDescent="0.4">
      <c r="A196" s="453"/>
      <c r="B196" s="453"/>
      <c r="C196" s="453"/>
      <c r="D196" s="453"/>
      <c r="E196" s="453"/>
      <c r="F196" s="453"/>
      <c r="G196" s="13"/>
      <c r="H196" s="13"/>
    </row>
    <row r="197" spans="1:8" ht="12.45" thickBot="1" x14ac:dyDescent="0.45">
      <c r="A197" s="453"/>
      <c r="B197" s="453"/>
      <c r="C197" s="453"/>
      <c r="D197" s="453"/>
      <c r="E197" s="453"/>
      <c r="F197" s="453"/>
      <c r="G197" s="13"/>
      <c r="H197" s="13"/>
    </row>
    <row r="198" spans="1:8" ht="33.9" thickBot="1" x14ac:dyDescent="0.45">
      <c r="A198" s="460" t="s">
        <v>1722</v>
      </c>
      <c r="B198" s="462" t="s">
        <v>1723</v>
      </c>
      <c r="C198" s="461" t="s">
        <v>1541</v>
      </c>
      <c r="D198" s="461">
        <v>39</v>
      </c>
      <c r="E198" s="460" t="s">
        <v>1542</v>
      </c>
      <c r="F198" s="460" t="s">
        <v>1840</v>
      </c>
      <c r="G198" s="13"/>
      <c r="H198" s="13"/>
    </row>
    <row r="199" spans="1:8" x14ac:dyDescent="0.4">
      <c r="A199" s="463">
        <v>24504</v>
      </c>
      <c r="B199" s="464" t="s">
        <v>1841</v>
      </c>
      <c r="C199" s="464" t="s">
        <v>163</v>
      </c>
      <c r="D199" s="464"/>
      <c r="E199" s="463">
        <v>398</v>
      </c>
      <c r="F199" s="463" t="s">
        <v>1842</v>
      </c>
      <c r="G199" s="13"/>
      <c r="H199" s="13"/>
    </row>
    <row r="200" spans="1:8" x14ac:dyDescent="0.4">
      <c r="A200" s="453"/>
      <c r="B200" s="453"/>
      <c r="C200" s="453"/>
      <c r="D200" s="453"/>
      <c r="E200" s="453"/>
      <c r="F200" s="453"/>
      <c r="G200" s="13"/>
      <c r="H200" s="13"/>
    </row>
    <row r="201" spans="1:8" x14ac:dyDescent="0.4">
      <c r="A201" s="453"/>
      <c r="B201" s="453"/>
      <c r="C201" s="453"/>
      <c r="D201" s="453"/>
      <c r="E201" s="453"/>
      <c r="F201" s="453"/>
      <c r="G201" s="13"/>
      <c r="H201" s="13"/>
    </row>
    <row r="202" spans="1:8" ht="12.45" thickBot="1" x14ac:dyDescent="0.45">
      <c r="A202" s="453"/>
      <c r="B202" s="453"/>
      <c r="C202" s="453"/>
      <c r="D202" s="453"/>
      <c r="E202" s="453"/>
      <c r="F202" s="453"/>
      <c r="G202" s="13"/>
      <c r="H202" s="13"/>
    </row>
    <row r="203" spans="1:8" ht="33.9" thickBot="1" x14ac:dyDescent="0.45">
      <c r="A203" s="460" t="s">
        <v>1722</v>
      </c>
      <c r="B203" s="462" t="s">
        <v>1723</v>
      </c>
      <c r="C203" s="461" t="s">
        <v>1541</v>
      </c>
      <c r="D203" s="461">
        <v>40</v>
      </c>
      <c r="E203" s="460" t="s">
        <v>1542</v>
      </c>
      <c r="F203" s="460" t="s">
        <v>1843</v>
      </c>
      <c r="G203" s="13"/>
      <c r="H203" s="13"/>
    </row>
    <row r="204" spans="1:8" x14ac:dyDescent="0.4">
      <c r="A204" s="463">
        <v>23215</v>
      </c>
      <c r="B204" s="464" t="s">
        <v>1844</v>
      </c>
      <c r="C204" s="464" t="s">
        <v>533</v>
      </c>
      <c r="D204" s="464"/>
      <c r="E204" s="463">
        <v>378</v>
      </c>
      <c r="F204" s="463" t="s">
        <v>1845</v>
      </c>
      <c r="G204" s="13"/>
      <c r="H204" s="13"/>
    </row>
    <row r="205" spans="1:8" x14ac:dyDescent="0.4">
      <c r="A205" s="453"/>
      <c r="B205" s="453"/>
      <c r="C205" s="453"/>
      <c r="D205" s="453"/>
      <c r="E205" s="453"/>
      <c r="F205" s="453"/>
      <c r="G205" s="13"/>
      <c r="H205" s="13"/>
    </row>
    <row r="206" spans="1:8" x14ac:dyDescent="0.4">
      <c r="A206" s="453"/>
      <c r="B206" s="453"/>
      <c r="C206" s="453"/>
      <c r="D206" s="453"/>
      <c r="E206" s="453"/>
      <c r="F206" s="453"/>
      <c r="G206" s="13"/>
      <c r="H206" s="13"/>
    </row>
    <row r="207" spans="1:8" ht="12.45" thickBot="1" x14ac:dyDescent="0.45">
      <c r="A207" s="453"/>
      <c r="B207" s="453"/>
      <c r="C207" s="453"/>
      <c r="D207" s="453"/>
      <c r="E207" s="453"/>
      <c r="F207" s="453"/>
      <c r="G207" s="13"/>
      <c r="H207" s="13"/>
    </row>
    <row r="208" spans="1:8" ht="33.9" thickBot="1" x14ac:dyDescent="0.45">
      <c r="A208" s="460" t="s">
        <v>1722</v>
      </c>
      <c r="B208" s="462" t="s">
        <v>1723</v>
      </c>
      <c r="C208" s="461" t="s">
        <v>1541</v>
      </c>
      <c r="D208" s="461">
        <v>41</v>
      </c>
      <c r="E208" s="460" t="s">
        <v>1542</v>
      </c>
      <c r="F208" s="460" t="s">
        <v>1846</v>
      </c>
      <c r="G208" s="13"/>
      <c r="H208" s="13"/>
    </row>
    <row r="209" spans="1:8" x14ac:dyDescent="0.4">
      <c r="A209" s="463">
        <v>24529</v>
      </c>
      <c r="B209" s="464" t="s">
        <v>1847</v>
      </c>
      <c r="C209" s="464" t="s">
        <v>904</v>
      </c>
      <c r="D209" s="464"/>
      <c r="E209" s="463">
        <v>504</v>
      </c>
      <c r="F209" s="463" t="s">
        <v>1848</v>
      </c>
      <c r="G209" s="13"/>
      <c r="H209" s="13"/>
    </row>
    <row r="210" spans="1:8" x14ac:dyDescent="0.4">
      <c r="A210" s="453"/>
      <c r="B210" s="453"/>
      <c r="C210" s="453"/>
      <c r="D210" s="453"/>
      <c r="E210" s="453"/>
      <c r="F210" s="453"/>
      <c r="G210" s="13"/>
      <c r="H210" s="13"/>
    </row>
    <row r="211" spans="1:8" x14ac:dyDescent="0.4">
      <c r="A211" s="453"/>
      <c r="B211" s="453"/>
      <c r="C211" s="453"/>
      <c r="D211" s="453"/>
      <c r="E211" s="453"/>
      <c r="F211" s="453"/>
      <c r="G211" s="13"/>
      <c r="H211" s="13"/>
    </row>
    <row r="212" spans="1:8" ht="12.45" thickBot="1" x14ac:dyDescent="0.45">
      <c r="A212" s="453"/>
      <c r="B212" s="453"/>
      <c r="C212" s="453"/>
      <c r="D212" s="453"/>
      <c r="E212" s="453"/>
      <c r="F212" s="453"/>
      <c r="G212" s="13"/>
      <c r="H212" s="13"/>
    </row>
    <row r="213" spans="1:8" ht="33.9" thickBot="1" x14ac:dyDescent="0.45">
      <c r="A213" s="460" t="s">
        <v>1722</v>
      </c>
      <c r="B213" s="462" t="s">
        <v>1723</v>
      </c>
      <c r="C213" s="461" t="s">
        <v>1541</v>
      </c>
      <c r="D213" s="461">
        <v>42</v>
      </c>
      <c r="E213" s="460" t="s">
        <v>1542</v>
      </c>
      <c r="F213" s="460" t="s">
        <v>1849</v>
      </c>
      <c r="G213" s="13"/>
      <c r="H213" s="13"/>
    </row>
    <row r="214" spans="1:8" x14ac:dyDescent="0.4">
      <c r="A214" s="463">
        <v>96216</v>
      </c>
      <c r="B214" s="464" t="s">
        <v>1850</v>
      </c>
      <c r="C214" s="464" t="s">
        <v>377</v>
      </c>
      <c r="D214" s="464"/>
      <c r="E214" s="463">
        <v>562</v>
      </c>
      <c r="F214" s="463" t="s">
        <v>1851</v>
      </c>
      <c r="G214" s="13"/>
      <c r="H214" s="13"/>
    </row>
    <row r="215" spans="1:8" x14ac:dyDescent="0.4">
      <c r="A215" s="453"/>
      <c r="B215" s="453"/>
      <c r="C215" s="453"/>
      <c r="D215" s="453"/>
      <c r="E215" s="453"/>
      <c r="F215" s="453"/>
      <c r="G215" s="13"/>
      <c r="H215" s="13"/>
    </row>
    <row r="216" spans="1:8" x14ac:dyDescent="0.4">
      <c r="A216" s="453"/>
      <c r="B216" s="453"/>
      <c r="C216" s="453"/>
      <c r="D216" s="453"/>
      <c r="E216" s="453"/>
      <c r="F216" s="453"/>
      <c r="G216" s="13"/>
      <c r="H216" s="13"/>
    </row>
    <row r="217" spans="1:8" ht="12.45" thickBot="1" x14ac:dyDescent="0.45">
      <c r="A217" s="453"/>
      <c r="B217" s="453"/>
      <c r="C217" s="453"/>
      <c r="D217" s="453"/>
      <c r="E217" s="453"/>
      <c r="F217" s="453"/>
      <c r="G217" s="13"/>
      <c r="H217" s="13"/>
    </row>
    <row r="218" spans="1:8" ht="33.9" thickBot="1" x14ac:dyDescent="0.45">
      <c r="A218" s="460" t="s">
        <v>1722</v>
      </c>
      <c r="B218" s="462" t="s">
        <v>1723</v>
      </c>
      <c r="C218" s="461" t="s">
        <v>1541</v>
      </c>
      <c r="D218" s="461">
        <v>53</v>
      </c>
      <c r="E218" s="460" t="s">
        <v>1542</v>
      </c>
      <c r="F218" s="460" t="s">
        <v>1852</v>
      </c>
      <c r="G218" s="13"/>
      <c r="H218" s="13"/>
    </row>
    <row r="219" spans="1:8" x14ac:dyDescent="0.4">
      <c r="A219" s="463"/>
      <c r="B219" s="464" t="s">
        <v>1853</v>
      </c>
      <c r="C219" s="464"/>
      <c r="D219" s="464" t="s">
        <v>1854</v>
      </c>
      <c r="E219" s="463"/>
      <c r="F219" s="463">
        <v>0</v>
      </c>
      <c r="G219" s="13"/>
      <c r="H219" s="13"/>
    </row>
    <row r="220" spans="1:8" x14ac:dyDescent="0.4">
      <c r="A220" s="453"/>
      <c r="B220" s="453"/>
      <c r="C220" s="453"/>
      <c r="D220" s="453"/>
      <c r="E220" s="453"/>
      <c r="F220" s="453"/>
      <c r="G220" s="13"/>
      <c r="H220" s="13"/>
    </row>
    <row r="221" spans="1:8" x14ac:dyDescent="0.4">
      <c r="A221" s="453"/>
      <c r="B221" s="453"/>
      <c r="C221" s="453"/>
      <c r="D221" s="453"/>
      <c r="E221" s="453"/>
      <c r="F221" s="453"/>
      <c r="G221" s="13"/>
      <c r="H221" s="13"/>
    </row>
    <row r="222" spans="1:8" ht="12.45" thickBot="1" x14ac:dyDescent="0.45">
      <c r="A222" s="453"/>
      <c r="B222" s="453"/>
      <c r="C222" s="453"/>
      <c r="D222" s="453"/>
      <c r="E222" s="453"/>
      <c r="F222" s="453"/>
      <c r="G222" s="13"/>
      <c r="H222" s="13"/>
    </row>
    <row r="223" spans="1:8" ht="33.9" thickBot="1" x14ac:dyDescent="0.45">
      <c r="A223" s="460" t="s">
        <v>1722</v>
      </c>
      <c r="B223" s="462" t="s">
        <v>1723</v>
      </c>
      <c r="C223" s="461" t="s">
        <v>1541</v>
      </c>
      <c r="D223" s="461">
        <v>54</v>
      </c>
      <c r="E223" s="460" t="s">
        <v>1542</v>
      </c>
      <c r="F223" s="460" t="s">
        <v>1852</v>
      </c>
      <c r="G223" s="13"/>
      <c r="H223" s="13"/>
    </row>
    <row r="224" spans="1:8" x14ac:dyDescent="0.4">
      <c r="A224" s="463"/>
      <c r="B224" s="464" t="s">
        <v>1855</v>
      </c>
      <c r="C224" s="464"/>
      <c r="D224" s="464" t="s">
        <v>1854</v>
      </c>
      <c r="E224" s="463"/>
      <c r="F224" s="463">
        <v>0</v>
      </c>
      <c r="G224" s="13"/>
      <c r="H224" s="13"/>
    </row>
    <row r="225" spans="1:8" x14ac:dyDescent="0.4">
      <c r="A225" s="453"/>
      <c r="B225" s="453"/>
      <c r="C225" s="453"/>
      <c r="D225" s="453"/>
      <c r="E225" s="453"/>
      <c r="F225" s="453"/>
      <c r="G225" s="13"/>
      <c r="H225" s="13"/>
    </row>
    <row r="226" spans="1:8" x14ac:dyDescent="0.4">
      <c r="A226" s="453"/>
      <c r="B226" s="453"/>
      <c r="C226" s="453"/>
      <c r="D226" s="453"/>
      <c r="E226" s="453"/>
      <c r="F226" s="453"/>
      <c r="G226" s="13"/>
      <c r="H226" s="13"/>
    </row>
    <row r="227" spans="1:8" ht="12.45" thickBot="1" x14ac:dyDescent="0.45">
      <c r="A227" s="453"/>
      <c r="B227" s="453"/>
      <c r="C227" s="453"/>
      <c r="D227" s="453"/>
      <c r="E227" s="453"/>
      <c r="F227" s="453"/>
      <c r="G227" s="13"/>
      <c r="H227" s="13"/>
    </row>
    <row r="228" spans="1:8" ht="33.9" thickBot="1" x14ac:dyDescent="0.45">
      <c r="A228" s="460" t="s">
        <v>1722</v>
      </c>
      <c r="B228" s="462" t="s">
        <v>1723</v>
      </c>
      <c r="C228" s="461" t="s">
        <v>1541</v>
      </c>
      <c r="D228" s="461">
        <v>52</v>
      </c>
      <c r="E228" s="460" t="s">
        <v>1542</v>
      </c>
      <c r="F228" s="460" t="s">
        <v>1852</v>
      </c>
      <c r="G228" s="13"/>
      <c r="H228" s="13"/>
    </row>
    <row r="229" spans="1:8" x14ac:dyDescent="0.4">
      <c r="A229" s="463"/>
      <c r="B229" s="464" t="s">
        <v>1856</v>
      </c>
      <c r="C229" s="464"/>
      <c r="D229" s="464" t="s">
        <v>1854</v>
      </c>
      <c r="E229" s="463"/>
      <c r="F229" s="463">
        <v>0</v>
      </c>
      <c r="G229" s="13"/>
      <c r="H229" s="13"/>
    </row>
    <row r="230" spans="1:8" x14ac:dyDescent="0.4">
      <c r="A230" s="453"/>
      <c r="B230" s="453"/>
      <c r="C230" s="453"/>
      <c r="D230" s="453"/>
      <c r="E230" s="453"/>
      <c r="F230" s="453"/>
      <c r="G230" s="13"/>
      <c r="H230" s="13"/>
    </row>
    <row r="231" spans="1:8" x14ac:dyDescent="0.4">
      <c r="A231" s="453"/>
      <c r="B231" s="453"/>
      <c r="C231" s="453"/>
      <c r="D231" s="453"/>
      <c r="E231" s="453"/>
      <c r="F231" s="453"/>
      <c r="G231" s="13"/>
      <c r="H231" s="13"/>
    </row>
    <row r="232" spans="1:8" ht="12.45" thickBot="1" x14ac:dyDescent="0.45">
      <c r="A232" s="453"/>
      <c r="B232" s="453"/>
      <c r="C232" s="453"/>
      <c r="D232" s="453"/>
      <c r="E232" s="453"/>
      <c r="F232" s="453"/>
      <c r="G232" s="13"/>
      <c r="H232" s="13"/>
    </row>
    <row r="233" spans="1:8" ht="33.9" thickBot="1" x14ac:dyDescent="0.45">
      <c r="A233" s="460" t="s">
        <v>1722</v>
      </c>
      <c r="B233" s="462" t="s">
        <v>1723</v>
      </c>
      <c r="C233" s="461" t="s">
        <v>1541</v>
      </c>
      <c r="D233" s="461">
        <v>57</v>
      </c>
      <c r="E233" s="460" t="s">
        <v>1542</v>
      </c>
      <c r="F233" s="460" t="s">
        <v>1852</v>
      </c>
      <c r="G233" s="13"/>
      <c r="H233" s="13"/>
    </row>
    <row r="234" spans="1:8" x14ac:dyDescent="0.4">
      <c r="A234" s="463"/>
      <c r="B234" s="464" t="s">
        <v>1857</v>
      </c>
      <c r="C234" s="464"/>
      <c r="D234" s="464" t="s">
        <v>1854</v>
      </c>
      <c r="E234" s="463"/>
      <c r="F234" s="463">
        <v>0</v>
      </c>
      <c r="G234" s="13"/>
      <c r="H234" s="13"/>
    </row>
    <row r="235" spans="1:8" x14ac:dyDescent="0.4">
      <c r="A235" s="453"/>
      <c r="B235" s="453"/>
      <c r="C235" s="453"/>
      <c r="D235" s="453"/>
      <c r="E235" s="453"/>
      <c r="F235" s="453"/>
      <c r="G235" s="13"/>
      <c r="H235" s="13"/>
    </row>
    <row r="236" spans="1:8" x14ac:dyDescent="0.4">
      <c r="A236" s="453"/>
      <c r="B236" s="453"/>
      <c r="C236" s="453"/>
      <c r="D236" s="453"/>
      <c r="E236" s="453"/>
      <c r="F236" s="453"/>
      <c r="G236" s="13"/>
      <c r="H236" s="13"/>
    </row>
    <row r="237" spans="1:8" ht="12.45" thickBot="1" x14ac:dyDescent="0.45">
      <c r="A237" s="453"/>
      <c r="B237" s="453"/>
      <c r="C237" s="453"/>
      <c r="D237" s="453"/>
      <c r="E237" s="453"/>
      <c r="F237" s="453"/>
      <c r="G237" s="13"/>
      <c r="H237" s="13"/>
    </row>
    <row r="238" spans="1:8" ht="33.9" thickBot="1" x14ac:dyDescent="0.45">
      <c r="A238" s="460" t="s">
        <v>1722</v>
      </c>
      <c r="B238" s="462" t="s">
        <v>1723</v>
      </c>
      <c r="C238" s="461" t="s">
        <v>1541</v>
      </c>
      <c r="D238" s="461">
        <v>51</v>
      </c>
      <c r="E238" s="460" t="s">
        <v>1542</v>
      </c>
      <c r="F238" s="460" t="s">
        <v>1852</v>
      </c>
      <c r="G238" s="13"/>
      <c r="H238" s="13"/>
    </row>
    <row r="239" spans="1:8" x14ac:dyDescent="0.4">
      <c r="A239" s="463"/>
      <c r="B239" s="464" t="s">
        <v>1858</v>
      </c>
      <c r="C239" s="464"/>
      <c r="D239" s="464" t="s">
        <v>1854</v>
      </c>
      <c r="E239" s="463"/>
      <c r="F239" s="463">
        <v>0</v>
      </c>
      <c r="G239" s="13"/>
      <c r="H239" s="13"/>
    </row>
    <row r="240" spans="1:8" x14ac:dyDescent="0.4">
      <c r="A240" s="453"/>
      <c r="B240" s="453"/>
      <c r="C240" s="453"/>
      <c r="D240" s="453"/>
      <c r="E240" s="453"/>
      <c r="F240" s="453"/>
      <c r="G240" s="13"/>
      <c r="H240" s="13"/>
    </row>
    <row r="241" spans="1:8" x14ac:dyDescent="0.4">
      <c r="A241" s="453"/>
      <c r="B241" s="453"/>
      <c r="C241" s="453"/>
      <c r="D241" s="453"/>
      <c r="E241" s="453"/>
      <c r="F241" s="453"/>
      <c r="G241" s="13"/>
      <c r="H241" s="13"/>
    </row>
    <row r="242" spans="1:8" ht="12.45" thickBot="1" x14ac:dyDescent="0.45">
      <c r="A242" s="453"/>
      <c r="B242" s="453"/>
      <c r="C242" s="453"/>
      <c r="D242" s="453"/>
      <c r="E242" s="453"/>
      <c r="F242" s="453"/>
      <c r="G242" s="13"/>
      <c r="H242" s="13"/>
    </row>
    <row r="243" spans="1:8" ht="33.9" thickBot="1" x14ac:dyDescent="0.45">
      <c r="A243" s="460" t="s">
        <v>1722</v>
      </c>
      <c r="B243" s="462" t="s">
        <v>1723</v>
      </c>
      <c r="C243" s="461" t="s">
        <v>1541</v>
      </c>
      <c r="D243" s="461">
        <v>56</v>
      </c>
      <c r="E243" s="460" t="s">
        <v>1542</v>
      </c>
      <c r="F243" s="460" t="s">
        <v>1852</v>
      </c>
      <c r="G243" s="13"/>
      <c r="H243" s="13"/>
    </row>
    <row r="244" spans="1:8" x14ac:dyDescent="0.4">
      <c r="A244" s="463"/>
      <c r="B244" s="464" t="s">
        <v>1859</v>
      </c>
      <c r="C244" s="464"/>
      <c r="D244" s="464" t="s">
        <v>1854</v>
      </c>
      <c r="E244" s="463"/>
      <c r="F244" s="463">
        <v>0</v>
      </c>
      <c r="G244" s="13"/>
      <c r="H244" s="13"/>
    </row>
    <row r="245" spans="1:8" x14ac:dyDescent="0.4">
      <c r="A245" s="453"/>
      <c r="B245" s="453"/>
      <c r="C245" s="453"/>
      <c r="D245" s="453"/>
      <c r="E245" s="453"/>
      <c r="F245" s="453"/>
      <c r="G245" s="13"/>
      <c r="H245" s="13"/>
    </row>
    <row r="246" spans="1:8" x14ac:dyDescent="0.4">
      <c r="A246" s="453"/>
      <c r="B246" s="453"/>
      <c r="C246" s="453"/>
      <c r="D246" s="453"/>
      <c r="E246" s="453"/>
      <c r="F246" s="453"/>
      <c r="G246" s="13"/>
      <c r="H246" s="13"/>
    </row>
    <row r="247" spans="1:8" ht="12.45" thickBot="1" x14ac:dyDescent="0.45">
      <c r="A247" s="453"/>
      <c r="B247" s="453"/>
      <c r="C247" s="453"/>
      <c r="D247" s="453"/>
      <c r="E247" s="453"/>
      <c r="F247" s="453"/>
      <c r="G247" s="13"/>
      <c r="H247" s="13"/>
    </row>
    <row r="248" spans="1:8" ht="33.9" thickBot="1" x14ac:dyDescent="0.45">
      <c r="A248" s="460" t="s">
        <v>1722</v>
      </c>
      <c r="B248" s="462" t="s">
        <v>1723</v>
      </c>
      <c r="C248" s="461" t="s">
        <v>1541</v>
      </c>
      <c r="D248" s="461">
        <v>55</v>
      </c>
      <c r="E248" s="460" t="s">
        <v>1542</v>
      </c>
      <c r="F248" s="460" t="s">
        <v>1852</v>
      </c>
      <c r="G248" s="13"/>
      <c r="H248" s="13"/>
    </row>
    <row r="249" spans="1:8" x14ac:dyDescent="0.4">
      <c r="A249" s="463"/>
      <c r="B249" s="464" t="s">
        <v>1860</v>
      </c>
      <c r="C249" s="464"/>
      <c r="D249" s="464" t="s">
        <v>1854</v>
      </c>
      <c r="E249" s="463"/>
      <c r="F249" s="463">
        <v>0</v>
      </c>
      <c r="G249" s="13"/>
      <c r="H249" s="13"/>
    </row>
    <row r="250" spans="1:8" x14ac:dyDescent="0.4">
      <c r="A250" s="453"/>
      <c r="B250" s="453"/>
      <c r="C250" s="453"/>
      <c r="D250" s="453"/>
      <c r="E250" s="453"/>
      <c r="F250" s="453"/>
      <c r="G250" s="13"/>
      <c r="H250" s="13"/>
    </row>
    <row r="251" spans="1:8" x14ac:dyDescent="0.4">
      <c r="A251" s="453"/>
      <c r="B251" s="453"/>
      <c r="C251" s="453"/>
      <c r="D251" s="453"/>
      <c r="E251" s="453"/>
      <c r="F251" s="453"/>
      <c r="G251" s="13"/>
      <c r="H251" s="13"/>
    </row>
    <row r="252" spans="1:8" ht="12.45" thickBot="1" x14ac:dyDescent="0.45">
      <c r="A252" s="453"/>
      <c r="B252" s="453"/>
      <c r="C252" s="453"/>
      <c r="D252" s="453"/>
      <c r="E252" s="453"/>
      <c r="F252" s="453"/>
      <c r="G252" s="13"/>
      <c r="H252" s="13"/>
    </row>
    <row r="253" spans="1:8" ht="33.9" thickBot="1" x14ac:dyDescent="0.45">
      <c r="A253" s="460" t="s">
        <v>1722</v>
      </c>
      <c r="B253" s="462" t="s">
        <v>1723</v>
      </c>
      <c r="C253" s="461" t="s">
        <v>1541</v>
      </c>
      <c r="D253" s="461">
        <v>43</v>
      </c>
      <c r="E253" s="460" t="s">
        <v>1542</v>
      </c>
      <c r="F253" s="460" t="s">
        <v>1852</v>
      </c>
      <c r="G253" s="13"/>
      <c r="H253" s="13"/>
    </row>
    <row r="254" spans="1:8" x14ac:dyDescent="0.4">
      <c r="A254" s="463"/>
      <c r="B254" s="464" t="s">
        <v>1861</v>
      </c>
      <c r="C254" s="464"/>
      <c r="D254" s="464" t="s">
        <v>1854</v>
      </c>
      <c r="E254" s="463"/>
      <c r="F254" s="463">
        <v>0</v>
      </c>
      <c r="G254" s="13"/>
      <c r="H254" s="13"/>
    </row>
    <row r="255" spans="1:8" x14ac:dyDescent="0.4">
      <c r="A255" s="453"/>
      <c r="B255" s="453"/>
      <c r="C255" s="453"/>
      <c r="D255" s="453"/>
      <c r="E255" s="453"/>
      <c r="F255" s="453"/>
      <c r="G255" s="13"/>
      <c r="H255" s="13"/>
    </row>
    <row r="256" spans="1:8" x14ac:dyDescent="0.4">
      <c r="A256" s="453"/>
      <c r="B256" s="453"/>
      <c r="C256" s="453"/>
      <c r="D256" s="453"/>
      <c r="E256" s="453"/>
      <c r="F256" s="453"/>
      <c r="G256" s="13"/>
      <c r="H256" s="13"/>
    </row>
    <row r="257" spans="1:8" ht="12.45" thickBot="1" x14ac:dyDescent="0.45">
      <c r="A257" s="453"/>
      <c r="B257" s="453"/>
      <c r="C257" s="453"/>
      <c r="D257" s="453"/>
      <c r="E257" s="453"/>
      <c r="F257" s="453"/>
      <c r="G257" s="13"/>
      <c r="H257" s="13"/>
    </row>
    <row r="258" spans="1:8" ht="33.9" thickBot="1" x14ac:dyDescent="0.45">
      <c r="A258" s="460" t="s">
        <v>1722</v>
      </c>
      <c r="B258" s="462" t="s">
        <v>1723</v>
      </c>
      <c r="C258" s="461" t="s">
        <v>1541</v>
      </c>
      <c r="D258" s="461">
        <v>45</v>
      </c>
      <c r="E258" s="460" t="s">
        <v>1542</v>
      </c>
      <c r="F258" s="460" t="s">
        <v>1852</v>
      </c>
      <c r="G258" s="13"/>
      <c r="H258" s="13"/>
    </row>
    <row r="259" spans="1:8" x14ac:dyDescent="0.4">
      <c r="A259" s="463"/>
      <c r="B259" s="464" t="s">
        <v>1862</v>
      </c>
      <c r="C259" s="464"/>
      <c r="D259" s="464" t="s">
        <v>1854</v>
      </c>
      <c r="E259" s="463"/>
      <c r="F259" s="463">
        <v>0</v>
      </c>
      <c r="G259" s="13"/>
      <c r="H259" s="13"/>
    </row>
    <row r="260" spans="1:8" x14ac:dyDescent="0.4">
      <c r="A260" s="453"/>
      <c r="B260" s="453"/>
      <c r="C260" s="453"/>
      <c r="D260" s="453"/>
      <c r="E260" s="453"/>
      <c r="F260" s="453"/>
      <c r="G260" s="13"/>
      <c r="H260" s="13"/>
    </row>
    <row r="261" spans="1:8" x14ac:dyDescent="0.4">
      <c r="A261" s="453"/>
      <c r="B261" s="453"/>
      <c r="C261" s="453"/>
      <c r="D261" s="453"/>
      <c r="E261" s="453"/>
      <c r="F261" s="453"/>
      <c r="G261" s="13"/>
      <c r="H261" s="13"/>
    </row>
    <row r="262" spans="1:8" ht="12.45" thickBot="1" x14ac:dyDescent="0.45">
      <c r="A262" s="453"/>
      <c r="B262" s="453"/>
      <c r="C262" s="453"/>
      <c r="D262" s="453"/>
      <c r="E262" s="453"/>
      <c r="F262" s="453"/>
      <c r="G262" s="13"/>
      <c r="H262" s="13"/>
    </row>
    <row r="263" spans="1:8" ht="33.9" thickBot="1" x14ac:dyDescent="0.45">
      <c r="A263" s="460" t="s">
        <v>1722</v>
      </c>
      <c r="B263" s="462" t="s">
        <v>1723</v>
      </c>
      <c r="C263" s="461" t="s">
        <v>1541</v>
      </c>
      <c r="D263" s="461">
        <v>44</v>
      </c>
      <c r="E263" s="460" t="s">
        <v>1542</v>
      </c>
      <c r="F263" s="460" t="s">
        <v>1852</v>
      </c>
      <c r="G263" s="13"/>
      <c r="H263" s="13"/>
    </row>
    <row r="264" spans="1:8" x14ac:dyDescent="0.4">
      <c r="A264" s="463"/>
      <c r="B264" s="464" t="s">
        <v>1863</v>
      </c>
      <c r="C264" s="464"/>
      <c r="D264" s="464" t="s">
        <v>1854</v>
      </c>
      <c r="E264" s="463"/>
      <c r="F264" s="463">
        <v>0</v>
      </c>
      <c r="G264" s="13"/>
      <c r="H264" s="13"/>
    </row>
    <row r="265" spans="1:8" x14ac:dyDescent="0.4">
      <c r="A265" s="453"/>
      <c r="B265" s="453"/>
      <c r="C265" s="453"/>
      <c r="D265" s="453"/>
      <c r="E265" s="453"/>
      <c r="F265" s="453"/>
      <c r="G265" s="13"/>
      <c r="H265" s="13"/>
    </row>
    <row r="266" spans="1:8" x14ac:dyDescent="0.4">
      <c r="A266" s="453"/>
      <c r="B266" s="453"/>
      <c r="C266" s="453"/>
      <c r="D266" s="453"/>
      <c r="E266" s="453"/>
      <c r="F266" s="453"/>
      <c r="G266" s="13"/>
      <c r="H266" s="13"/>
    </row>
    <row r="267" spans="1:8" ht="12.45" thickBot="1" x14ac:dyDescent="0.45">
      <c r="A267" s="453"/>
      <c r="B267" s="453"/>
      <c r="C267" s="453"/>
      <c r="D267" s="453"/>
      <c r="E267" s="453"/>
      <c r="F267" s="453"/>
      <c r="G267" s="13"/>
      <c r="H267" s="13"/>
    </row>
    <row r="268" spans="1:8" ht="33.9" thickBot="1" x14ac:dyDescent="0.45">
      <c r="A268" s="460" t="s">
        <v>1722</v>
      </c>
      <c r="B268" s="462" t="s">
        <v>1723</v>
      </c>
      <c r="C268" s="461" t="s">
        <v>1541</v>
      </c>
      <c r="D268" s="461">
        <v>46</v>
      </c>
      <c r="E268" s="460" t="s">
        <v>1542</v>
      </c>
      <c r="F268" s="460" t="s">
        <v>1852</v>
      </c>
      <c r="G268" s="13"/>
      <c r="H268" s="13"/>
    </row>
    <row r="269" spans="1:8" x14ac:dyDescent="0.4">
      <c r="A269" s="463"/>
      <c r="B269" s="464" t="s">
        <v>1864</v>
      </c>
      <c r="C269" s="464"/>
      <c r="D269" s="464" t="s">
        <v>1854</v>
      </c>
      <c r="E269" s="463"/>
      <c r="F269" s="463">
        <v>0</v>
      </c>
      <c r="G269" s="13"/>
      <c r="H269" s="13"/>
    </row>
    <row r="270" spans="1:8" x14ac:dyDescent="0.4">
      <c r="A270" s="453"/>
      <c r="B270" s="453"/>
      <c r="C270" s="453"/>
      <c r="D270" s="453"/>
      <c r="E270" s="453"/>
      <c r="F270" s="453"/>
      <c r="G270" s="13"/>
      <c r="H270" s="13"/>
    </row>
    <row r="271" spans="1:8" x14ac:dyDescent="0.4">
      <c r="A271" s="453"/>
      <c r="B271" s="453"/>
      <c r="C271" s="453"/>
      <c r="D271" s="453"/>
      <c r="E271" s="453"/>
      <c r="F271" s="453"/>
      <c r="G271" s="13"/>
      <c r="H271" s="13"/>
    </row>
    <row r="272" spans="1:8" ht="12.45" thickBot="1" x14ac:dyDescent="0.45">
      <c r="A272" s="453"/>
      <c r="B272" s="453"/>
      <c r="C272" s="453"/>
      <c r="D272" s="453"/>
      <c r="E272" s="453"/>
      <c r="F272" s="453"/>
      <c r="G272" s="13"/>
      <c r="H272" s="13"/>
    </row>
    <row r="273" spans="1:8" ht="33.9" thickBot="1" x14ac:dyDescent="0.45">
      <c r="A273" s="460" t="s">
        <v>1722</v>
      </c>
      <c r="B273" s="462" t="s">
        <v>1723</v>
      </c>
      <c r="C273" s="461" t="s">
        <v>1541</v>
      </c>
      <c r="D273" s="461">
        <v>47</v>
      </c>
      <c r="E273" s="460" t="s">
        <v>1542</v>
      </c>
      <c r="F273" s="460" t="s">
        <v>1852</v>
      </c>
      <c r="G273" s="13"/>
      <c r="H273" s="13"/>
    </row>
    <row r="274" spans="1:8" x14ac:dyDescent="0.4">
      <c r="A274" s="463"/>
      <c r="B274" s="464" t="s">
        <v>1865</v>
      </c>
      <c r="C274" s="464"/>
      <c r="D274" s="464" t="s">
        <v>1854</v>
      </c>
      <c r="E274" s="463"/>
      <c r="F274" s="463">
        <v>0</v>
      </c>
      <c r="G274" s="13"/>
      <c r="H274" s="13"/>
    </row>
    <row r="275" spans="1:8" x14ac:dyDescent="0.4">
      <c r="A275" s="453"/>
      <c r="B275" s="453"/>
      <c r="C275" s="453"/>
      <c r="D275" s="453"/>
      <c r="E275" s="453"/>
      <c r="F275" s="453"/>
      <c r="G275" s="13"/>
      <c r="H275" s="13"/>
    </row>
    <row r="276" spans="1:8" x14ac:dyDescent="0.4">
      <c r="A276" s="453"/>
      <c r="B276" s="453"/>
      <c r="C276" s="453"/>
      <c r="D276" s="453"/>
      <c r="E276" s="453"/>
      <c r="F276" s="453"/>
      <c r="G276" s="13"/>
      <c r="H276" s="13"/>
    </row>
    <row r="277" spans="1:8" ht="12.45" thickBot="1" x14ac:dyDescent="0.45">
      <c r="A277" s="453"/>
      <c r="B277" s="453"/>
      <c r="C277" s="453"/>
      <c r="D277" s="453"/>
      <c r="E277" s="453"/>
      <c r="F277" s="453"/>
      <c r="G277" s="13"/>
      <c r="H277" s="13"/>
    </row>
    <row r="278" spans="1:8" ht="33.9" thickBot="1" x14ac:dyDescent="0.45">
      <c r="A278" s="460" t="s">
        <v>1722</v>
      </c>
      <c r="B278" s="462" t="s">
        <v>1723</v>
      </c>
      <c r="C278" s="461" t="s">
        <v>1541</v>
      </c>
      <c r="D278" s="461">
        <v>49</v>
      </c>
      <c r="E278" s="460" t="s">
        <v>1542</v>
      </c>
      <c r="F278" s="460" t="s">
        <v>1852</v>
      </c>
      <c r="G278" s="13"/>
      <c r="H278" s="13"/>
    </row>
    <row r="279" spans="1:8" x14ac:dyDescent="0.4">
      <c r="A279" s="463"/>
      <c r="B279" s="464" t="s">
        <v>1866</v>
      </c>
      <c r="C279" s="464"/>
      <c r="D279" s="464" t="s">
        <v>1854</v>
      </c>
      <c r="E279" s="463"/>
      <c r="F279" s="463">
        <v>0</v>
      </c>
      <c r="G279" s="13"/>
      <c r="H279" s="13"/>
    </row>
    <row r="280" spans="1:8" x14ac:dyDescent="0.4">
      <c r="A280" s="453"/>
      <c r="B280" s="453"/>
      <c r="C280" s="453"/>
      <c r="D280" s="453"/>
      <c r="E280" s="453"/>
      <c r="F280" s="453"/>
      <c r="G280" s="13"/>
      <c r="H280" s="13"/>
    </row>
    <row r="281" spans="1:8" x14ac:dyDescent="0.4">
      <c r="A281" s="453"/>
      <c r="B281" s="453"/>
      <c r="C281" s="453"/>
      <c r="D281" s="453"/>
      <c r="E281" s="453"/>
      <c r="F281" s="453"/>
      <c r="G281" s="13"/>
      <c r="H281" s="13"/>
    </row>
    <row r="282" spans="1:8" ht="12.45" thickBot="1" x14ac:dyDescent="0.45">
      <c r="A282" s="453"/>
      <c r="B282" s="453"/>
      <c r="C282" s="453"/>
      <c r="D282" s="453"/>
      <c r="E282" s="453"/>
      <c r="F282" s="453"/>
      <c r="G282" s="13"/>
      <c r="H282" s="13"/>
    </row>
    <row r="283" spans="1:8" ht="33.9" thickBot="1" x14ac:dyDescent="0.45">
      <c r="A283" s="460" t="s">
        <v>1722</v>
      </c>
      <c r="B283" s="462" t="s">
        <v>1723</v>
      </c>
      <c r="C283" s="461" t="s">
        <v>1541</v>
      </c>
      <c r="D283" s="461">
        <v>48</v>
      </c>
      <c r="E283" s="460" t="s">
        <v>1542</v>
      </c>
      <c r="F283" s="460" t="s">
        <v>1852</v>
      </c>
      <c r="G283" s="13"/>
      <c r="H283" s="13"/>
    </row>
    <row r="284" spans="1:8" x14ac:dyDescent="0.4">
      <c r="A284" s="463"/>
      <c r="B284" s="464" t="s">
        <v>1867</v>
      </c>
      <c r="C284" s="464"/>
      <c r="D284" s="464" t="s">
        <v>1854</v>
      </c>
      <c r="E284" s="463"/>
      <c r="F284" s="463">
        <v>0</v>
      </c>
      <c r="G284" s="13"/>
      <c r="H284" s="13"/>
    </row>
    <row r="285" spans="1:8" x14ac:dyDescent="0.4">
      <c r="A285" s="453"/>
      <c r="B285" s="453"/>
      <c r="C285" s="453"/>
      <c r="D285" s="453"/>
      <c r="E285" s="453"/>
      <c r="F285" s="453"/>
      <c r="G285" s="13"/>
      <c r="H285" s="13"/>
    </row>
    <row r="286" spans="1:8" x14ac:dyDescent="0.4">
      <c r="A286" s="453"/>
      <c r="B286" s="453"/>
      <c r="C286" s="453"/>
      <c r="D286" s="453"/>
      <c r="E286" s="453"/>
      <c r="F286" s="453"/>
      <c r="G286" s="13"/>
      <c r="H286" s="13"/>
    </row>
    <row r="287" spans="1:8" ht="12.45" thickBot="1" x14ac:dyDescent="0.45">
      <c r="A287" s="453"/>
      <c r="B287" s="453"/>
      <c r="C287" s="453"/>
      <c r="D287" s="453"/>
      <c r="E287" s="453"/>
      <c r="F287" s="453"/>
      <c r="G287" s="13"/>
      <c r="H287" s="13"/>
    </row>
    <row r="288" spans="1:8" ht="33.9" thickBot="1" x14ac:dyDescent="0.45">
      <c r="A288" s="460" t="s">
        <v>1722</v>
      </c>
      <c r="B288" s="462" t="s">
        <v>1723</v>
      </c>
      <c r="C288" s="461" t="s">
        <v>1541</v>
      </c>
      <c r="D288" s="461">
        <v>50</v>
      </c>
      <c r="E288" s="460" t="s">
        <v>1542</v>
      </c>
      <c r="F288" s="460" t="s">
        <v>1852</v>
      </c>
      <c r="G288" s="13"/>
      <c r="H288" s="13"/>
    </row>
    <row r="289" spans="1:8" x14ac:dyDescent="0.4">
      <c r="A289" s="463"/>
      <c r="B289" s="464" t="s">
        <v>1868</v>
      </c>
      <c r="C289" s="464"/>
      <c r="D289" s="464" t="s">
        <v>1854</v>
      </c>
      <c r="E289" s="463"/>
      <c r="F289" s="463">
        <v>0</v>
      </c>
      <c r="G289" s="13"/>
      <c r="H289" s="13"/>
    </row>
    <row r="290" spans="1:8" x14ac:dyDescent="0.4">
      <c r="A290" s="453"/>
      <c r="B290" s="453"/>
      <c r="C290" s="453"/>
      <c r="D290" s="453"/>
      <c r="E290" s="453"/>
      <c r="F290" s="453"/>
      <c r="G290" s="13"/>
      <c r="H290" s="13"/>
    </row>
    <row r="291" spans="1:8" x14ac:dyDescent="0.4">
      <c r="A291" s="453"/>
      <c r="B291" s="453"/>
      <c r="C291" s="453"/>
      <c r="D291" s="453"/>
      <c r="E291" s="453"/>
      <c r="F291" s="453"/>
      <c r="G291" s="13"/>
      <c r="H291" s="13"/>
    </row>
    <row r="292" spans="1:8" x14ac:dyDescent="0.4">
      <c r="A292" s="453"/>
      <c r="B292" s="453"/>
      <c r="C292" s="453"/>
      <c r="D292" s="453"/>
      <c r="E292" s="453"/>
      <c r="F292" s="453"/>
      <c r="G292" s="13"/>
      <c r="H292" s="13"/>
    </row>
    <row r="293" spans="1:8" ht="13.3" x14ac:dyDescent="0.4">
      <c r="A293" s="288"/>
      <c r="B293" s="288"/>
      <c r="C293" s="288"/>
      <c r="D293" s="289"/>
      <c r="E293" s="430"/>
      <c r="F293" s="430"/>
      <c r="G293" s="13"/>
      <c r="H293" s="13"/>
    </row>
    <row r="294" spans="1:8" ht="12.9" x14ac:dyDescent="0.45">
      <c r="A294" s="290"/>
      <c r="B294" s="298"/>
      <c r="C294" s="290"/>
      <c r="D294" s="291"/>
      <c r="E294" s="429"/>
      <c r="F294" s="429"/>
      <c r="G294" s="13"/>
      <c r="H294" s="13"/>
    </row>
    <row r="295" spans="1:8" ht="12.9" x14ac:dyDescent="0.45">
      <c r="A295" s="290"/>
      <c r="B295" s="298"/>
      <c r="C295" s="290"/>
      <c r="D295" s="291"/>
      <c r="E295" s="429"/>
      <c r="F295" s="429"/>
      <c r="G295" s="13"/>
      <c r="H295" s="13"/>
    </row>
    <row r="296" spans="1:8" ht="12.9" x14ac:dyDescent="0.45">
      <c r="A296" s="290"/>
      <c r="B296" s="298"/>
      <c r="C296" s="290"/>
      <c r="D296" s="291"/>
      <c r="E296" s="429"/>
      <c r="F296" s="429"/>
      <c r="G296" s="13"/>
      <c r="H296" s="13"/>
    </row>
    <row r="297" spans="1:8" ht="12.9" x14ac:dyDescent="0.45">
      <c r="A297" s="290"/>
      <c r="B297" s="298"/>
      <c r="C297" s="290"/>
      <c r="D297" s="291"/>
      <c r="E297" s="429"/>
      <c r="F297" s="429"/>
      <c r="G297" s="13"/>
      <c r="H297" s="13"/>
    </row>
    <row r="298" spans="1:8" ht="13.3" x14ac:dyDescent="0.4">
      <c r="A298" s="288"/>
      <c r="B298" s="288"/>
      <c r="C298" s="288"/>
      <c r="D298" s="289"/>
      <c r="E298" s="430"/>
      <c r="F298" s="430"/>
      <c r="G298" s="13"/>
      <c r="H298" s="13"/>
    </row>
    <row r="299" spans="1:8" ht="12.9" x14ac:dyDescent="0.45">
      <c r="A299" s="290"/>
      <c r="B299" s="298"/>
      <c r="C299" s="290"/>
      <c r="D299" s="291"/>
      <c r="E299" s="429"/>
      <c r="F299" s="429"/>
      <c r="G299" s="13"/>
      <c r="H299" s="13"/>
    </row>
    <row r="300" spans="1:8" ht="12.9" x14ac:dyDescent="0.45">
      <c r="A300" s="290"/>
      <c r="B300" s="298"/>
      <c r="C300" s="290"/>
      <c r="D300" s="291"/>
      <c r="E300" s="429"/>
      <c r="F300" s="429"/>
      <c r="G300" s="13"/>
      <c r="H300" s="13"/>
    </row>
    <row r="301" spans="1:8" ht="12.9" x14ac:dyDescent="0.45">
      <c r="A301" s="290"/>
      <c r="B301" s="298"/>
      <c r="C301" s="290"/>
      <c r="D301" s="291"/>
      <c r="E301" s="429"/>
      <c r="F301" s="429"/>
      <c r="G301" s="13"/>
      <c r="H301" s="13"/>
    </row>
    <row r="302" spans="1:8" ht="12.9" x14ac:dyDescent="0.45">
      <c r="A302" s="290"/>
      <c r="B302" s="298"/>
      <c r="C302" s="290"/>
      <c r="D302" s="291"/>
      <c r="E302" s="429"/>
      <c r="F302" s="429"/>
      <c r="G302" s="13"/>
      <c r="H302" s="13"/>
    </row>
    <row r="303" spans="1:8" ht="13.3" x14ac:dyDescent="0.4">
      <c r="A303" s="288"/>
      <c r="B303" s="288"/>
      <c r="C303" s="288"/>
      <c r="D303" s="289"/>
      <c r="E303" s="430"/>
      <c r="F303" s="430"/>
      <c r="G303" s="13"/>
      <c r="H303" s="13"/>
    </row>
    <row r="304" spans="1:8" ht="12.9" x14ac:dyDescent="0.45">
      <c r="A304" s="290"/>
      <c r="B304" s="298"/>
      <c r="C304" s="290"/>
      <c r="D304" s="291"/>
      <c r="E304" s="429"/>
      <c r="F304" s="429"/>
      <c r="G304" s="13"/>
      <c r="H304" s="13"/>
    </row>
    <row r="305" spans="1:8" ht="12.9" x14ac:dyDescent="0.45">
      <c r="A305" s="290"/>
      <c r="B305" s="298"/>
      <c r="C305" s="290"/>
      <c r="D305" s="291"/>
      <c r="E305" s="429"/>
      <c r="F305" s="429"/>
      <c r="G305" s="13"/>
      <c r="H305" s="13"/>
    </row>
    <row r="306" spans="1:8" ht="12.9" x14ac:dyDescent="0.45">
      <c r="A306" s="290"/>
      <c r="B306" s="298"/>
      <c r="C306" s="290"/>
      <c r="D306" s="291"/>
      <c r="E306" s="429"/>
      <c r="F306" s="429"/>
      <c r="G306" s="13"/>
      <c r="H306" s="13"/>
    </row>
    <row r="307" spans="1:8" ht="12.9" x14ac:dyDescent="0.45">
      <c r="A307" s="290"/>
      <c r="B307" s="298"/>
      <c r="C307" s="290"/>
      <c r="D307" s="291"/>
      <c r="E307" s="429"/>
      <c r="F307" s="429"/>
      <c r="G307" s="13"/>
      <c r="H307" s="13"/>
    </row>
    <row r="308" spans="1:8" ht="13.3" x14ac:dyDescent="0.4">
      <c r="A308" s="288"/>
      <c r="B308" s="288"/>
      <c r="C308" s="288"/>
      <c r="D308" s="289"/>
      <c r="E308" s="430"/>
      <c r="F308" s="430"/>
      <c r="G308" s="13"/>
      <c r="H308" s="13"/>
    </row>
    <row r="309" spans="1:8" ht="12.9" x14ac:dyDescent="0.45">
      <c r="A309" s="290"/>
      <c r="B309" s="298"/>
      <c r="C309" s="290"/>
      <c r="D309" s="291"/>
      <c r="E309" s="429"/>
      <c r="F309" s="429"/>
      <c r="G309" s="13"/>
      <c r="H309" s="13"/>
    </row>
    <row r="310" spans="1:8" ht="12.9" x14ac:dyDescent="0.45">
      <c r="A310" s="290"/>
      <c r="B310" s="298"/>
      <c r="C310" s="290"/>
      <c r="D310" s="291"/>
      <c r="E310" s="429"/>
      <c r="F310" s="429"/>
      <c r="G310" s="13"/>
      <c r="H310" s="13"/>
    </row>
    <row r="311" spans="1:8" ht="12.9" x14ac:dyDescent="0.45">
      <c r="A311" s="290"/>
      <c r="B311" s="298"/>
      <c r="C311" s="290"/>
      <c r="D311" s="291"/>
      <c r="E311" s="429"/>
      <c r="F311" s="429"/>
      <c r="G311" s="13"/>
      <c r="H311" s="13"/>
    </row>
    <row r="312" spans="1:8" ht="12.9" x14ac:dyDescent="0.45">
      <c r="A312" s="290"/>
      <c r="B312" s="298"/>
      <c r="C312" s="290"/>
      <c r="D312" s="291"/>
      <c r="E312" s="429"/>
      <c r="F312" s="429"/>
      <c r="G312" s="13"/>
      <c r="H312" s="13"/>
    </row>
    <row r="313" spans="1:8" ht="13.3" x14ac:dyDescent="0.4">
      <c r="A313" s="288"/>
      <c r="B313" s="288"/>
      <c r="C313" s="288"/>
      <c r="D313" s="289"/>
      <c r="E313" s="430"/>
      <c r="F313" s="430"/>
      <c r="G313" s="13"/>
      <c r="H313" s="13"/>
    </row>
    <row r="314" spans="1:8" ht="12.9" x14ac:dyDescent="0.45">
      <c r="A314" s="290"/>
      <c r="B314" s="298"/>
      <c r="C314" s="290"/>
      <c r="D314" s="291"/>
      <c r="E314" s="429"/>
      <c r="F314" s="429"/>
      <c r="G314" s="13"/>
      <c r="H314" s="13"/>
    </row>
    <row r="315" spans="1:8" ht="12.9" x14ac:dyDescent="0.45">
      <c r="A315" s="290"/>
      <c r="B315" s="298"/>
      <c r="C315" s="290"/>
      <c r="D315" s="291"/>
      <c r="E315" s="429"/>
      <c r="F315" s="429"/>
      <c r="G315" s="13"/>
      <c r="H315" s="13"/>
    </row>
    <row r="316" spans="1:8" ht="12.9" x14ac:dyDescent="0.45">
      <c r="A316" s="290"/>
      <c r="B316" s="298"/>
      <c r="C316" s="290"/>
      <c r="D316" s="291"/>
      <c r="E316" s="429"/>
      <c r="F316" s="429"/>
      <c r="G316" s="13"/>
      <c r="H316" s="13"/>
    </row>
    <row r="317" spans="1:8" ht="12.9" x14ac:dyDescent="0.45">
      <c r="A317" s="290"/>
      <c r="B317" s="298"/>
      <c r="C317" s="290"/>
      <c r="D317" s="291"/>
      <c r="E317" s="429"/>
      <c r="F317" s="429"/>
      <c r="G317" s="13"/>
      <c r="H317" s="13"/>
    </row>
    <row r="318" spans="1:8" ht="13.3" x14ac:dyDescent="0.4">
      <c r="A318" s="288"/>
      <c r="B318" s="288"/>
      <c r="C318" s="288"/>
      <c r="D318" s="289"/>
      <c r="E318" s="430"/>
      <c r="F318" s="430"/>
      <c r="G318" s="13"/>
      <c r="H318" s="13"/>
    </row>
    <row r="319" spans="1:8" ht="12.9" x14ac:dyDescent="0.45">
      <c r="A319" s="290"/>
      <c r="B319" s="298"/>
      <c r="C319" s="290"/>
      <c r="D319" s="291"/>
      <c r="E319" s="429"/>
      <c r="F319" s="429"/>
      <c r="G319" s="13"/>
      <c r="H319" s="13"/>
    </row>
    <row r="320" spans="1:8" ht="12.9" x14ac:dyDescent="0.45">
      <c r="A320" s="290"/>
      <c r="B320" s="298"/>
      <c r="C320" s="290"/>
      <c r="D320" s="291"/>
      <c r="E320" s="429"/>
      <c r="F320" s="429"/>
      <c r="G320" s="13"/>
      <c r="H320" s="13"/>
    </row>
    <row r="321" spans="1:8" ht="12.9" x14ac:dyDescent="0.45">
      <c r="A321" s="290"/>
      <c r="B321" s="298"/>
      <c r="C321" s="290"/>
      <c r="D321" s="291"/>
      <c r="E321" s="429"/>
      <c r="F321" s="429"/>
      <c r="G321" s="13"/>
      <c r="H321" s="13"/>
    </row>
    <row r="322" spans="1:8" ht="12.9" x14ac:dyDescent="0.45">
      <c r="A322" s="290"/>
      <c r="B322" s="298"/>
      <c r="C322" s="290"/>
      <c r="D322" s="291"/>
      <c r="E322" s="429"/>
      <c r="F322" s="429"/>
      <c r="G322" s="13"/>
      <c r="H322" s="13"/>
    </row>
    <row r="323" spans="1:8" ht="13.3" x14ac:dyDescent="0.4">
      <c r="A323" s="288"/>
      <c r="B323" s="288"/>
      <c r="C323" s="288"/>
      <c r="D323" s="289"/>
      <c r="E323" s="430"/>
      <c r="F323" s="430"/>
      <c r="G323" s="13"/>
      <c r="H323" s="13"/>
    </row>
    <row r="324" spans="1:8" ht="12.9" x14ac:dyDescent="0.45">
      <c r="A324" s="290"/>
      <c r="B324" s="298"/>
      <c r="C324" s="290"/>
      <c r="D324" s="291"/>
      <c r="E324" s="429"/>
      <c r="F324" s="429"/>
      <c r="G324" s="13"/>
      <c r="H324" s="13"/>
    </row>
    <row r="325" spans="1:8" ht="12.9" x14ac:dyDescent="0.45">
      <c r="A325" s="290"/>
      <c r="B325" s="298"/>
      <c r="C325" s="290"/>
      <c r="D325" s="291"/>
      <c r="E325" s="429"/>
      <c r="F325" s="429"/>
      <c r="G325" s="13"/>
      <c r="H325" s="13"/>
    </row>
    <row r="326" spans="1:8" ht="12.9" x14ac:dyDescent="0.45">
      <c r="A326" s="290"/>
      <c r="B326" s="298"/>
      <c r="C326" s="290"/>
      <c r="D326" s="291"/>
      <c r="E326" s="429"/>
      <c r="F326" s="429"/>
      <c r="G326" s="13"/>
      <c r="H326" s="13"/>
    </row>
    <row r="327" spans="1:8" ht="12.9" x14ac:dyDescent="0.45">
      <c r="A327" s="290"/>
      <c r="B327" s="298"/>
      <c r="C327" s="290"/>
      <c r="D327" s="291"/>
      <c r="E327" s="429"/>
      <c r="F327" s="429"/>
      <c r="G327" s="13"/>
      <c r="H327" s="13"/>
    </row>
    <row r="328" spans="1:8" ht="13.3" x14ac:dyDescent="0.4">
      <c r="A328" s="288"/>
      <c r="B328" s="288"/>
      <c r="C328" s="288"/>
      <c r="D328" s="289"/>
      <c r="E328" s="430"/>
      <c r="F328" s="430"/>
      <c r="G328" s="13"/>
      <c r="H328" s="13"/>
    </row>
    <row r="329" spans="1:8" ht="12.9" x14ac:dyDescent="0.45">
      <c r="A329" s="290"/>
      <c r="B329" s="298"/>
      <c r="C329" s="290"/>
      <c r="D329" s="291"/>
      <c r="E329" s="429"/>
      <c r="F329" s="429"/>
      <c r="G329" s="13"/>
      <c r="H329" s="13"/>
    </row>
    <row r="330" spans="1:8" ht="12.9" x14ac:dyDescent="0.45">
      <c r="A330" s="290"/>
      <c r="B330" s="298"/>
      <c r="C330" s="290"/>
      <c r="D330" s="291"/>
      <c r="E330" s="429"/>
      <c r="F330" s="429"/>
      <c r="G330" s="13"/>
      <c r="H330" s="13"/>
    </row>
    <row r="331" spans="1:8" ht="12.9" x14ac:dyDescent="0.45">
      <c r="A331" s="290"/>
      <c r="B331" s="298"/>
      <c r="C331" s="290"/>
      <c r="D331" s="291"/>
      <c r="E331" s="429"/>
      <c r="F331" s="429"/>
      <c r="G331" s="13"/>
      <c r="H331" s="13"/>
    </row>
    <row r="332" spans="1:8" ht="12.9" x14ac:dyDescent="0.45">
      <c r="A332" s="290"/>
      <c r="B332" s="298"/>
      <c r="C332" s="290"/>
      <c r="D332" s="291"/>
      <c r="E332" s="429"/>
      <c r="F332" s="429"/>
      <c r="G332" s="13"/>
      <c r="H332" s="13"/>
    </row>
    <row r="333" spans="1:8" ht="13.3" x14ac:dyDescent="0.4">
      <c r="A333" s="288"/>
      <c r="B333" s="288"/>
      <c r="C333" s="288"/>
      <c r="D333" s="289"/>
      <c r="E333" s="430"/>
      <c r="F333" s="430"/>
      <c r="G333" s="13"/>
      <c r="H333" s="13"/>
    </row>
    <row r="334" spans="1:8" ht="12.9" x14ac:dyDescent="0.45">
      <c r="A334" s="290"/>
      <c r="B334" s="298"/>
      <c r="C334" s="290"/>
      <c r="D334" s="291"/>
      <c r="E334" s="429"/>
      <c r="F334" s="429"/>
      <c r="G334" s="13"/>
      <c r="H334" s="13"/>
    </row>
    <row r="335" spans="1:8" ht="12.9" x14ac:dyDescent="0.45">
      <c r="A335" s="290"/>
      <c r="B335" s="298"/>
      <c r="C335" s="290"/>
      <c r="D335" s="291"/>
      <c r="E335" s="429"/>
      <c r="F335" s="429"/>
      <c r="G335" s="13"/>
      <c r="H335" s="13"/>
    </row>
    <row r="336" spans="1:8" ht="12.9" x14ac:dyDescent="0.45">
      <c r="A336" s="290"/>
      <c r="B336" s="298"/>
      <c r="C336" s="290"/>
      <c r="D336" s="291"/>
      <c r="E336" s="429"/>
      <c r="F336" s="429"/>
      <c r="G336" s="13"/>
      <c r="H336" s="13"/>
    </row>
    <row r="337" spans="1:8" ht="12.9" x14ac:dyDescent="0.45">
      <c r="A337" s="290"/>
      <c r="B337" s="298"/>
      <c r="C337" s="290"/>
      <c r="D337" s="291"/>
      <c r="E337" s="429"/>
      <c r="F337" s="429"/>
      <c r="G337" s="13"/>
      <c r="H337" s="13"/>
    </row>
    <row r="338" spans="1:8" ht="13.3" x14ac:dyDescent="0.4">
      <c r="A338" s="288"/>
      <c r="B338" s="288"/>
      <c r="C338" s="288"/>
      <c r="D338" s="289"/>
      <c r="E338" s="430"/>
      <c r="F338" s="430"/>
      <c r="G338" s="13"/>
      <c r="H338" s="13"/>
    </row>
    <row r="339" spans="1:8" ht="12.9" x14ac:dyDescent="0.45">
      <c r="A339" s="290"/>
      <c r="B339" s="298"/>
      <c r="C339" s="290"/>
      <c r="D339" s="291"/>
      <c r="E339" s="429"/>
      <c r="F339" s="429"/>
      <c r="G339" s="13"/>
      <c r="H339" s="13"/>
    </row>
    <row r="340" spans="1:8" ht="12.9" x14ac:dyDescent="0.45">
      <c r="A340" s="290"/>
      <c r="B340" s="298"/>
      <c r="C340" s="290"/>
      <c r="D340" s="291"/>
      <c r="E340" s="429"/>
      <c r="F340" s="429"/>
      <c r="G340" s="13"/>
      <c r="H340" s="13"/>
    </row>
    <row r="341" spans="1:8" ht="12.9" x14ac:dyDescent="0.45">
      <c r="A341" s="290"/>
      <c r="B341" s="298"/>
      <c r="C341" s="290"/>
      <c r="D341" s="291"/>
      <c r="E341" s="429"/>
      <c r="F341" s="429"/>
      <c r="G341" s="13"/>
      <c r="H341" s="13"/>
    </row>
    <row r="342" spans="1:8" ht="12.9" x14ac:dyDescent="0.45">
      <c r="A342" s="290"/>
      <c r="B342" s="298"/>
      <c r="C342" s="290"/>
      <c r="D342" s="291"/>
      <c r="E342" s="429"/>
      <c r="F342" s="429"/>
      <c r="G342" s="13"/>
      <c r="H342" s="13"/>
    </row>
    <row r="343" spans="1:8" ht="13.3" x14ac:dyDescent="0.4">
      <c r="A343" s="288"/>
      <c r="B343" s="288"/>
      <c r="C343" s="288"/>
      <c r="D343" s="289"/>
      <c r="E343" s="430"/>
      <c r="F343" s="430"/>
      <c r="G343" s="13"/>
      <c r="H343" s="13"/>
    </row>
    <row r="344" spans="1:8" ht="12.9" x14ac:dyDescent="0.45">
      <c r="A344" s="290"/>
      <c r="B344" s="298"/>
      <c r="C344" s="290"/>
      <c r="D344" s="291"/>
      <c r="E344" s="429"/>
      <c r="F344" s="429"/>
      <c r="G344" s="13"/>
      <c r="H344" s="13"/>
    </row>
    <row r="345" spans="1:8" ht="12.9" x14ac:dyDescent="0.45">
      <c r="A345" s="290"/>
      <c r="B345" s="298"/>
      <c r="C345" s="290"/>
      <c r="D345" s="291"/>
      <c r="E345" s="429"/>
      <c r="F345" s="429"/>
      <c r="G345" s="13"/>
      <c r="H345" s="13"/>
    </row>
    <row r="346" spans="1:8" ht="12.9" x14ac:dyDescent="0.45">
      <c r="A346" s="290"/>
      <c r="B346" s="298"/>
      <c r="C346" s="290"/>
      <c r="D346" s="291"/>
      <c r="E346" s="429"/>
      <c r="F346" s="429"/>
      <c r="G346" s="13"/>
      <c r="H346" s="13"/>
    </row>
    <row r="347" spans="1:8" ht="12.9" x14ac:dyDescent="0.45">
      <c r="A347" s="290"/>
      <c r="B347" s="298"/>
      <c r="C347" s="290"/>
      <c r="D347" s="291"/>
      <c r="E347" s="429"/>
      <c r="F347" s="429"/>
      <c r="G347" s="13"/>
      <c r="H347" s="13"/>
    </row>
    <row r="348" spans="1:8" ht="13.3" x14ac:dyDescent="0.4">
      <c r="A348" s="288"/>
      <c r="B348" s="288"/>
      <c r="C348" s="288"/>
      <c r="D348" s="289"/>
      <c r="E348" s="430"/>
      <c r="F348" s="430"/>
      <c r="G348" s="13"/>
      <c r="H348" s="13"/>
    </row>
    <row r="349" spans="1:8" ht="12.9" x14ac:dyDescent="0.45">
      <c r="A349" s="290"/>
      <c r="B349" s="298"/>
      <c r="C349" s="290"/>
      <c r="D349" s="291"/>
      <c r="E349" s="429"/>
      <c r="F349" s="429"/>
      <c r="G349" s="13"/>
      <c r="H349" s="13"/>
    </row>
    <row r="350" spans="1:8" ht="12.9" x14ac:dyDescent="0.45">
      <c r="A350" s="290"/>
      <c r="B350" s="298"/>
      <c r="C350" s="290"/>
      <c r="D350" s="291"/>
      <c r="E350" s="429"/>
      <c r="F350" s="429"/>
      <c r="G350" s="13"/>
      <c r="H350" s="13"/>
    </row>
    <row r="351" spans="1:8" ht="12.9" x14ac:dyDescent="0.45">
      <c r="A351" s="290"/>
      <c r="B351" s="298"/>
      <c r="C351" s="290"/>
      <c r="D351" s="291"/>
      <c r="E351" s="429"/>
      <c r="F351" s="429"/>
      <c r="G351" s="13"/>
      <c r="H351" s="13"/>
    </row>
    <row r="352" spans="1:8" ht="12.9" x14ac:dyDescent="0.45">
      <c r="A352" s="290"/>
      <c r="B352" s="298"/>
      <c r="C352" s="290"/>
      <c r="D352" s="291"/>
      <c r="E352" s="429"/>
      <c r="F352" s="429"/>
      <c r="G352" s="13"/>
      <c r="H352" s="13"/>
    </row>
    <row r="353" spans="1:8" ht="13.3" x14ac:dyDescent="0.4">
      <c r="A353" s="288"/>
      <c r="B353" s="288"/>
      <c r="C353" s="288"/>
      <c r="D353" s="289"/>
      <c r="E353" s="430"/>
      <c r="F353" s="430"/>
      <c r="G353" s="13"/>
      <c r="H353" s="13"/>
    </row>
    <row r="354" spans="1:8" ht="12.9" x14ac:dyDescent="0.45">
      <c r="A354" s="290"/>
      <c r="B354" s="298"/>
      <c r="C354" s="290"/>
      <c r="D354" s="291"/>
      <c r="E354" s="429"/>
      <c r="F354" s="429"/>
      <c r="G354" s="13"/>
      <c r="H354" s="13"/>
    </row>
    <row r="355" spans="1:8" ht="12.9" x14ac:dyDescent="0.45">
      <c r="A355" s="290"/>
      <c r="B355" s="298"/>
      <c r="C355" s="290"/>
      <c r="D355" s="291"/>
      <c r="E355" s="429"/>
      <c r="F355" s="429"/>
      <c r="G355" s="13"/>
      <c r="H355" s="13"/>
    </row>
    <row r="356" spans="1:8" ht="12.9" x14ac:dyDescent="0.45">
      <c r="A356" s="290"/>
      <c r="B356" s="298"/>
      <c r="C356" s="290"/>
      <c r="D356" s="291"/>
      <c r="E356" s="429"/>
      <c r="F356" s="429"/>
      <c r="G356" s="13"/>
      <c r="H356" s="13"/>
    </row>
    <row r="357" spans="1:8" ht="12.9" x14ac:dyDescent="0.45">
      <c r="A357" s="290"/>
      <c r="B357" s="298"/>
      <c r="C357" s="290"/>
      <c r="D357" s="291"/>
      <c r="E357" s="429"/>
      <c r="F357" s="429"/>
      <c r="G357" s="13"/>
      <c r="H357" s="13"/>
    </row>
    <row r="358" spans="1:8" ht="13.3" x14ac:dyDescent="0.4">
      <c r="A358" s="288"/>
      <c r="B358" s="288"/>
      <c r="C358" s="288"/>
      <c r="D358" s="289"/>
      <c r="E358" s="430"/>
      <c r="F358" s="430"/>
      <c r="G358" s="13"/>
      <c r="H358" s="13"/>
    </row>
    <row r="359" spans="1:8" ht="12.9" x14ac:dyDescent="0.45">
      <c r="A359" s="290"/>
      <c r="B359" s="298"/>
      <c r="C359" s="290"/>
      <c r="D359" s="291"/>
      <c r="E359" s="429"/>
      <c r="F359" s="429"/>
      <c r="G359" s="13"/>
      <c r="H359" s="13"/>
    </row>
    <row r="360" spans="1:8" ht="12.9" x14ac:dyDescent="0.45">
      <c r="A360" s="290"/>
      <c r="B360" s="298"/>
      <c r="C360" s="290"/>
      <c r="D360" s="291"/>
      <c r="E360" s="429"/>
      <c r="F360" s="429"/>
      <c r="G360" s="13"/>
      <c r="H360" s="13"/>
    </row>
    <row r="361" spans="1:8" ht="12.9" x14ac:dyDescent="0.45">
      <c r="A361" s="290"/>
      <c r="B361" s="298"/>
      <c r="C361" s="290"/>
      <c r="D361" s="291"/>
      <c r="E361" s="429"/>
      <c r="F361" s="429"/>
      <c r="G361" s="13"/>
      <c r="H361" s="13"/>
    </row>
    <row r="362" spans="1:8" ht="12.9" x14ac:dyDescent="0.45">
      <c r="A362" s="290"/>
      <c r="B362" s="298"/>
      <c r="C362" s="290"/>
      <c r="D362" s="291"/>
      <c r="E362" s="429"/>
      <c r="F362" s="429"/>
      <c r="G362" s="13"/>
      <c r="H362" s="13"/>
    </row>
    <row r="363" spans="1:8" ht="13.3" x14ac:dyDescent="0.4">
      <c r="A363" s="288"/>
      <c r="B363" s="288"/>
      <c r="C363" s="288"/>
      <c r="D363" s="289"/>
      <c r="E363" s="430"/>
      <c r="F363" s="430"/>
      <c r="G363" s="13"/>
      <c r="H363" s="13"/>
    </row>
    <row r="364" spans="1:8" ht="12.9" x14ac:dyDescent="0.45">
      <c r="A364" s="290"/>
      <c r="B364" s="298"/>
      <c r="C364" s="290"/>
      <c r="D364" s="291"/>
      <c r="E364" s="429"/>
      <c r="F364" s="429"/>
      <c r="G364" s="13"/>
      <c r="H364" s="13"/>
    </row>
    <row r="365" spans="1:8" ht="12.9" x14ac:dyDescent="0.45">
      <c r="A365" s="290"/>
      <c r="B365" s="298"/>
      <c r="C365" s="290"/>
      <c r="D365" s="291"/>
      <c r="E365" s="429"/>
      <c r="F365" s="429"/>
      <c r="G365" s="13"/>
      <c r="H365" s="13"/>
    </row>
    <row r="366" spans="1:8" ht="12.9" x14ac:dyDescent="0.45">
      <c r="A366" s="290"/>
      <c r="B366" s="298"/>
      <c r="C366" s="290"/>
      <c r="D366" s="291"/>
      <c r="E366" s="429"/>
      <c r="F366" s="429"/>
      <c r="G366" s="13"/>
      <c r="H366" s="13"/>
    </row>
    <row r="367" spans="1:8" ht="12.9" x14ac:dyDescent="0.45">
      <c r="A367" s="290"/>
      <c r="B367" s="298"/>
      <c r="C367" s="290"/>
      <c r="D367" s="291"/>
      <c r="E367" s="429"/>
      <c r="F367" s="429"/>
      <c r="G367" s="13"/>
      <c r="H367" s="13"/>
    </row>
    <row r="368" spans="1:8" ht="13.3" x14ac:dyDescent="0.4">
      <c r="A368" s="288"/>
      <c r="B368" s="288"/>
      <c r="C368" s="288"/>
      <c r="D368" s="289"/>
      <c r="E368" s="430"/>
      <c r="F368" s="430"/>
      <c r="G368" s="13"/>
      <c r="H368" s="13"/>
    </row>
    <row r="369" spans="1:8" ht="12.9" x14ac:dyDescent="0.45">
      <c r="A369" s="290"/>
      <c r="B369" s="298"/>
      <c r="C369" s="290"/>
      <c r="D369" s="291"/>
      <c r="E369" s="429"/>
      <c r="F369" s="429"/>
      <c r="G369" s="13"/>
      <c r="H369" s="13"/>
    </row>
    <row r="370" spans="1:8" ht="12.9" x14ac:dyDescent="0.45">
      <c r="A370" s="290"/>
      <c r="B370" s="298"/>
      <c r="C370" s="290"/>
      <c r="D370" s="291"/>
      <c r="E370" s="429"/>
      <c r="F370" s="429"/>
      <c r="G370" s="13"/>
      <c r="H370" s="13"/>
    </row>
    <row r="371" spans="1:8" ht="12.9" x14ac:dyDescent="0.45">
      <c r="A371" s="290"/>
      <c r="B371" s="298"/>
      <c r="C371" s="290"/>
      <c r="D371" s="291"/>
      <c r="E371" s="429"/>
      <c r="F371" s="429"/>
      <c r="G371" s="13"/>
      <c r="H371" s="13"/>
    </row>
    <row r="372" spans="1:8" ht="12.9" x14ac:dyDescent="0.45">
      <c r="A372" s="290"/>
      <c r="B372" s="298"/>
      <c r="C372" s="290"/>
      <c r="D372" s="291"/>
      <c r="E372" s="429"/>
      <c r="F372" s="429"/>
      <c r="G372" s="13"/>
      <c r="H372" s="13"/>
    </row>
    <row r="373" spans="1:8" ht="13.3" x14ac:dyDescent="0.4">
      <c r="A373" s="288"/>
      <c r="B373" s="288"/>
      <c r="C373" s="288"/>
      <c r="D373" s="289"/>
      <c r="E373" s="430"/>
      <c r="F373" s="430"/>
      <c r="G373" s="13"/>
      <c r="H373" s="13"/>
    </row>
    <row r="374" spans="1:8" ht="12.9" x14ac:dyDescent="0.45">
      <c r="A374" s="290"/>
      <c r="B374" s="298"/>
      <c r="C374" s="290"/>
      <c r="D374" s="291"/>
      <c r="E374" s="429"/>
      <c r="F374" s="429"/>
      <c r="G374" s="13"/>
      <c r="H374" s="13"/>
    </row>
    <row r="375" spans="1:8" ht="12.9" x14ac:dyDescent="0.45">
      <c r="A375" s="290"/>
      <c r="B375" s="298"/>
      <c r="C375" s="290"/>
      <c r="D375" s="291"/>
      <c r="E375" s="429"/>
      <c r="F375" s="429"/>
      <c r="G375" s="13"/>
      <c r="H375" s="13"/>
    </row>
    <row r="376" spans="1:8" ht="12.9" x14ac:dyDescent="0.45">
      <c r="A376" s="290"/>
      <c r="B376" s="298"/>
      <c r="C376" s="290"/>
      <c r="D376" s="291"/>
      <c r="E376" s="429"/>
      <c r="F376" s="429"/>
      <c r="G376" s="13"/>
      <c r="H376" s="13"/>
    </row>
    <row r="377" spans="1:8" ht="12.9" x14ac:dyDescent="0.45">
      <c r="A377" s="290"/>
      <c r="B377" s="298"/>
      <c r="C377" s="290"/>
      <c r="D377" s="291"/>
      <c r="E377" s="429"/>
      <c r="F377" s="429"/>
      <c r="G377" s="13"/>
      <c r="H377" s="13"/>
    </row>
    <row r="378" spans="1:8" ht="13.3" x14ac:dyDescent="0.4">
      <c r="A378" s="288"/>
      <c r="B378" s="288"/>
      <c r="C378" s="288"/>
      <c r="D378" s="289"/>
      <c r="E378" s="430"/>
      <c r="F378" s="430"/>
      <c r="G378" s="13"/>
      <c r="H378" s="13"/>
    </row>
    <row r="379" spans="1:8" ht="12.9" x14ac:dyDescent="0.45">
      <c r="A379" s="290"/>
      <c r="B379" s="298"/>
      <c r="C379" s="290"/>
      <c r="D379" s="291"/>
      <c r="E379" s="429"/>
      <c r="F379" s="429"/>
      <c r="G379" s="13"/>
      <c r="H379" s="13"/>
    </row>
    <row r="380" spans="1:8" ht="12.9" x14ac:dyDescent="0.45">
      <c r="A380" s="290"/>
      <c r="B380" s="298"/>
      <c r="C380" s="290"/>
      <c r="D380" s="291"/>
      <c r="E380" s="429"/>
      <c r="F380" s="429"/>
      <c r="G380" s="13"/>
      <c r="H380" s="13"/>
    </row>
    <row r="381" spans="1:8" ht="12.9" x14ac:dyDescent="0.45">
      <c r="A381" s="290"/>
      <c r="B381" s="298"/>
      <c r="C381" s="290"/>
      <c r="D381" s="291"/>
      <c r="E381" s="429"/>
      <c r="F381" s="429"/>
      <c r="G381" s="13"/>
      <c r="H381" s="13"/>
    </row>
    <row r="382" spans="1:8" ht="12.9" x14ac:dyDescent="0.45">
      <c r="A382" s="290"/>
      <c r="B382" s="298"/>
      <c r="C382" s="290"/>
      <c r="D382" s="291"/>
      <c r="E382" s="429"/>
      <c r="F382" s="429"/>
      <c r="G382" s="13"/>
      <c r="H382" s="13"/>
    </row>
    <row r="383" spans="1:8" ht="13.3" x14ac:dyDescent="0.4">
      <c r="A383" s="288"/>
      <c r="B383" s="288"/>
      <c r="C383" s="288"/>
      <c r="D383" s="289"/>
      <c r="E383" s="430"/>
      <c r="F383" s="430"/>
      <c r="G383" s="13"/>
      <c r="H383" s="13"/>
    </row>
    <row r="384" spans="1:8" ht="12.9" x14ac:dyDescent="0.45">
      <c r="A384" s="290"/>
      <c r="B384" s="298"/>
      <c r="C384" s="290"/>
      <c r="D384" s="291"/>
      <c r="E384" s="429"/>
      <c r="F384" s="429"/>
      <c r="G384" s="13"/>
      <c r="H384" s="13"/>
    </row>
    <row r="385" spans="1:8" ht="12.9" x14ac:dyDescent="0.45">
      <c r="A385" s="290"/>
      <c r="B385" s="298"/>
      <c r="C385" s="290"/>
      <c r="D385" s="291"/>
      <c r="E385" s="429"/>
      <c r="F385" s="429"/>
      <c r="G385" s="13"/>
      <c r="H385" s="13"/>
    </row>
    <row r="386" spans="1:8" ht="12.9" x14ac:dyDescent="0.45">
      <c r="A386" s="290"/>
      <c r="B386" s="298"/>
      <c r="C386" s="290"/>
      <c r="D386" s="291"/>
      <c r="E386" s="429"/>
      <c r="F386" s="429"/>
      <c r="G386" s="13"/>
      <c r="H386" s="13"/>
    </row>
    <row r="387" spans="1:8" ht="12.9" x14ac:dyDescent="0.45">
      <c r="A387" s="290"/>
      <c r="B387" s="298"/>
      <c r="C387" s="290"/>
      <c r="D387" s="291"/>
      <c r="E387" s="429"/>
      <c r="F387" s="429"/>
      <c r="G387" s="13"/>
      <c r="H387" s="13"/>
    </row>
    <row r="388" spans="1:8" ht="13.3" x14ac:dyDescent="0.4">
      <c r="A388" s="288"/>
      <c r="B388" s="288"/>
      <c r="C388" s="288"/>
      <c r="D388" s="289"/>
      <c r="E388" s="430"/>
      <c r="F388" s="430"/>
      <c r="G388" s="13"/>
      <c r="H388" s="13"/>
    </row>
    <row r="389" spans="1:8" ht="12.9" x14ac:dyDescent="0.45">
      <c r="A389" s="290"/>
      <c r="B389" s="298"/>
      <c r="C389" s="290"/>
      <c r="D389" s="291"/>
      <c r="E389" s="429"/>
      <c r="F389" s="429"/>
      <c r="G389" s="13"/>
      <c r="H389" s="13"/>
    </row>
    <row r="390" spans="1:8" ht="12.9" x14ac:dyDescent="0.45">
      <c r="A390" s="290"/>
      <c r="B390" s="298"/>
      <c r="C390" s="290"/>
      <c r="D390" s="291"/>
      <c r="E390" s="429"/>
      <c r="F390" s="429"/>
      <c r="G390" s="13"/>
      <c r="H390" s="13"/>
    </row>
    <row r="391" spans="1:8" ht="12.9" x14ac:dyDescent="0.45">
      <c r="A391" s="290"/>
      <c r="B391" s="298"/>
      <c r="C391" s="290"/>
      <c r="D391" s="291"/>
      <c r="E391" s="429"/>
      <c r="F391" s="429"/>
      <c r="G391" s="13"/>
      <c r="H391" s="13"/>
    </row>
    <row r="392" spans="1:8" ht="12.9" x14ac:dyDescent="0.45">
      <c r="A392" s="290"/>
      <c r="B392" s="298"/>
      <c r="C392" s="290"/>
      <c r="D392" s="291"/>
      <c r="E392" s="429"/>
      <c r="F392" s="429"/>
      <c r="G392" s="13"/>
      <c r="H392" s="13"/>
    </row>
    <row r="393" spans="1:8" ht="13.3" x14ac:dyDescent="0.4">
      <c r="A393" s="288"/>
      <c r="B393" s="288"/>
      <c r="C393" s="288"/>
      <c r="D393" s="289"/>
      <c r="E393" s="430"/>
      <c r="F393" s="430"/>
      <c r="G393" s="13"/>
      <c r="H393" s="13"/>
    </row>
    <row r="394" spans="1:8" ht="12.9" x14ac:dyDescent="0.45">
      <c r="A394" s="290"/>
      <c r="B394" s="298"/>
      <c r="C394" s="290"/>
      <c r="D394" s="291"/>
      <c r="E394" s="429"/>
      <c r="F394" s="429"/>
      <c r="G394" s="13"/>
      <c r="H394" s="13"/>
    </row>
    <row r="395" spans="1:8" ht="12.9" x14ac:dyDescent="0.45">
      <c r="A395" s="290"/>
      <c r="B395" s="298"/>
      <c r="C395" s="290"/>
      <c r="D395" s="291"/>
      <c r="E395" s="429"/>
      <c r="F395" s="429"/>
      <c r="G395" s="13"/>
      <c r="H395" s="13"/>
    </row>
    <row r="396" spans="1:8" ht="12.9" x14ac:dyDescent="0.45">
      <c r="A396" s="290"/>
      <c r="B396" s="298"/>
      <c r="C396" s="290"/>
      <c r="D396" s="291"/>
      <c r="E396" s="429"/>
      <c r="F396" s="429"/>
      <c r="G396" s="13"/>
      <c r="H396" s="13"/>
    </row>
    <row r="397" spans="1:8" ht="12.9" x14ac:dyDescent="0.45">
      <c r="A397" s="290"/>
      <c r="B397" s="298"/>
      <c r="C397" s="290"/>
      <c r="D397" s="291"/>
      <c r="E397" s="429"/>
      <c r="F397" s="429"/>
      <c r="G397" s="13"/>
      <c r="H397" s="13"/>
    </row>
    <row r="398" spans="1:8" ht="13.3" x14ac:dyDescent="0.4">
      <c r="A398" s="288"/>
      <c r="B398" s="288"/>
      <c r="C398" s="288"/>
      <c r="D398" s="289"/>
      <c r="E398" s="430"/>
      <c r="F398" s="430"/>
      <c r="G398" s="13"/>
      <c r="H398" s="13"/>
    </row>
    <row r="399" spans="1:8" ht="12.9" x14ac:dyDescent="0.45">
      <c r="A399" s="290"/>
      <c r="B399" s="298"/>
      <c r="C399" s="290"/>
      <c r="D399" s="291"/>
      <c r="E399" s="429"/>
      <c r="F399" s="429"/>
      <c r="G399" s="13"/>
      <c r="H399" s="13"/>
    </row>
    <row r="400" spans="1:8" ht="12.9" x14ac:dyDescent="0.45">
      <c r="A400" s="290"/>
      <c r="B400" s="298"/>
      <c r="C400" s="290"/>
      <c r="D400" s="291"/>
      <c r="E400" s="429"/>
      <c r="F400" s="429"/>
      <c r="G400" s="13"/>
      <c r="H400" s="13"/>
    </row>
    <row r="401" spans="1:8" ht="12.9" x14ac:dyDescent="0.45">
      <c r="A401" s="290"/>
      <c r="B401" s="298"/>
      <c r="C401" s="290"/>
      <c r="D401" s="291"/>
      <c r="E401" s="429"/>
      <c r="F401" s="429"/>
      <c r="G401" s="13"/>
      <c r="H401" s="13"/>
    </row>
    <row r="402" spans="1:8" ht="12.9" x14ac:dyDescent="0.45">
      <c r="A402" s="290"/>
      <c r="B402" s="298"/>
      <c r="C402" s="290"/>
      <c r="D402" s="291"/>
      <c r="E402" s="429"/>
      <c r="F402" s="429"/>
      <c r="G402" s="13"/>
      <c r="H402" s="13"/>
    </row>
    <row r="403" spans="1:8" ht="13.3" x14ac:dyDescent="0.4">
      <c r="A403" s="288"/>
      <c r="B403" s="288"/>
      <c r="C403" s="288"/>
      <c r="D403" s="289"/>
      <c r="E403" s="430"/>
      <c r="F403" s="430"/>
      <c r="G403" s="13"/>
      <c r="H403" s="13"/>
    </row>
    <row r="404" spans="1:8" ht="12.9" x14ac:dyDescent="0.45">
      <c r="A404" s="290"/>
      <c r="B404" s="298"/>
      <c r="C404" s="290"/>
      <c r="D404" s="291"/>
      <c r="E404" s="429"/>
      <c r="F404" s="429"/>
      <c r="G404" s="13"/>
      <c r="H404" s="13"/>
    </row>
    <row r="405" spans="1:8" ht="12.9" x14ac:dyDescent="0.45">
      <c r="A405" s="290"/>
      <c r="B405" s="298"/>
      <c r="C405" s="290"/>
      <c r="D405" s="291"/>
      <c r="E405" s="429"/>
      <c r="F405" s="429"/>
      <c r="G405" s="13"/>
      <c r="H405" s="13"/>
    </row>
    <row r="406" spans="1:8" ht="12.9" x14ac:dyDescent="0.45">
      <c r="A406" s="290"/>
      <c r="B406" s="298"/>
      <c r="C406" s="290"/>
      <c r="D406" s="291"/>
      <c r="E406" s="429"/>
      <c r="F406" s="429"/>
      <c r="G406" s="13"/>
      <c r="H406" s="13"/>
    </row>
    <row r="407" spans="1:8" ht="12.9" x14ac:dyDescent="0.45">
      <c r="A407" s="290"/>
      <c r="B407" s="298"/>
      <c r="C407" s="290"/>
      <c r="D407" s="291"/>
      <c r="E407" s="429"/>
      <c r="F407" s="429"/>
      <c r="G407" s="13"/>
      <c r="H407" s="13"/>
    </row>
    <row r="408" spans="1:8" ht="13.3" x14ac:dyDescent="0.4">
      <c r="A408" s="288"/>
      <c r="B408" s="288"/>
      <c r="C408" s="288"/>
      <c r="D408" s="289"/>
      <c r="E408" s="430"/>
      <c r="F408" s="430"/>
      <c r="G408" s="13"/>
      <c r="H408" s="13"/>
    </row>
    <row r="409" spans="1:8" ht="12.9" x14ac:dyDescent="0.45">
      <c r="A409" s="290"/>
      <c r="B409" s="298"/>
      <c r="C409" s="290"/>
      <c r="D409" s="291"/>
      <c r="E409" s="429"/>
      <c r="F409" s="429"/>
      <c r="G409" s="13"/>
      <c r="H409" s="13"/>
    </row>
    <row r="410" spans="1:8" ht="12.9" x14ac:dyDescent="0.45">
      <c r="A410" s="290"/>
      <c r="B410" s="298"/>
      <c r="C410" s="290"/>
      <c r="D410" s="291"/>
      <c r="E410" s="429"/>
      <c r="F410" s="429"/>
      <c r="G410" s="13"/>
      <c r="H410" s="13"/>
    </row>
    <row r="411" spans="1:8" ht="12.9" x14ac:dyDescent="0.45">
      <c r="A411" s="290"/>
      <c r="B411" s="298"/>
      <c r="C411" s="290"/>
      <c r="D411" s="291"/>
      <c r="E411" s="429"/>
      <c r="F411" s="429"/>
      <c r="G411" s="13"/>
      <c r="H411" s="13"/>
    </row>
    <row r="412" spans="1:8" ht="12.9" x14ac:dyDescent="0.45">
      <c r="A412" s="290"/>
      <c r="B412" s="298"/>
      <c r="C412" s="290"/>
      <c r="D412" s="291"/>
      <c r="E412" s="429"/>
      <c r="F412" s="429"/>
      <c r="G412" s="13"/>
      <c r="H412" s="13"/>
    </row>
    <row r="413" spans="1:8" ht="13.3" x14ac:dyDescent="0.4">
      <c r="A413" s="288"/>
      <c r="B413" s="288"/>
      <c r="C413" s="288"/>
      <c r="D413" s="289"/>
      <c r="E413" s="430"/>
      <c r="F413" s="430"/>
      <c r="G413" s="13"/>
      <c r="H413" s="13"/>
    </row>
    <row r="414" spans="1:8" ht="12.9" x14ac:dyDescent="0.45">
      <c r="A414" s="290"/>
      <c r="B414" s="298"/>
      <c r="C414" s="290"/>
      <c r="D414" s="291"/>
      <c r="E414" s="429"/>
      <c r="F414" s="429"/>
      <c r="G414" s="13"/>
      <c r="H414" s="13"/>
    </row>
    <row r="415" spans="1:8" ht="12.9" x14ac:dyDescent="0.45">
      <c r="A415" s="290"/>
      <c r="B415" s="298"/>
      <c r="C415" s="290"/>
      <c r="D415" s="291"/>
      <c r="E415" s="429"/>
      <c r="F415" s="429"/>
      <c r="G415" s="13"/>
      <c r="H415" s="13"/>
    </row>
    <row r="416" spans="1:8" ht="12.9" x14ac:dyDescent="0.45">
      <c r="A416" s="290"/>
      <c r="B416" s="298"/>
      <c r="C416" s="290"/>
      <c r="D416" s="291"/>
      <c r="E416" s="429"/>
      <c r="F416" s="429"/>
      <c r="G416" s="13"/>
      <c r="H416" s="13"/>
    </row>
    <row r="417" spans="1:8" ht="12.9" x14ac:dyDescent="0.45">
      <c r="A417" s="290"/>
      <c r="B417" s="298"/>
      <c r="C417" s="290"/>
      <c r="D417" s="291"/>
      <c r="E417" s="429"/>
      <c r="F417" s="429"/>
      <c r="G417" s="13"/>
      <c r="H417" s="13"/>
    </row>
    <row r="418" spans="1:8" ht="13.3" x14ac:dyDescent="0.4">
      <c r="A418" s="288"/>
      <c r="B418" s="288"/>
      <c r="C418" s="288"/>
      <c r="D418" s="289"/>
      <c r="E418" s="430"/>
      <c r="F418" s="430"/>
      <c r="G418" s="13"/>
      <c r="H418" s="13"/>
    </row>
    <row r="419" spans="1:8" ht="12.9" x14ac:dyDescent="0.45">
      <c r="A419" s="290"/>
      <c r="B419" s="298"/>
      <c r="C419" s="290"/>
      <c r="D419" s="291"/>
      <c r="E419" s="429"/>
      <c r="F419" s="429"/>
      <c r="G419" s="13"/>
      <c r="H419" s="13"/>
    </row>
    <row r="420" spans="1:8" ht="12.9" x14ac:dyDescent="0.45">
      <c r="A420" s="290"/>
      <c r="B420" s="298"/>
      <c r="C420" s="290"/>
      <c r="D420" s="291"/>
      <c r="E420" s="429"/>
      <c r="F420" s="429"/>
      <c r="G420" s="13"/>
      <c r="H420" s="13"/>
    </row>
    <row r="421" spans="1:8" ht="12.9" x14ac:dyDescent="0.45">
      <c r="A421" s="290"/>
      <c r="B421" s="298"/>
      <c r="C421" s="290"/>
      <c r="D421" s="291"/>
      <c r="E421" s="429"/>
      <c r="F421" s="429"/>
      <c r="G421" s="13"/>
      <c r="H421" s="13"/>
    </row>
    <row r="422" spans="1:8" ht="12.9" x14ac:dyDescent="0.45">
      <c r="A422" s="290"/>
      <c r="B422" s="298"/>
      <c r="C422" s="290"/>
      <c r="D422" s="291"/>
      <c r="E422" s="429"/>
      <c r="F422" s="429"/>
      <c r="G422" s="13"/>
      <c r="H422" s="13"/>
    </row>
    <row r="423" spans="1:8" ht="13.3" x14ac:dyDescent="0.4">
      <c r="A423" s="288"/>
      <c r="B423" s="288"/>
      <c r="C423" s="288"/>
      <c r="D423" s="289"/>
      <c r="E423" s="430"/>
      <c r="F423" s="430"/>
      <c r="G423" s="13"/>
      <c r="H423" s="13"/>
    </row>
    <row r="424" spans="1:8" ht="12.9" x14ac:dyDescent="0.45">
      <c r="A424" s="290"/>
      <c r="B424" s="298"/>
      <c r="C424" s="290"/>
      <c r="D424" s="291"/>
      <c r="E424" s="429"/>
      <c r="F424" s="429"/>
      <c r="G424" s="13"/>
      <c r="H424" s="13"/>
    </row>
    <row r="425" spans="1:8" ht="12.9" x14ac:dyDescent="0.45">
      <c r="A425" s="290"/>
      <c r="B425" s="298"/>
      <c r="C425" s="290"/>
      <c r="D425" s="291"/>
      <c r="E425" s="429"/>
      <c r="F425" s="429"/>
      <c r="G425" s="13"/>
      <c r="H425" s="13"/>
    </row>
    <row r="426" spans="1:8" ht="12.9" x14ac:dyDescent="0.45">
      <c r="A426" s="290"/>
      <c r="B426" s="298"/>
      <c r="C426" s="290"/>
      <c r="D426" s="291"/>
      <c r="E426" s="429"/>
      <c r="F426" s="429"/>
      <c r="G426" s="13"/>
      <c r="H426" s="13"/>
    </row>
    <row r="427" spans="1:8" ht="12.9" x14ac:dyDescent="0.45">
      <c r="A427" s="290"/>
      <c r="B427" s="298"/>
      <c r="C427" s="290"/>
      <c r="D427" s="291"/>
      <c r="E427" s="429"/>
      <c r="F427" s="429"/>
      <c r="G427" s="13"/>
      <c r="H427" s="13"/>
    </row>
    <row r="428" spans="1:8" ht="13.3" x14ac:dyDescent="0.4">
      <c r="A428" s="288"/>
      <c r="B428" s="288"/>
      <c r="C428" s="288"/>
      <c r="D428" s="289"/>
      <c r="E428" s="430"/>
      <c r="F428" s="430"/>
      <c r="G428" s="13"/>
      <c r="H428" s="13"/>
    </row>
    <row r="429" spans="1:8" ht="12.9" x14ac:dyDescent="0.45">
      <c r="A429" s="290"/>
      <c r="B429" s="298"/>
      <c r="C429" s="290"/>
      <c r="D429" s="291"/>
      <c r="E429" s="429"/>
      <c r="F429" s="429"/>
      <c r="G429" s="13"/>
      <c r="H429" s="13"/>
    </row>
    <row r="430" spans="1:8" ht="12.9" x14ac:dyDescent="0.45">
      <c r="A430" s="290"/>
      <c r="B430" s="298"/>
      <c r="C430" s="290"/>
      <c r="D430" s="291"/>
      <c r="E430" s="429"/>
      <c r="F430" s="429"/>
      <c r="G430" s="13"/>
      <c r="H430" s="13"/>
    </row>
    <row r="431" spans="1:8" ht="12.9" x14ac:dyDescent="0.45">
      <c r="A431" s="290"/>
      <c r="B431" s="298"/>
      <c r="C431" s="290"/>
      <c r="D431" s="291"/>
      <c r="E431" s="429"/>
      <c r="F431" s="429"/>
      <c r="G431" s="13"/>
      <c r="H431" s="13"/>
    </row>
    <row r="432" spans="1:8" ht="12.9" x14ac:dyDescent="0.45">
      <c r="A432" s="290"/>
      <c r="B432" s="298"/>
      <c r="C432" s="290"/>
      <c r="D432" s="291"/>
      <c r="E432" s="429"/>
      <c r="F432" s="429"/>
      <c r="G432" s="13"/>
      <c r="H432" s="13"/>
    </row>
    <row r="433" spans="1:8" ht="13.3" x14ac:dyDescent="0.4">
      <c r="A433" s="288"/>
      <c r="B433" s="288"/>
      <c r="C433" s="288"/>
      <c r="D433" s="289"/>
      <c r="E433" s="430"/>
      <c r="F433" s="430"/>
      <c r="G433" s="13"/>
      <c r="H433" s="13"/>
    </row>
    <row r="434" spans="1:8" ht="12.9" x14ac:dyDescent="0.45">
      <c r="A434" s="290"/>
      <c r="B434" s="298"/>
      <c r="C434" s="290"/>
      <c r="D434" s="291"/>
      <c r="E434" s="429"/>
      <c r="F434" s="429"/>
      <c r="G434" s="13"/>
      <c r="H434" s="13"/>
    </row>
    <row r="435" spans="1:8" ht="12.9" x14ac:dyDescent="0.45">
      <c r="A435" s="290"/>
      <c r="B435" s="298"/>
      <c r="C435" s="290"/>
      <c r="D435" s="291"/>
      <c r="E435" s="429"/>
      <c r="F435" s="429"/>
      <c r="G435" s="13"/>
      <c r="H435" s="13"/>
    </row>
    <row r="436" spans="1:8" ht="12.9" x14ac:dyDescent="0.45">
      <c r="A436" s="290"/>
      <c r="B436" s="298"/>
      <c r="C436" s="290"/>
      <c r="D436" s="291"/>
      <c r="E436" s="429"/>
      <c r="F436" s="429"/>
      <c r="G436" s="13"/>
      <c r="H436" s="13"/>
    </row>
    <row r="437" spans="1:8" ht="12.9" x14ac:dyDescent="0.45">
      <c r="A437" s="290"/>
      <c r="B437" s="298"/>
      <c r="C437" s="290"/>
      <c r="D437" s="291"/>
      <c r="E437" s="429"/>
      <c r="F437" s="429"/>
      <c r="G437" s="13"/>
      <c r="H437" s="13"/>
    </row>
    <row r="438" spans="1:8" ht="13.3" x14ac:dyDescent="0.4">
      <c r="A438" s="288"/>
      <c r="B438" s="288"/>
      <c r="C438" s="288"/>
      <c r="D438" s="289"/>
      <c r="E438" s="430"/>
      <c r="F438" s="430"/>
      <c r="G438" s="13"/>
      <c r="H438" s="13"/>
    </row>
    <row r="439" spans="1:8" ht="12.9" x14ac:dyDescent="0.45">
      <c r="A439" s="290"/>
      <c r="B439" s="298"/>
      <c r="C439" s="290"/>
      <c r="D439" s="291"/>
      <c r="E439" s="429"/>
      <c r="F439" s="429"/>
      <c r="G439" s="13"/>
      <c r="H439" s="13"/>
    </row>
    <row r="440" spans="1:8" ht="12.9" x14ac:dyDescent="0.45">
      <c r="A440" s="290"/>
      <c r="B440" s="298"/>
      <c r="C440" s="290"/>
      <c r="D440" s="291"/>
      <c r="E440" s="429"/>
      <c r="F440" s="429"/>
      <c r="G440" s="13"/>
      <c r="H440" s="13"/>
    </row>
    <row r="441" spans="1:8" ht="12.9" x14ac:dyDescent="0.45">
      <c r="A441" s="290"/>
      <c r="B441" s="298"/>
      <c r="C441" s="290"/>
      <c r="D441" s="291"/>
      <c r="E441" s="429"/>
      <c r="F441" s="429"/>
      <c r="G441" s="13"/>
      <c r="H441" s="13"/>
    </row>
    <row r="442" spans="1:8" ht="12.9" x14ac:dyDescent="0.45">
      <c r="A442" s="290"/>
      <c r="B442" s="298"/>
      <c r="C442" s="290"/>
      <c r="D442" s="291"/>
      <c r="E442" s="429"/>
      <c r="F442" s="429"/>
      <c r="G442" s="13"/>
      <c r="H442" s="13"/>
    </row>
    <row r="443" spans="1:8" ht="13.3" x14ac:dyDescent="0.4">
      <c r="A443" s="288"/>
      <c r="B443" s="288"/>
      <c r="C443" s="288"/>
      <c r="D443" s="289"/>
      <c r="E443" s="430"/>
      <c r="F443" s="430"/>
      <c r="G443" s="13"/>
      <c r="H443" s="13"/>
    </row>
    <row r="444" spans="1:8" ht="12.9" x14ac:dyDescent="0.45">
      <c r="A444" s="290"/>
      <c r="B444" s="298"/>
      <c r="C444" s="290"/>
      <c r="D444" s="291"/>
      <c r="E444" s="429"/>
      <c r="F444" s="429"/>
      <c r="G444" s="13"/>
      <c r="H444" s="13"/>
    </row>
    <row r="445" spans="1:8" ht="12.9" x14ac:dyDescent="0.45">
      <c r="A445" s="290"/>
      <c r="B445" s="298"/>
      <c r="C445" s="290"/>
      <c r="D445" s="291"/>
      <c r="E445" s="429"/>
      <c r="F445" s="429"/>
      <c r="G445" s="13"/>
      <c r="H445" s="13"/>
    </row>
    <row r="446" spans="1:8" ht="12.9" x14ac:dyDescent="0.45">
      <c r="A446" s="290"/>
      <c r="B446" s="298"/>
      <c r="C446" s="290"/>
      <c r="D446" s="291"/>
      <c r="E446" s="429"/>
      <c r="F446" s="429"/>
      <c r="G446" s="13"/>
      <c r="H446" s="13"/>
    </row>
    <row r="447" spans="1:8" ht="12.9" x14ac:dyDescent="0.45">
      <c r="A447" s="290"/>
      <c r="B447" s="298"/>
      <c r="C447" s="290"/>
      <c r="D447" s="291"/>
      <c r="E447" s="429"/>
      <c r="F447" s="429"/>
      <c r="G447" s="13"/>
      <c r="H447" s="13"/>
    </row>
    <row r="448" spans="1:8" ht="13.3" x14ac:dyDescent="0.4">
      <c r="A448" s="288"/>
      <c r="B448" s="288"/>
      <c r="C448" s="288"/>
      <c r="D448" s="289"/>
      <c r="E448" s="430"/>
      <c r="F448" s="430"/>
      <c r="G448" s="13"/>
      <c r="H448" s="13"/>
    </row>
    <row r="449" spans="1:8" ht="12.9" x14ac:dyDescent="0.45">
      <c r="A449" s="290"/>
      <c r="B449" s="298"/>
      <c r="C449" s="290"/>
      <c r="D449" s="291"/>
      <c r="E449" s="429"/>
      <c r="F449" s="429"/>
      <c r="G449" s="13"/>
      <c r="H449" s="13"/>
    </row>
    <row r="450" spans="1:8" ht="12.9" x14ac:dyDescent="0.45">
      <c r="A450" s="290"/>
      <c r="B450" s="298"/>
      <c r="C450" s="290"/>
      <c r="D450" s="291"/>
      <c r="E450" s="429"/>
      <c r="F450" s="429"/>
      <c r="G450" s="13"/>
      <c r="H450" s="13"/>
    </row>
    <row r="451" spans="1:8" ht="12.9" x14ac:dyDescent="0.45">
      <c r="A451" s="290"/>
      <c r="B451" s="298"/>
      <c r="C451" s="290"/>
      <c r="D451" s="291"/>
      <c r="E451" s="429"/>
      <c r="F451" s="429"/>
      <c r="G451" s="13"/>
      <c r="H451" s="13"/>
    </row>
    <row r="452" spans="1:8" ht="12.9" x14ac:dyDescent="0.45">
      <c r="A452" s="290"/>
      <c r="B452" s="298"/>
      <c r="C452" s="290"/>
      <c r="D452" s="291"/>
      <c r="E452" s="429"/>
      <c r="F452" s="429"/>
      <c r="G452" s="13"/>
      <c r="H452" s="13"/>
    </row>
    <row r="453" spans="1:8" ht="13.3" x14ac:dyDescent="0.4">
      <c r="A453" s="288"/>
      <c r="B453" s="288"/>
      <c r="C453" s="288"/>
      <c r="D453" s="289"/>
      <c r="E453" s="430"/>
      <c r="F453" s="430"/>
      <c r="G453" s="13"/>
      <c r="H453" s="13"/>
    </row>
    <row r="454" spans="1:8" ht="12.9" x14ac:dyDescent="0.45">
      <c r="A454" s="290"/>
      <c r="B454" s="298"/>
      <c r="C454" s="290"/>
      <c r="D454" s="291"/>
      <c r="E454" s="429"/>
      <c r="F454" s="429"/>
      <c r="G454" s="13"/>
      <c r="H454" s="13"/>
    </row>
    <row r="455" spans="1:8" ht="12.9" x14ac:dyDescent="0.45">
      <c r="A455" s="290"/>
      <c r="B455" s="298"/>
      <c r="C455" s="290"/>
      <c r="D455" s="291"/>
      <c r="E455" s="429"/>
      <c r="F455" s="429"/>
      <c r="G455" s="13"/>
      <c r="H455" s="13"/>
    </row>
    <row r="456" spans="1:8" ht="12.9" x14ac:dyDescent="0.45">
      <c r="A456" s="290"/>
      <c r="B456" s="298"/>
      <c r="C456" s="290"/>
      <c r="D456" s="291"/>
      <c r="E456" s="429"/>
      <c r="F456" s="429"/>
      <c r="G456" s="13"/>
      <c r="H456" s="13"/>
    </row>
    <row r="457" spans="1:8" ht="12.9" x14ac:dyDescent="0.45">
      <c r="A457" s="290"/>
      <c r="B457" s="298"/>
      <c r="C457" s="290"/>
      <c r="D457" s="291"/>
      <c r="E457" s="429"/>
      <c r="F457" s="429"/>
      <c r="G457" s="13"/>
      <c r="H457" s="13"/>
    </row>
    <row r="458" spans="1:8" ht="13.3" x14ac:dyDescent="0.4">
      <c r="A458" s="288"/>
      <c r="B458" s="288"/>
      <c r="C458" s="288"/>
      <c r="D458" s="289"/>
      <c r="E458" s="430"/>
      <c r="F458" s="430"/>
      <c r="G458" s="13"/>
      <c r="H458" s="13"/>
    </row>
    <row r="459" spans="1:8" ht="12.9" x14ac:dyDescent="0.45">
      <c r="A459" s="290"/>
      <c r="B459" s="298"/>
      <c r="C459" s="290"/>
      <c r="D459" s="291"/>
      <c r="E459" s="429"/>
      <c r="F459" s="429"/>
      <c r="G459" s="13"/>
      <c r="H459" s="13"/>
    </row>
    <row r="460" spans="1:8" ht="12.9" x14ac:dyDescent="0.45">
      <c r="A460" s="290"/>
      <c r="B460" s="298"/>
      <c r="C460" s="290"/>
      <c r="D460" s="291"/>
      <c r="E460" s="429"/>
      <c r="F460" s="429"/>
      <c r="G460" s="13"/>
      <c r="H460" s="13"/>
    </row>
    <row r="461" spans="1:8" ht="12.9" x14ac:dyDescent="0.45">
      <c r="A461" s="290"/>
      <c r="B461" s="298"/>
      <c r="C461" s="290"/>
      <c r="D461" s="291"/>
      <c r="E461" s="429"/>
      <c r="F461" s="429"/>
      <c r="G461" s="13"/>
      <c r="H461" s="13"/>
    </row>
    <row r="462" spans="1:8" ht="12.9" x14ac:dyDescent="0.45">
      <c r="A462" s="290"/>
      <c r="B462" s="298"/>
      <c r="C462" s="290"/>
      <c r="D462" s="291"/>
      <c r="E462" s="429"/>
      <c r="F462" s="429"/>
      <c r="G462" s="13"/>
      <c r="H462" s="13"/>
    </row>
    <row r="463" spans="1:8" ht="13.3" x14ac:dyDescent="0.4">
      <c r="A463" s="288"/>
      <c r="B463" s="288"/>
      <c r="C463" s="288"/>
      <c r="D463" s="289"/>
      <c r="E463" s="430"/>
      <c r="F463" s="430"/>
      <c r="G463" s="13"/>
      <c r="H463" s="13"/>
    </row>
    <row r="464" spans="1:8" ht="12.9" x14ac:dyDescent="0.45">
      <c r="A464" s="290"/>
      <c r="B464" s="298"/>
      <c r="C464" s="290"/>
      <c r="D464" s="291"/>
      <c r="E464" s="429"/>
      <c r="F464" s="429"/>
      <c r="G464" s="13"/>
      <c r="H464" s="13"/>
    </row>
    <row r="465" spans="1:8" ht="12.9" x14ac:dyDescent="0.45">
      <c r="A465" s="290"/>
      <c r="B465" s="298"/>
      <c r="C465" s="290"/>
      <c r="D465" s="291"/>
      <c r="E465" s="429"/>
      <c r="F465" s="429"/>
      <c r="G465" s="13"/>
      <c r="H465" s="13"/>
    </row>
    <row r="466" spans="1:8" ht="12.9" x14ac:dyDescent="0.45">
      <c r="A466" s="290"/>
      <c r="B466" s="298"/>
      <c r="C466" s="290"/>
      <c r="D466" s="291"/>
      <c r="E466" s="429"/>
      <c r="F466" s="429"/>
      <c r="G466" s="13"/>
      <c r="H466" s="13"/>
    </row>
    <row r="467" spans="1:8" ht="12.9" x14ac:dyDescent="0.45">
      <c r="A467" s="290"/>
      <c r="B467" s="298"/>
      <c r="C467" s="290"/>
      <c r="D467" s="291"/>
      <c r="E467" s="429"/>
      <c r="F467" s="429"/>
      <c r="G467" s="13"/>
      <c r="H467" s="13"/>
    </row>
    <row r="468" spans="1:8" ht="13.3" x14ac:dyDescent="0.4">
      <c r="A468" s="288"/>
      <c r="B468" s="288"/>
      <c r="C468" s="288"/>
      <c r="D468" s="289"/>
      <c r="E468" s="430"/>
      <c r="F468" s="430"/>
      <c r="G468" s="13"/>
      <c r="H468" s="13"/>
    </row>
    <row r="469" spans="1:8" ht="12.9" x14ac:dyDescent="0.45">
      <c r="A469" s="290"/>
      <c r="B469" s="298"/>
      <c r="C469" s="290"/>
      <c r="D469" s="291"/>
      <c r="E469" s="429"/>
      <c r="F469" s="429"/>
      <c r="G469" s="13"/>
      <c r="H469" s="13"/>
    </row>
    <row r="470" spans="1:8" ht="12.9" x14ac:dyDescent="0.45">
      <c r="A470" s="290"/>
      <c r="B470" s="298"/>
      <c r="C470" s="290"/>
      <c r="D470" s="291"/>
      <c r="E470" s="429"/>
      <c r="F470" s="429"/>
      <c r="G470" s="13"/>
      <c r="H470" s="13"/>
    </row>
    <row r="471" spans="1:8" ht="12.9" x14ac:dyDescent="0.45">
      <c r="A471" s="290"/>
      <c r="B471" s="298"/>
      <c r="C471" s="290"/>
      <c r="D471" s="291"/>
      <c r="E471" s="429"/>
      <c r="F471" s="429"/>
      <c r="G471" s="13"/>
      <c r="H471" s="13"/>
    </row>
    <row r="472" spans="1:8" ht="12.9" x14ac:dyDescent="0.45">
      <c r="A472" s="290"/>
      <c r="B472" s="298"/>
      <c r="C472" s="290"/>
      <c r="D472" s="291"/>
      <c r="E472" s="429"/>
      <c r="F472" s="429"/>
      <c r="G472" s="13"/>
      <c r="H472" s="13"/>
    </row>
    <row r="473" spans="1:8" ht="13.3" x14ac:dyDescent="0.4">
      <c r="A473" s="288"/>
      <c r="B473" s="288"/>
      <c r="C473" s="288"/>
      <c r="D473" s="289"/>
      <c r="E473" s="430"/>
      <c r="F473" s="430"/>
      <c r="G473" s="13"/>
      <c r="H473" s="13"/>
    </row>
    <row r="474" spans="1:8" ht="12.9" x14ac:dyDescent="0.45">
      <c r="A474" s="290"/>
      <c r="B474" s="298"/>
      <c r="C474" s="290"/>
      <c r="D474" s="291"/>
      <c r="E474" s="429"/>
      <c r="F474" s="429"/>
      <c r="G474" s="13"/>
      <c r="H474" s="13"/>
    </row>
    <row r="475" spans="1:8" ht="12.9" x14ac:dyDescent="0.45">
      <c r="A475" s="290"/>
      <c r="B475" s="298"/>
      <c r="C475" s="290"/>
      <c r="D475" s="291"/>
      <c r="E475" s="429"/>
      <c r="F475" s="429"/>
      <c r="G475" s="13"/>
      <c r="H475" s="13"/>
    </row>
    <row r="476" spans="1:8" ht="12.9" x14ac:dyDescent="0.45">
      <c r="A476" s="290"/>
      <c r="B476" s="298"/>
      <c r="C476" s="290"/>
      <c r="D476" s="291"/>
      <c r="E476" s="429"/>
      <c r="F476" s="429"/>
      <c r="G476" s="13"/>
      <c r="H476" s="13"/>
    </row>
    <row r="477" spans="1:8" ht="12.9" x14ac:dyDescent="0.45">
      <c r="A477" s="290"/>
      <c r="B477" s="298"/>
      <c r="C477" s="290"/>
      <c r="D477" s="291"/>
      <c r="E477" s="429"/>
      <c r="F477" s="429"/>
      <c r="G477" s="13"/>
      <c r="H477" s="13"/>
    </row>
    <row r="478" spans="1:8" ht="13.3" x14ac:dyDescent="0.4">
      <c r="A478" s="288"/>
      <c r="B478" s="288"/>
      <c r="C478" s="288"/>
      <c r="D478" s="289"/>
      <c r="E478" s="430"/>
      <c r="F478" s="430"/>
      <c r="G478" s="13"/>
      <c r="H478" s="13"/>
    </row>
    <row r="479" spans="1:8" ht="12.9" x14ac:dyDescent="0.45">
      <c r="A479" s="290"/>
      <c r="B479" s="298"/>
      <c r="C479" s="290"/>
      <c r="D479" s="291"/>
      <c r="E479" s="429"/>
      <c r="F479" s="429"/>
      <c r="G479" s="13"/>
      <c r="H479" s="13"/>
    </row>
    <row r="480" spans="1:8" ht="12.9" x14ac:dyDescent="0.45">
      <c r="A480" s="290"/>
      <c r="B480" s="298"/>
      <c r="C480" s="290"/>
      <c r="D480" s="291"/>
      <c r="E480" s="429"/>
      <c r="F480" s="429"/>
      <c r="G480" s="13"/>
      <c r="H480" s="13"/>
    </row>
    <row r="481" spans="1:8" ht="12.9" x14ac:dyDescent="0.45">
      <c r="A481" s="290"/>
      <c r="B481" s="298"/>
      <c r="C481" s="290"/>
      <c r="D481" s="291"/>
      <c r="E481" s="429"/>
      <c r="F481" s="429"/>
      <c r="G481" s="13"/>
      <c r="H481" s="13"/>
    </row>
    <row r="482" spans="1:8" ht="12.9" x14ac:dyDescent="0.45">
      <c r="A482" s="290"/>
      <c r="B482" s="298"/>
      <c r="C482" s="290"/>
      <c r="D482" s="291"/>
      <c r="E482" s="429"/>
      <c r="F482" s="429"/>
      <c r="G482" s="13"/>
      <c r="H482" s="13"/>
    </row>
    <row r="483" spans="1:8" ht="13.3" x14ac:dyDescent="0.4">
      <c r="A483" s="288"/>
      <c r="B483" s="288"/>
      <c r="C483" s="288"/>
      <c r="D483" s="289"/>
      <c r="E483" s="430"/>
      <c r="F483" s="430"/>
      <c r="G483" s="13"/>
      <c r="H483" s="13"/>
    </row>
    <row r="484" spans="1:8" ht="12.9" x14ac:dyDescent="0.45">
      <c r="A484" s="290"/>
      <c r="B484" s="298"/>
      <c r="C484" s="290"/>
      <c r="D484" s="291"/>
      <c r="E484" s="429"/>
      <c r="F484" s="429"/>
      <c r="G484" s="13"/>
      <c r="H484" s="13"/>
    </row>
    <row r="485" spans="1:8" ht="12.9" x14ac:dyDescent="0.45">
      <c r="A485" s="290"/>
      <c r="B485" s="298"/>
      <c r="C485" s="290"/>
      <c r="D485" s="291"/>
      <c r="E485" s="429"/>
      <c r="F485" s="429"/>
      <c r="G485" s="13"/>
      <c r="H485" s="13"/>
    </row>
    <row r="486" spans="1:8" ht="12.9" x14ac:dyDescent="0.45">
      <c r="A486" s="290"/>
      <c r="B486" s="298"/>
      <c r="C486" s="290"/>
      <c r="D486" s="291"/>
      <c r="E486" s="429"/>
      <c r="F486" s="429"/>
      <c r="G486" s="13"/>
      <c r="H486" s="13"/>
    </row>
    <row r="487" spans="1:8" ht="12.9" x14ac:dyDescent="0.45">
      <c r="A487" s="290"/>
      <c r="B487" s="298"/>
      <c r="C487" s="290"/>
      <c r="D487" s="291"/>
      <c r="E487" s="429"/>
      <c r="F487" s="429"/>
      <c r="G487" s="13"/>
      <c r="H487" s="13"/>
    </row>
    <row r="488" spans="1:8" ht="13.3" x14ac:dyDescent="0.4">
      <c r="A488" s="288"/>
      <c r="B488" s="288"/>
      <c r="C488" s="288"/>
      <c r="D488" s="289"/>
      <c r="E488" s="430"/>
      <c r="F488" s="430"/>
      <c r="G488" s="13"/>
      <c r="H488" s="13"/>
    </row>
    <row r="489" spans="1:8" ht="12.9" x14ac:dyDescent="0.45">
      <c r="A489" s="290"/>
      <c r="B489" s="298"/>
      <c r="C489" s="290"/>
      <c r="D489" s="291"/>
      <c r="E489" s="429"/>
      <c r="F489" s="429"/>
      <c r="G489" s="13"/>
      <c r="H489" s="13"/>
    </row>
    <row r="490" spans="1:8" ht="12.9" x14ac:dyDescent="0.45">
      <c r="A490" s="290"/>
      <c r="B490" s="298"/>
      <c r="C490" s="290"/>
      <c r="D490" s="291"/>
      <c r="E490" s="429"/>
      <c r="F490" s="429"/>
      <c r="G490" s="13"/>
      <c r="H490" s="13"/>
    </row>
    <row r="491" spans="1:8" ht="12.9" x14ac:dyDescent="0.45">
      <c r="A491" s="290"/>
      <c r="B491" s="298"/>
      <c r="C491" s="290"/>
      <c r="D491" s="291"/>
      <c r="E491" s="429"/>
      <c r="F491" s="429"/>
      <c r="G491" s="13"/>
      <c r="H491" s="13"/>
    </row>
    <row r="492" spans="1:8" ht="12.9" x14ac:dyDescent="0.45">
      <c r="A492" s="290"/>
      <c r="B492" s="298"/>
      <c r="C492" s="290"/>
      <c r="D492" s="291"/>
      <c r="E492" s="429"/>
      <c r="F492" s="429"/>
      <c r="G492" s="13"/>
      <c r="H492" s="13"/>
    </row>
    <row r="493" spans="1:8" ht="13.3" x14ac:dyDescent="0.4">
      <c r="A493" s="288"/>
      <c r="B493" s="288"/>
      <c r="C493" s="288"/>
      <c r="D493" s="289"/>
      <c r="E493" s="430"/>
      <c r="F493" s="430"/>
      <c r="G493" s="13"/>
      <c r="H493" s="13"/>
    </row>
    <row r="494" spans="1:8" ht="12.9" x14ac:dyDescent="0.45">
      <c r="A494" s="290"/>
      <c r="B494" s="298"/>
      <c r="C494" s="290"/>
      <c r="D494" s="291"/>
      <c r="E494" s="429"/>
      <c r="F494" s="429"/>
      <c r="G494" s="13"/>
      <c r="H494" s="13"/>
    </row>
    <row r="495" spans="1:8" ht="12.9" x14ac:dyDescent="0.45">
      <c r="A495" s="290"/>
      <c r="B495" s="298"/>
      <c r="C495" s="290"/>
      <c r="D495" s="291"/>
      <c r="E495" s="429"/>
      <c r="F495" s="429"/>
      <c r="G495" s="13"/>
      <c r="H495" s="13"/>
    </row>
    <row r="496" spans="1:8" ht="12.9" x14ac:dyDescent="0.45">
      <c r="A496" s="290"/>
      <c r="B496" s="298"/>
      <c r="C496" s="290"/>
      <c r="D496" s="291"/>
      <c r="E496" s="429"/>
      <c r="F496" s="429"/>
      <c r="G496" s="13"/>
      <c r="H496" s="13"/>
    </row>
    <row r="497" spans="1:8" ht="12.9" x14ac:dyDescent="0.45">
      <c r="A497" s="290"/>
      <c r="B497" s="298"/>
      <c r="C497" s="290"/>
      <c r="D497" s="291"/>
      <c r="E497" s="429"/>
      <c r="F497" s="429"/>
      <c r="G497" s="13"/>
      <c r="H497" s="13"/>
    </row>
    <row r="498" spans="1:8" ht="13.3" x14ac:dyDescent="0.4">
      <c r="A498" s="288"/>
      <c r="B498" s="288"/>
      <c r="C498" s="288"/>
      <c r="D498" s="289"/>
      <c r="E498" s="430"/>
      <c r="F498" s="430"/>
      <c r="G498" s="13"/>
      <c r="H498" s="13"/>
    </row>
    <row r="499" spans="1:8" ht="12.9" x14ac:dyDescent="0.45">
      <c r="A499" s="290"/>
      <c r="B499" s="298"/>
      <c r="C499" s="290"/>
      <c r="D499" s="291"/>
      <c r="E499" s="429"/>
      <c r="F499" s="429"/>
      <c r="G499" s="13"/>
      <c r="H499" s="13"/>
    </row>
    <row r="500" spans="1:8" ht="12.9" x14ac:dyDescent="0.45">
      <c r="A500" s="290"/>
      <c r="B500" s="298"/>
      <c r="C500" s="290"/>
      <c r="D500" s="291"/>
      <c r="E500" s="429"/>
      <c r="F500" s="429"/>
      <c r="G500" s="13"/>
      <c r="H500" s="13"/>
    </row>
    <row r="501" spans="1:8" ht="12.9" x14ac:dyDescent="0.45">
      <c r="A501" s="290"/>
      <c r="B501" s="298"/>
      <c r="C501" s="290"/>
      <c r="D501" s="291"/>
      <c r="E501" s="429"/>
      <c r="F501" s="429"/>
      <c r="G501" s="13"/>
      <c r="H501" s="13"/>
    </row>
    <row r="502" spans="1:8" ht="12.9" x14ac:dyDescent="0.45">
      <c r="A502" s="290"/>
      <c r="B502" s="298"/>
      <c r="C502" s="290"/>
      <c r="D502" s="291"/>
      <c r="E502" s="429"/>
      <c r="F502" s="429"/>
      <c r="G502" s="13"/>
      <c r="H502" s="13"/>
    </row>
    <row r="503" spans="1:8" ht="13.3" x14ac:dyDescent="0.4">
      <c r="A503" s="288"/>
      <c r="B503" s="288"/>
      <c r="C503" s="288"/>
      <c r="D503" s="289"/>
      <c r="E503" s="430"/>
      <c r="F503" s="430"/>
      <c r="G503" s="13"/>
      <c r="H503" s="13"/>
    </row>
    <row r="504" spans="1:8" ht="12.9" x14ac:dyDescent="0.45">
      <c r="A504" s="290"/>
      <c r="B504" s="298"/>
      <c r="C504" s="290"/>
      <c r="D504" s="291"/>
      <c r="E504" s="429"/>
      <c r="F504" s="429"/>
      <c r="G504" s="13"/>
      <c r="H504" s="13"/>
    </row>
    <row r="505" spans="1:8" ht="12.9" x14ac:dyDescent="0.45">
      <c r="A505" s="290"/>
      <c r="B505" s="298"/>
      <c r="C505" s="290"/>
      <c r="D505" s="291"/>
      <c r="E505" s="429"/>
      <c r="F505" s="429"/>
      <c r="G505" s="13"/>
      <c r="H505" s="13"/>
    </row>
    <row r="506" spans="1:8" ht="12.9" x14ac:dyDescent="0.45">
      <c r="A506" s="290"/>
      <c r="B506" s="298"/>
      <c r="C506" s="290"/>
      <c r="D506" s="291"/>
      <c r="E506" s="429"/>
      <c r="F506" s="429"/>
      <c r="G506" s="13"/>
      <c r="H506" s="13"/>
    </row>
    <row r="507" spans="1:8" ht="12.9" x14ac:dyDescent="0.45">
      <c r="A507" s="290"/>
      <c r="B507" s="298"/>
      <c r="C507" s="290"/>
      <c r="D507" s="291"/>
      <c r="E507" s="429"/>
      <c r="F507" s="429"/>
      <c r="G507" s="13"/>
      <c r="H507" s="13"/>
    </row>
    <row r="508" spans="1:8" ht="13.3" x14ac:dyDescent="0.4">
      <c r="A508" s="288"/>
      <c r="B508" s="288"/>
      <c r="C508" s="288"/>
      <c r="D508" s="289"/>
      <c r="E508" s="430"/>
      <c r="F508" s="430"/>
      <c r="G508" s="13"/>
      <c r="H508" s="13"/>
    </row>
    <row r="509" spans="1:8" ht="12.9" x14ac:dyDescent="0.45">
      <c r="A509" s="290"/>
      <c r="B509" s="298"/>
      <c r="C509" s="290"/>
      <c r="D509" s="291"/>
      <c r="E509" s="429"/>
      <c r="F509" s="429"/>
      <c r="G509" s="13"/>
      <c r="H509" s="13"/>
    </row>
    <row r="510" spans="1:8" ht="12.9" x14ac:dyDescent="0.45">
      <c r="A510" s="290"/>
      <c r="B510" s="298"/>
      <c r="C510" s="290"/>
      <c r="D510" s="291"/>
      <c r="E510" s="429"/>
      <c r="F510" s="429"/>
      <c r="G510" s="13"/>
      <c r="H510" s="13"/>
    </row>
    <row r="511" spans="1:8" ht="12.9" x14ac:dyDescent="0.45">
      <c r="A511" s="290"/>
      <c r="B511" s="298"/>
      <c r="C511" s="290"/>
      <c r="D511" s="291"/>
      <c r="E511" s="429"/>
      <c r="F511" s="429"/>
      <c r="G511" s="13"/>
      <c r="H511" s="13"/>
    </row>
    <row r="512" spans="1:8" ht="12.9" x14ac:dyDescent="0.45">
      <c r="A512" s="290"/>
      <c r="B512" s="298"/>
      <c r="C512" s="290"/>
      <c r="D512" s="291"/>
      <c r="E512" s="429"/>
      <c r="F512" s="429"/>
      <c r="G512" s="13"/>
      <c r="H512" s="13"/>
    </row>
    <row r="513" spans="1:8" ht="13.3" x14ac:dyDescent="0.4">
      <c r="A513" s="288"/>
      <c r="B513" s="288"/>
      <c r="C513" s="288"/>
      <c r="D513" s="289"/>
      <c r="E513" s="430"/>
      <c r="F513" s="430"/>
      <c r="G513" s="13"/>
      <c r="H513" s="13"/>
    </row>
    <row r="514" spans="1:8" ht="12.9" x14ac:dyDescent="0.45">
      <c r="A514" s="290"/>
      <c r="B514" s="298"/>
      <c r="C514" s="290"/>
      <c r="D514" s="291"/>
      <c r="E514" s="429"/>
      <c r="F514" s="429"/>
      <c r="G514" s="13"/>
      <c r="H514" s="13"/>
    </row>
    <row r="515" spans="1:8" ht="12.9" x14ac:dyDescent="0.45">
      <c r="A515" s="290"/>
      <c r="B515" s="298"/>
      <c r="C515" s="290"/>
      <c r="D515" s="291"/>
      <c r="E515" s="429"/>
      <c r="F515" s="429"/>
      <c r="G515" s="13"/>
      <c r="H515" s="13"/>
    </row>
    <row r="516" spans="1:8" ht="12.9" x14ac:dyDescent="0.45">
      <c r="A516" s="290"/>
      <c r="B516" s="298"/>
      <c r="C516" s="290"/>
      <c r="D516" s="291"/>
      <c r="E516" s="429"/>
      <c r="F516" s="429"/>
      <c r="G516" s="13"/>
      <c r="H516" s="13"/>
    </row>
    <row r="517" spans="1:8" ht="12.9" x14ac:dyDescent="0.45">
      <c r="A517" s="290"/>
      <c r="B517" s="298"/>
      <c r="C517" s="290"/>
      <c r="D517" s="291"/>
      <c r="E517" s="429"/>
      <c r="F517" s="429"/>
      <c r="G517" s="13"/>
      <c r="H517" s="13"/>
    </row>
    <row r="518" spans="1:8" ht="13.3" x14ac:dyDescent="0.4">
      <c r="A518" s="288"/>
      <c r="B518" s="288"/>
      <c r="C518" s="288"/>
      <c r="D518" s="289"/>
      <c r="E518" s="430"/>
      <c r="F518" s="430"/>
      <c r="G518" s="13"/>
      <c r="H518" s="13"/>
    </row>
    <row r="519" spans="1:8" ht="12.9" x14ac:dyDescent="0.45">
      <c r="A519" s="290"/>
      <c r="B519" s="298"/>
      <c r="C519" s="290"/>
      <c r="D519" s="291"/>
      <c r="E519" s="429"/>
      <c r="F519" s="429"/>
      <c r="G519" s="13"/>
      <c r="H519" s="13"/>
    </row>
    <row r="520" spans="1:8" ht="12.9" x14ac:dyDescent="0.45">
      <c r="A520" s="290"/>
      <c r="B520" s="298"/>
      <c r="C520" s="290"/>
      <c r="D520" s="291"/>
      <c r="E520" s="429"/>
      <c r="F520" s="429"/>
      <c r="G520" s="13"/>
      <c r="H520" s="13"/>
    </row>
    <row r="521" spans="1:8" ht="12.9" x14ac:dyDescent="0.45">
      <c r="A521" s="290"/>
      <c r="B521" s="298"/>
      <c r="C521" s="290"/>
      <c r="D521" s="291"/>
      <c r="E521" s="429"/>
      <c r="F521" s="429"/>
      <c r="G521" s="13"/>
      <c r="H521" s="13"/>
    </row>
    <row r="522" spans="1:8" ht="12.9" x14ac:dyDescent="0.45">
      <c r="A522" s="290"/>
      <c r="B522" s="298"/>
      <c r="C522" s="290"/>
      <c r="D522" s="291"/>
      <c r="E522" s="429"/>
      <c r="F522" s="429"/>
      <c r="G522" s="13"/>
      <c r="H522" s="13"/>
    </row>
    <row r="523" spans="1:8" ht="13.3" x14ac:dyDescent="0.4">
      <c r="A523" s="288"/>
      <c r="B523" s="288"/>
      <c r="C523" s="288"/>
      <c r="D523" s="289"/>
      <c r="E523" s="430"/>
      <c r="F523" s="430"/>
      <c r="G523" s="13"/>
      <c r="H523" s="13"/>
    </row>
    <row r="524" spans="1:8" ht="12.9" x14ac:dyDescent="0.45">
      <c r="A524" s="290"/>
      <c r="B524" s="298"/>
      <c r="C524" s="290"/>
      <c r="D524" s="291"/>
      <c r="E524" s="429"/>
      <c r="F524" s="429"/>
      <c r="G524" s="13"/>
      <c r="H524" s="13"/>
    </row>
    <row r="525" spans="1:8" ht="12.9" x14ac:dyDescent="0.45">
      <c r="A525" s="290"/>
      <c r="B525" s="298"/>
      <c r="C525" s="290"/>
      <c r="D525" s="291"/>
      <c r="E525" s="429"/>
      <c r="F525" s="429"/>
      <c r="G525" s="13"/>
      <c r="H525" s="13"/>
    </row>
    <row r="526" spans="1:8" ht="12.9" x14ac:dyDescent="0.45">
      <c r="A526" s="290"/>
      <c r="B526" s="298"/>
      <c r="C526" s="290"/>
      <c r="D526" s="291"/>
      <c r="E526" s="429"/>
      <c r="F526" s="429"/>
      <c r="G526" s="13"/>
      <c r="H526" s="13"/>
    </row>
    <row r="527" spans="1:8" ht="12.9" x14ac:dyDescent="0.45">
      <c r="A527" s="290"/>
      <c r="B527" s="298"/>
      <c r="C527" s="290"/>
      <c r="D527" s="291"/>
      <c r="E527" s="429"/>
      <c r="F527" s="429"/>
      <c r="G527" s="13"/>
      <c r="H527" s="13"/>
    </row>
    <row r="528" spans="1:8" ht="13.3" x14ac:dyDescent="0.4">
      <c r="A528" s="288"/>
      <c r="B528" s="288"/>
      <c r="C528" s="288"/>
      <c r="D528" s="289"/>
      <c r="E528" s="430"/>
      <c r="F528" s="430"/>
      <c r="G528" s="13"/>
      <c r="H528" s="13"/>
    </row>
    <row r="529" spans="1:8" ht="12.9" x14ac:dyDescent="0.45">
      <c r="A529" s="290"/>
      <c r="B529" s="298"/>
      <c r="C529" s="290"/>
      <c r="D529" s="291"/>
      <c r="E529" s="429"/>
      <c r="F529" s="429"/>
      <c r="G529" s="13"/>
      <c r="H529" s="13"/>
    </row>
    <row r="530" spans="1:8" ht="12.9" x14ac:dyDescent="0.45">
      <c r="A530" s="290"/>
      <c r="B530" s="298"/>
      <c r="C530" s="290"/>
      <c r="D530" s="291"/>
      <c r="E530" s="429"/>
      <c r="F530" s="429"/>
      <c r="G530" s="13"/>
      <c r="H530" s="13"/>
    </row>
    <row r="531" spans="1:8" ht="12.9" x14ac:dyDescent="0.45">
      <c r="A531" s="290"/>
      <c r="B531" s="298"/>
      <c r="C531" s="290"/>
      <c r="D531" s="291"/>
      <c r="E531" s="429"/>
      <c r="F531" s="429"/>
      <c r="G531" s="13"/>
      <c r="H531" s="13"/>
    </row>
    <row r="532" spans="1:8" ht="12.9" x14ac:dyDescent="0.45">
      <c r="A532" s="290"/>
      <c r="B532" s="298"/>
      <c r="C532" s="290"/>
      <c r="D532" s="291"/>
      <c r="E532" s="429"/>
      <c r="F532" s="429"/>
      <c r="G532" s="13"/>
      <c r="H532" s="13"/>
    </row>
    <row r="533" spans="1:8" ht="13.3" x14ac:dyDescent="0.4">
      <c r="A533" s="288"/>
      <c r="B533" s="288"/>
      <c r="C533" s="288"/>
      <c r="D533" s="289"/>
      <c r="E533" s="430"/>
      <c r="F533" s="430"/>
      <c r="G533" s="13"/>
      <c r="H533" s="13"/>
    </row>
    <row r="534" spans="1:8" ht="12.9" x14ac:dyDescent="0.45">
      <c r="A534" s="290"/>
      <c r="B534" s="298"/>
      <c r="C534" s="290"/>
      <c r="D534" s="291"/>
      <c r="E534" s="429"/>
      <c r="F534" s="429"/>
      <c r="G534" s="13"/>
      <c r="H534" s="13"/>
    </row>
    <row r="535" spans="1:8" ht="12.9" x14ac:dyDescent="0.45">
      <c r="A535" s="290"/>
      <c r="B535" s="298"/>
      <c r="C535" s="290"/>
      <c r="D535" s="291"/>
      <c r="E535" s="429"/>
      <c r="F535" s="429"/>
      <c r="G535" s="13"/>
      <c r="H535" s="13"/>
    </row>
    <row r="536" spans="1:8" ht="12.9" x14ac:dyDescent="0.45">
      <c r="A536" s="290"/>
      <c r="B536" s="298"/>
      <c r="C536" s="290"/>
      <c r="D536" s="291"/>
      <c r="E536" s="429"/>
      <c r="F536" s="429"/>
      <c r="G536" s="13"/>
      <c r="H536" s="13"/>
    </row>
    <row r="537" spans="1:8" ht="12.9" x14ac:dyDescent="0.45">
      <c r="A537" s="290"/>
      <c r="B537" s="298"/>
      <c r="C537" s="290"/>
      <c r="D537" s="291"/>
      <c r="E537" s="429"/>
      <c r="F537" s="429"/>
      <c r="G537" s="13"/>
      <c r="H537" s="13"/>
    </row>
    <row r="538" spans="1:8" ht="13.3" x14ac:dyDescent="0.4">
      <c r="A538" s="288"/>
      <c r="B538" s="288"/>
      <c r="C538" s="288"/>
      <c r="D538" s="289"/>
      <c r="E538" s="430"/>
      <c r="F538" s="430"/>
      <c r="G538" s="13"/>
      <c r="H538" s="13"/>
    </row>
    <row r="539" spans="1:8" ht="12.9" x14ac:dyDescent="0.45">
      <c r="A539" s="290"/>
      <c r="B539" s="298"/>
      <c r="C539" s="290"/>
      <c r="D539" s="291"/>
      <c r="E539" s="429"/>
      <c r="F539" s="429"/>
      <c r="G539" s="13"/>
      <c r="H539" s="13"/>
    </row>
    <row r="540" spans="1:8" ht="12.9" x14ac:dyDescent="0.45">
      <c r="A540" s="290"/>
      <c r="B540" s="298"/>
      <c r="C540" s="290"/>
      <c r="D540" s="291"/>
      <c r="E540" s="429"/>
      <c r="F540" s="429"/>
      <c r="G540" s="13"/>
      <c r="H540" s="13"/>
    </row>
    <row r="541" spans="1:8" ht="12.9" x14ac:dyDescent="0.45">
      <c r="A541" s="290"/>
      <c r="B541" s="298"/>
      <c r="C541" s="290"/>
      <c r="D541" s="291"/>
      <c r="E541" s="429"/>
      <c r="F541" s="429"/>
      <c r="G541" s="13"/>
      <c r="H541" s="13"/>
    </row>
    <row r="542" spans="1:8" ht="12.9" x14ac:dyDescent="0.45">
      <c r="A542" s="290"/>
      <c r="B542" s="298"/>
      <c r="C542" s="290"/>
      <c r="D542" s="291"/>
      <c r="E542" s="429"/>
      <c r="F542" s="429"/>
      <c r="G542" s="13"/>
      <c r="H542" s="13"/>
    </row>
    <row r="543" spans="1:8" ht="13.3" x14ac:dyDescent="0.4">
      <c r="A543" s="288"/>
      <c r="B543" s="288"/>
      <c r="C543" s="288"/>
      <c r="D543" s="289"/>
      <c r="E543" s="430"/>
      <c r="F543" s="430"/>
      <c r="G543" s="13"/>
      <c r="H543" s="13"/>
    </row>
    <row r="544" spans="1:8" ht="12.9" x14ac:dyDescent="0.45">
      <c r="A544" s="290"/>
      <c r="B544" s="298"/>
      <c r="C544" s="290"/>
      <c r="D544" s="291"/>
      <c r="E544" s="429"/>
      <c r="F544" s="429"/>
      <c r="G544" s="13"/>
      <c r="H544" s="13"/>
    </row>
    <row r="545" spans="1:8" ht="12.9" x14ac:dyDescent="0.45">
      <c r="A545" s="290"/>
      <c r="B545" s="298"/>
      <c r="C545" s="290"/>
      <c r="D545" s="291"/>
      <c r="E545" s="429"/>
      <c r="F545" s="429"/>
      <c r="G545" s="13"/>
      <c r="H545" s="13"/>
    </row>
    <row r="546" spans="1:8" ht="12.9" x14ac:dyDescent="0.45">
      <c r="A546" s="290"/>
      <c r="B546" s="298"/>
      <c r="C546" s="290"/>
      <c r="D546" s="291"/>
      <c r="E546" s="429"/>
      <c r="F546" s="429"/>
      <c r="G546" s="13"/>
      <c r="H546" s="13"/>
    </row>
    <row r="547" spans="1:8" ht="12.9" x14ac:dyDescent="0.45">
      <c r="A547" s="290"/>
      <c r="B547" s="298"/>
      <c r="C547" s="290"/>
      <c r="D547" s="291"/>
      <c r="E547" s="429"/>
      <c r="F547" s="429"/>
      <c r="G547" s="13"/>
      <c r="H547" s="13"/>
    </row>
    <row r="548" spans="1:8" ht="13.3" x14ac:dyDescent="0.4">
      <c r="A548" s="288"/>
      <c r="B548" s="288"/>
      <c r="C548" s="288"/>
      <c r="D548" s="289"/>
      <c r="E548" s="430"/>
      <c r="F548" s="430"/>
      <c r="G548" s="13"/>
      <c r="H548" s="13"/>
    </row>
    <row r="549" spans="1:8" ht="12.9" x14ac:dyDescent="0.45">
      <c r="A549" s="290"/>
      <c r="B549" s="298"/>
      <c r="C549" s="290"/>
      <c r="D549" s="291"/>
      <c r="E549" s="429"/>
      <c r="F549" s="429"/>
      <c r="G549" s="13"/>
      <c r="H549" s="13"/>
    </row>
    <row r="550" spans="1:8" ht="12.9" x14ac:dyDescent="0.45">
      <c r="A550" s="290"/>
      <c r="B550" s="298"/>
      <c r="C550" s="290"/>
      <c r="D550" s="291"/>
      <c r="E550" s="429"/>
      <c r="F550" s="429"/>
      <c r="G550" s="13"/>
      <c r="H550" s="13"/>
    </row>
    <row r="551" spans="1:8" ht="12.9" x14ac:dyDescent="0.45">
      <c r="A551" s="290"/>
      <c r="B551" s="298"/>
      <c r="C551" s="290"/>
      <c r="D551" s="291"/>
      <c r="E551" s="429"/>
      <c r="F551" s="429"/>
      <c r="G551" s="13"/>
      <c r="H551" s="13"/>
    </row>
    <row r="552" spans="1:8" ht="12.9" x14ac:dyDescent="0.45">
      <c r="A552" s="290"/>
      <c r="B552" s="298"/>
      <c r="C552" s="290"/>
      <c r="D552" s="291"/>
      <c r="E552" s="429"/>
      <c r="F552" s="429"/>
      <c r="G552" s="13"/>
      <c r="H552" s="13"/>
    </row>
    <row r="553" spans="1:8" ht="13.3" x14ac:dyDescent="0.4">
      <c r="A553" s="288"/>
      <c r="B553" s="288"/>
      <c r="C553" s="288"/>
      <c r="D553" s="289"/>
      <c r="E553" s="430"/>
      <c r="F553" s="430"/>
      <c r="G553" s="13"/>
      <c r="H553" s="13"/>
    </row>
    <row r="554" spans="1:8" ht="12.9" x14ac:dyDescent="0.45">
      <c r="A554" s="290"/>
      <c r="B554" s="298"/>
      <c r="C554" s="290"/>
      <c r="D554" s="291"/>
      <c r="E554" s="429"/>
      <c r="F554" s="429"/>
      <c r="G554" s="13"/>
      <c r="H554" s="13"/>
    </row>
    <row r="555" spans="1:8" ht="12.9" x14ac:dyDescent="0.45">
      <c r="A555" s="290"/>
      <c r="B555" s="298"/>
      <c r="C555" s="290"/>
      <c r="D555" s="291"/>
      <c r="E555" s="429"/>
      <c r="F555" s="429"/>
      <c r="G555" s="13"/>
      <c r="H555" s="13"/>
    </row>
    <row r="556" spans="1:8" ht="12.9" x14ac:dyDescent="0.45">
      <c r="A556" s="290"/>
      <c r="B556" s="298"/>
      <c r="C556" s="290"/>
      <c r="D556" s="291"/>
      <c r="E556" s="429"/>
      <c r="F556" s="429"/>
      <c r="G556" s="13"/>
      <c r="H556" s="13"/>
    </row>
    <row r="557" spans="1:8" ht="12.9" x14ac:dyDescent="0.45">
      <c r="A557" s="290"/>
      <c r="B557" s="298"/>
      <c r="C557" s="290"/>
      <c r="D557" s="291"/>
      <c r="E557" s="429"/>
      <c r="F557" s="429"/>
      <c r="G557" s="13"/>
      <c r="H557" s="13"/>
    </row>
    <row r="558" spans="1:8" ht="13.3" x14ac:dyDescent="0.4">
      <c r="A558" s="288"/>
      <c r="B558" s="288"/>
      <c r="C558" s="288"/>
      <c r="D558" s="289"/>
      <c r="E558" s="430"/>
      <c r="F558" s="430"/>
      <c r="G558" s="13"/>
      <c r="H558" s="13"/>
    </row>
    <row r="559" spans="1:8" ht="12.9" x14ac:dyDescent="0.45">
      <c r="A559" s="290"/>
      <c r="B559" s="298"/>
      <c r="C559" s="290"/>
      <c r="D559" s="291"/>
      <c r="E559" s="429"/>
      <c r="F559" s="429"/>
      <c r="G559" s="13"/>
      <c r="H559" s="13"/>
    </row>
    <row r="560" spans="1:8" ht="12.9" x14ac:dyDescent="0.45">
      <c r="A560" s="290"/>
      <c r="B560" s="298"/>
      <c r="C560" s="290"/>
      <c r="D560" s="291"/>
      <c r="E560" s="429"/>
      <c r="F560" s="429"/>
      <c r="G560" s="13"/>
      <c r="H560" s="13"/>
    </row>
    <row r="561" spans="1:8" ht="12.9" x14ac:dyDescent="0.45">
      <c r="A561" s="290"/>
      <c r="B561" s="298"/>
      <c r="C561" s="290"/>
      <c r="D561" s="291"/>
      <c r="E561" s="429"/>
      <c r="F561" s="429"/>
      <c r="G561" s="13"/>
      <c r="H561" s="13"/>
    </row>
    <row r="562" spans="1:8" ht="12.9" x14ac:dyDescent="0.45">
      <c r="A562" s="290"/>
      <c r="B562" s="298"/>
      <c r="C562" s="290"/>
      <c r="D562" s="291"/>
      <c r="E562" s="429"/>
      <c r="F562" s="429"/>
      <c r="G562" s="13"/>
      <c r="H562" s="13"/>
    </row>
    <row r="563" spans="1:8" ht="13.3" x14ac:dyDescent="0.4">
      <c r="A563" s="288"/>
      <c r="B563" s="288"/>
      <c r="C563" s="288"/>
      <c r="D563" s="289"/>
      <c r="E563" s="430"/>
      <c r="F563" s="430"/>
      <c r="G563" s="13"/>
      <c r="H563" s="13"/>
    </row>
    <row r="564" spans="1:8" ht="12.9" x14ac:dyDescent="0.45">
      <c r="A564" s="290"/>
      <c r="B564" s="298"/>
      <c r="C564" s="290"/>
      <c r="D564" s="291"/>
      <c r="E564" s="429"/>
      <c r="F564" s="429"/>
      <c r="G564" s="13"/>
      <c r="H564" s="13"/>
    </row>
    <row r="565" spans="1:8" ht="12.9" x14ac:dyDescent="0.45">
      <c r="A565" s="290"/>
      <c r="B565" s="298"/>
      <c r="C565" s="290"/>
      <c r="D565" s="291"/>
      <c r="E565" s="429"/>
      <c r="F565" s="429"/>
      <c r="G565" s="13"/>
      <c r="H565" s="13"/>
    </row>
    <row r="566" spans="1:8" ht="12.9" x14ac:dyDescent="0.45">
      <c r="A566" s="290"/>
      <c r="B566" s="298"/>
      <c r="C566" s="290"/>
      <c r="D566" s="291"/>
      <c r="E566" s="429"/>
      <c r="F566" s="429"/>
      <c r="G566" s="13"/>
      <c r="H566" s="13"/>
    </row>
    <row r="567" spans="1:8" ht="12.9" x14ac:dyDescent="0.45">
      <c r="A567" s="290"/>
      <c r="B567" s="298"/>
      <c r="C567" s="290"/>
      <c r="D567" s="291"/>
      <c r="E567" s="429"/>
      <c r="F567" s="429"/>
      <c r="G567" s="13"/>
      <c r="H567" s="13"/>
    </row>
    <row r="568" spans="1:8" ht="13.3" x14ac:dyDescent="0.4">
      <c r="A568" s="288"/>
      <c r="B568" s="288"/>
      <c r="C568" s="288"/>
      <c r="D568" s="289"/>
      <c r="E568" s="430"/>
      <c r="F568" s="430"/>
      <c r="G568" s="13"/>
      <c r="H568" s="13"/>
    </row>
    <row r="569" spans="1:8" ht="12.9" x14ac:dyDescent="0.45">
      <c r="A569" s="290"/>
      <c r="B569" s="298"/>
      <c r="C569" s="290"/>
      <c r="D569" s="291"/>
      <c r="E569" s="429"/>
      <c r="F569" s="429"/>
      <c r="G569" s="13"/>
      <c r="H569" s="13"/>
    </row>
    <row r="570" spans="1:8" ht="12.9" x14ac:dyDescent="0.45">
      <c r="A570" s="290"/>
      <c r="B570" s="298"/>
      <c r="C570" s="290"/>
      <c r="D570" s="291"/>
      <c r="E570" s="429"/>
      <c r="F570" s="429"/>
      <c r="G570" s="13"/>
      <c r="H570" s="13"/>
    </row>
    <row r="571" spans="1:8" ht="12.9" x14ac:dyDescent="0.45">
      <c r="A571" s="290"/>
      <c r="B571" s="298"/>
      <c r="C571" s="290"/>
      <c r="D571" s="291"/>
      <c r="E571" s="429"/>
      <c r="F571" s="429"/>
      <c r="G571" s="13"/>
      <c r="H571" s="13"/>
    </row>
    <row r="572" spans="1:8" ht="12.9" x14ac:dyDescent="0.45">
      <c r="A572" s="290"/>
      <c r="B572" s="298"/>
      <c r="C572" s="290"/>
      <c r="D572" s="291"/>
      <c r="E572" s="429"/>
      <c r="F572" s="429"/>
      <c r="G572" s="13"/>
      <c r="H572" s="13"/>
    </row>
    <row r="573" spans="1:8" ht="13.3" x14ac:dyDescent="0.4">
      <c r="A573" s="288"/>
      <c r="B573" s="288"/>
      <c r="C573" s="288"/>
      <c r="D573" s="289"/>
      <c r="E573" s="430"/>
      <c r="F573" s="430"/>
      <c r="G573" s="13"/>
      <c r="H573" s="13"/>
    </row>
    <row r="574" spans="1:8" ht="12.9" x14ac:dyDescent="0.45">
      <c r="A574" s="290"/>
      <c r="B574" s="298"/>
      <c r="C574" s="290"/>
      <c r="D574" s="291"/>
      <c r="E574" s="429"/>
      <c r="F574" s="429"/>
      <c r="G574" s="13"/>
      <c r="H574" s="13"/>
    </row>
    <row r="575" spans="1:8" ht="12.9" x14ac:dyDescent="0.45">
      <c r="A575" s="290"/>
      <c r="B575" s="298"/>
      <c r="C575" s="290"/>
      <c r="D575" s="291"/>
      <c r="E575" s="429"/>
      <c r="F575" s="429"/>
      <c r="G575" s="13"/>
      <c r="H575" s="13"/>
    </row>
    <row r="576" spans="1:8" ht="12.9" x14ac:dyDescent="0.45">
      <c r="A576" s="290"/>
      <c r="B576" s="298"/>
      <c r="C576" s="290"/>
      <c r="D576" s="291"/>
      <c r="E576" s="429"/>
      <c r="F576" s="429"/>
      <c r="G576" s="13"/>
      <c r="H576" s="13"/>
    </row>
    <row r="577" spans="1:8" ht="12.9" x14ac:dyDescent="0.45">
      <c r="A577" s="290"/>
      <c r="B577" s="298"/>
      <c r="C577" s="290"/>
      <c r="D577" s="291"/>
      <c r="E577" s="429"/>
      <c r="F577" s="429"/>
      <c r="G577" s="13"/>
      <c r="H577" s="13"/>
    </row>
    <row r="578" spans="1:8" ht="13.3" x14ac:dyDescent="0.4">
      <c r="A578" s="288"/>
      <c r="B578" s="288"/>
      <c r="C578" s="288"/>
      <c r="D578" s="289"/>
      <c r="E578" s="430"/>
      <c r="F578" s="430"/>
      <c r="G578" s="13"/>
      <c r="H578" s="13"/>
    </row>
    <row r="579" spans="1:8" ht="12.9" x14ac:dyDescent="0.45">
      <c r="A579" s="290"/>
      <c r="B579" s="298"/>
      <c r="C579" s="290"/>
      <c r="D579" s="291"/>
      <c r="E579" s="429"/>
      <c r="F579" s="429"/>
      <c r="G579" s="13"/>
      <c r="H579" s="13"/>
    </row>
    <row r="580" spans="1:8" ht="12.9" x14ac:dyDescent="0.45">
      <c r="A580" s="290"/>
      <c r="B580" s="298"/>
      <c r="C580" s="290"/>
      <c r="D580" s="291"/>
      <c r="E580" s="429"/>
      <c r="F580" s="429"/>
      <c r="G580" s="13"/>
      <c r="H580" s="13"/>
    </row>
    <row r="581" spans="1:8" ht="12.9" x14ac:dyDescent="0.45">
      <c r="A581" s="290"/>
      <c r="B581" s="298"/>
      <c r="C581" s="290"/>
      <c r="D581" s="291"/>
      <c r="E581" s="429"/>
      <c r="F581" s="429"/>
      <c r="G581" s="13"/>
      <c r="H581" s="13"/>
    </row>
    <row r="582" spans="1:8" ht="12.9" x14ac:dyDescent="0.45">
      <c r="A582" s="290"/>
      <c r="B582" s="298"/>
      <c r="C582" s="290"/>
      <c r="D582" s="291"/>
      <c r="E582" s="429"/>
      <c r="F582" s="429"/>
      <c r="G582" s="13"/>
      <c r="H582" s="13"/>
    </row>
    <row r="583" spans="1:8" ht="13.3" x14ac:dyDescent="0.4">
      <c r="A583" s="288"/>
      <c r="B583" s="288"/>
      <c r="C583" s="288"/>
      <c r="D583" s="289"/>
      <c r="E583" s="430"/>
      <c r="F583" s="430"/>
      <c r="G583" s="13"/>
      <c r="H583" s="13"/>
    </row>
    <row r="584" spans="1:8" ht="12.9" x14ac:dyDescent="0.45">
      <c r="A584" s="290"/>
      <c r="B584" s="298"/>
      <c r="C584" s="290"/>
      <c r="D584" s="291"/>
      <c r="E584" s="429"/>
      <c r="F584" s="429"/>
      <c r="G584" s="13"/>
      <c r="H584" s="13"/>
    </row>
    <row r="585" spans="1:8" ht="12.9" x14ac:dyDescent="0.45">
      <c r="A585" s="290"/>
      <c r="B585" s="298"/>
      <c r="C585" s="290"/>
      <c r="D585" s="291"/>
      <c r="E585" s="429"/>
      <c r="F585" s="429"/>
      <c r="G585" s="13"/>
      <c r="H585" s="13"/>
    </row>
    <row r="586" spans="1:8" ht="12.9" x14ac:dyDescent="0.45">
      <c r="A586" s="290"/>
      <c r="B586" s="298"/>
      <c r="C586" s="290"/>
      <c r="D586" s="291"/>
      <c r="E586" s="429"/>
      <c r="F586" s="429"/>
      <c r="G586" s="13"/>
      <c r="H586" s="13"/>
    </row>
    <row r="587" spans="1:8" ht="12.9" x14ac:dyDescent="0.45">
      <c r="A587" s="290"/>
      <c r="B587" s="298"/>
      <c r="C587" s="290"/>
      <c r="D587" s="291"/>
      <c r="E587" s="429"/>
      <c r="F587" s="429"/>
      <c r="G587" s="13"/>
      <c r="H587" s="13"/>
    </row>
    <row r="588" spans="1:8" ht="13.3" x14ac:dyDescent="0.4">
      <c r="A588" s="288"/>
      <c r="B588" s="288"/>
      <c r="C588" s="288"/>
      <c r="D588" s="289"/>
      <c r="E588" s="430"/>
      <c r="F588" s="430"/>
      <c r="G588" s="13"/>
      <c r="H588" s="13"/>
    </row>
    <row r="589" spans="1:8" ht="12.9" x14ac:dyDescent="0.45">
      <c r="A589" s="290"/>
      <c r="B589" s="298"/>
      <c r="C589" s="290"/>
      <c r="D589" s="291"/>
      <c r="E589" s="429"/>
      <c r="F589" s="429"/>
      <c r="G589" s="13"/>
      <c r="H589" s="13"/>
    </row>
    <row r="590" spans="1:8" ht="12.9" x14ac:dyDescent="0.45">
      <c r="A590" s="290"/>
      <c r="B590" s="298"/>
      <c r="C590" s="290"/>
      <c r="D590" s="291"/>
      <c r="E590" s="429"/>
      <c r="F590" s="429"/>
      <c r="G590" s="13"/>
      <c r="H590" s="13"/>
    </row>
    <row r="591" spans="1:8" ht="12.9" x14ac:dyDescent="0.45">
      <c r="A591" s="290"/>
      <c r="B591" s="298"/>
      <c r="C591" s="290"/>
      <c r="D591" s="291"/>
      <c r="E591" s="429"/>
      <c r="F591" s="429"/>
      <c r="G591" s="13"/>
      <c r="H591" s="13"/>
    </row>
    <row r="592" spans="1:8" ht="12.9" x14ac:dyDescent="0.45">
      <c r="A592" s="290"/>
      <c r="B592" s="298"/>
      <c r="C592" s="290"/>
      <c r="D592" s="291"/>
      <c r="E592" s="429"/>
      <c r="F592" s="429"/>
      <c r="G592" s="13"/>
      <c r="H592" s="13"/>
    </row>
    <row r="593" spans="1:8" ht="13.3" x14ac:dyDescent="0.4">
      <c r="A593" s="288"/>
      <c r="B593" s="288"/>
      <c r="C593" s="288"/>
      <c r="D593" s="289"/>
      <c r="E593" s="430"/>
      <c r="F593" s="430"/>
      <c r="G593" s="13"/>
      <c r="H593" s="13"/>
    </row>
    <row r="594" spans="1:8" ht="12.9" x14ac:dyDescent="0.45">
      <c r="A594" s="290"/>
      <c r="B594" s="298"/>
      <c r="C594" s="290"/>
      <c r="D594" s="291"/>
      <c r="E594" s="429"/>
      <c r="F594" s="429"/>
      <c r="G594" s="13"/>
      <c r="H594" s="13"/>
    </row>
    <row r="595" spans="1:8" ht="12.9" x14ac:dyDescent="0.45">
      <c r="A595" s="290"/>
      <c r="B595" s="298"/>
      <c r="C595" s="290"/>
      <c r="D595" s="291"/>
      <c r="E595" s="429"/>
      <c r="F595" s="429"/>
      <c r="G595" s="13"/>
      <c r="H595" s="13"/>
    </row>
    <row r="596" spans="1:8" ht="12.9" x14ac:dyDescent="0.45">
      <c r="A596" s="290"/>
      <c r="B596" s="298"/>
      <c r="C596" s="290"/>
      <c r="D596" s="291"/>
      <c r="E596" s="429"/>
      <c r="F596" s="429"/>
      <c r="G596" s="13"/>
      <c r="H596" s="13"/>
    </row>
    <row r="597" spans="1:8" ht="12.9" x14ac:dyDescent="0.45">
      <c r="A597" s="290"/>
      <c r="B597" s="298"/>
      <c r="C597" s="290"/>
      <c r="D597" s="291"/>
      <c r="E597" s="429"/>
      <c r="F597" s="429"/>
      <c r="G597" s="13"/>
      <c r="H597" s="13"/>
    </row>
    <row r="598" spans="1:8" ht="13.3" x14ac:dyDescent="0.4">
      <c r="A598" s="288"/>
      <c r="B598" s="288"/>
      <c r="C598" s="288"/>
      <c r="D598" s="289"/>
      <c r="E598" s="430"/>
      <c r="F598" s="430"/>
      <c r="G598" s="13"/>
      <c r="H598" s="13"/>
    </row>
    <row r="599" spans="1:8" ht="12.9" x14ac:dyDescent="0.45">
      <c r="A599" s="290"/>
      <c r="B599" s="298"/>
      <c r="C599" s="290"/>
      <c r="D599" s="291"/>
      <c r="E599" s="429"/>
      <c r="F599" s="429"/>
      <c r="G599" s="13"/>
      <c r="H599" s="13"/>
    </row>
    <row r="600" spans="1:8" ht="12.9" x14ac:dyDescent="0.45">
      <c r="A600" s="290"/>
      <c r="B600" s="298"/>
      <c r="C600" s="290"/>
      <c r="D600" s="291"/>
      <c r="E600" s="429"/>
      <c r="F600" s="429"/>
      <c r="G600" s="13"/>
      <c r="H600" s="13"/>
    </row>
    <row r="601" spans="1:8" ht="12.9" x14ac:dyDescent="0.45">
      <c r="A601" s="290"/>
      <c r="B601" s="298"/>
      <c r="C601" s="290"/>
      <c r="D601" s="291"/>
      <c r="E601" s="429"/>
      <c r="F601" s="429"/>
      <c r="G601" s="13"/>
      <c r="H601" s="13"/>
    </row>
    <row r="602" spans="1:8" ht="12.9" x14ac:dyDescent="0.45">
      <c r="A602" s="290"/>
      <c r="B602" s="298"/>
      <c r="C602" s="290"/>
      <c r="D602" s="291"/>
      <c r="E602" s="429"/>
      <c r="F602" s="429"/>
      <c r="G602" s="13"/>
      <c r="H602" s="13"/>
    </row>
    <row r="603" spans="1:8" ht="13.3" x14ac:dyDescent="0.4">
      <c r="A603" s="288"/>
      <c r="B603" s="288"/>
      <c r="C603" s="288"/>
      <c r="D603" s="289"/>
      <c r="E603" s="430"/>
      <c r="F603" s="430"/>
      <c r="G603" s="13"/>
      <c r="H603" s="13"/>
    </row>
    <row r="604" spans="1:8" ht="12.9" x14ac:dyDescent="0.45">
      <c r="A604" s="290"/>
      <c r="B604" s="298"/>
      <c r="C604" s="290"/>
      <c r="D604" s="291"/>
      <c r="E604" s="429"/>
      <c r="F604" s="429"/>
      <c r="G604" s="13"/>
      <c r="H604" s="13"/>
    </row>
    <row r="605" spans="1:8" ht="12.9" x14ac:dyDescent="0.45">
      <c r="A605" s="290"/>
      <c r="B605" s="298"/>
      <c r="C605" s="290"/>
      <c r="D605" s="291"/>
      <c r="E605" s="429"/>
      <c r="F605" s="429"/>
      <c r="G605" s="13"/>
      <c r="H605" s="13"/>
    </row>
    <row r="606" spans="1:8" ht="12.9" x14ac:dyDescent="0.45">
      <c r="A606" s="290"/>
      <c r="B606" s="298"/>
      <c r="C606" s="290"/>
      <c r="D606" s="291"/>
      <c r="E606" s="429"/>
      <c r="F606" s="429"/>
      <c r="G606" s="13"/>
      <c r="H606" s="13"/>
    </row>
    <row r="607" spans="1:8" ht="12.9" x14ac:dyDescent="0.45">
      <c r="A607" s="290"/>
      <c r="B607" s="298"/>
      <c r="C607" s="290"/>
      <c r="D607" s="291"/>
      <c r="E607" s="429"/>
      <c r="F607" s="429"/>
      <c r="G607" s="13"/>
      <c r="H607" s="13"/>
    </row>
    <row r="608" spans="1:8" ht="13.3" x14ac:dyDescent="0.4">
      <c r="A608" s="288"/>
      <c r="B608" s="288"/>
      <c r="C608" s="288"/>
      <c r="D608" s="289"/>
      <c r="E608" s="430"/>
      <c r="F608" s="430"/>
      <c r="G608" s="13"/>
      <c r="H608" s="13"/>
    </row>
    <row r="609" spans="1:8" ht="12.9" x14ac:dyDescent="0.45">
      <c r="A609" s="290"/>
      <c r="B609" s="298"/>
      <c r="C609" s="290"/>
      <c r="D609" s="291"/>
      <c r="E609" s="429"/>
      <c r="F609" s="429"/>
      <c r="G609" s="13"/>
      <c r="H609" s="13"/>
    </row>
    <row r="610" spans="1:8" ht="12.9" x14ac:dyDescent="0.45">
      <c r="A610" s="290"/>
      <c r="B610" s="298"/>
      <c r="C610" s="290"/>
      <c r="D610" s="291"/>
      <c r="E610" s="429"/>
      <c r="F610" s="429"/>
      <c r="G610" s="13"/>
      <c r="H610" s="13"/>
    </row>
    <row r="611" spans="1:8" ht="12.9" x14ac:dyDescent="0.45">
      <c r="A611" s="290"/>
      <c r="B611" s="298"/>
      <c r="C611" s="290"/>
      <c r="D611" s="291"/>
      <c r="E611" s="429"/>
      <c r="F611" s="429"/>
      <c r="G611" s="13"/>
      <c r="H611" s="13"/>
    </row>
    <row r="612" spans="1:8" ht="12.9" x14ac:dyDescent="0.45">
      <c r="A612" s="290"/>
      <c r="B612" s="298"/>
      <c r="C612" s="290"/>
      <c r="D612" s="291"/>
      <c r="E612" s="429"/>
      <c r="F612" s="429"/>
      <c r="G612" s="13"/>
      <c r="H612" s="13"/>
    </row>
    <row r="613" spans="1:8" ht="13.3" x14ac:dyDescent="0.4">
      <c r="A613" s="288"/>
      <c r="B613" s="288"/>
      <c r="C613" s="288"/>
      <c r="D613" s="289"/>
      <c r="E613" s="430"/>
      <c r="F613" s="430"/>
      <c r="G613" s="13"/>
      <c r="H613" s="13"/>
    </row>
    <row r="614" spans="1:8" ht="12.9" x14ac:dyDescent="0.45">
      <c r="A614" s="290"/>
      <c r="B614" s="298"/>
      <c r="C614" s="290"/>
      <c r="D614" s="291"/>
      <c r="E614" s="429"/>
      <c r="F614" s="429"/>
      <c r="G614" s="13"/>
      <c r="H614" s="13"/>
    </row>
    <row r="615" spans="1:8" ht="12.9" x14ac:dyDescent="0.45">
      <c r="A615" s="290"/>
      <c r="B615" s="298"/>
      <c r="C615" s="290"/>
      <c r="D615" s="291"/>
      <c r="E615" s="429"/>
      <c r="F615" s="429"/>
      <c r="G615" s="13"/>
      <c r="H615" s="13"/>
    </row>
    <row r="616" spans="1:8" ht="12.9" x14ac:dyDescent="0.45">
      <c r="A616" s="290"/>
      <c r="B616" s="298"/>
      <c r="C616" s="290"/>
      <c r="D616" s="291"/>
      <c r="E616" s="429"/>
      <c r="F616" s="429"/>
      <c r="G616" s="13"/>
      <c r="H616" s="13"/>
    </row>
    <row r="617" spans="1:8" ht="12.9" x14ac:dyDescent="0.45">
      <c r="A617" s="290"/>
      <c r="B617" s="298"/>
      <c r="C617" s="290"/>
      <c r="D617" s="291"/>
      <c r="E617" s="429"/>
      <c r="F617" s="429"/>
      <c r="G617" s="13"/>
      <c r="H617" s="13"/>
    </row>
    <row r="618" spans="1:8" ht="13.3" x14ac:dyDescent="0.4">
      <c r="A618" s="288"/>
      <c r="B618" s="288"/>
      <c r="C618" s="288"/>
      <c r="D618" s="289"/>
      <c r="E618" s="430"/>
      <c r="F618" s="430"/>
      <c r="G618" s="13"/>
      <c r="H618" s="13"/>
    </row>
    <row r="619" spans="1:8" ht="12.9" x14ac:dyDescent="0.45">
      <c r="A619" s="290"/>
      <c r="B619" s="298"/>
      <c r="C619" s="290"/>
      <c r="D619" s="291"/>
      <c r="E619" s="429"/>
      <c r="F619" s="429"/>
      <c r="G619" s="13"/>
      <c r="H619" s="13"/>
    </row>
    <row r="620" spans="1:8" ht="12.9" x14ac:dyDescent="0.45">
      <c r="A620" s="290"/>
      <c r="B620" s="298"/>
      <c r="C620" s="290"/>
      <c r="D620" s="291"/>
      <c r="E620" s="429"/>
      <c r="F620" s="429"/>
      <c r="G620" s="13"/>
      <c r="H620" s="13"/>
    </row>
    <row r="621" spans="1:8" ht="12.9" x14ac:dyDescent="0.45">
      <c r="A621" s="290"/>
      <c r="B621" s="298"/>
      <c r="C621" s="290"/>
      <c r="D621" s="291"/>
      <c r="E621" s="429"/>
      <c r="F621" s="429"/>
      <c r="G621" s="13"/>
      <c r="H621" s="13"/>
    </row>
    <row r="622" spans="1:8" ht="12.9" x14ac:dyDescent="0.45">
      <c r="A622" s="290"/>
      <c r="B622" s="298"/>
      <c r="C622" s="290"/>
      <c r="D622" s="291"/>
      <c r="E622" s="429"/>
      <c r="F622" s="429"/>
      <c r="G622" s="13"/>
      <c r="H622" s="13"/>
    </row>
    <row r="623" spans="1:8" ht="13.3" x14ac:dyDescent="0.4">
      <c r="A623" s="288"/>
      <c r="B623" s="288"/>
      <c r="C623" s="288"/>
      <c r="D623" s="289"/>
      <c r="E623" s="430"/>
      <c r="F623" s="430"/>
      <c r="G623" s="13"/>
      <c r="H623" s="13"/>
    </row>
    <row r="624" spans="1:8" ht="12.9" x14ac:dyDescent="0.45">
      <c r="A624" s="290"/>
      <c r="B624" s="298"/>
      <c r="C624" s="290"/>
      <c r="D624" s="291"/>
      <c r="E624" s="429"/>
      <c r="F624" s="429"/>
      <c r="G624" s="13"/>
      <c r="H624" s="13"/>
    </row>
    <row r="625" spans="1:8" ht="12.9" x14ac:dyDescent="0.45">
      <c r="A625" s="290"/>
      <c r="B625" s="298"/>
      <c r="C625" s="290"/>
      <c r="D625" s="291"/>
      <c r="E625" s="429"/>
      <c r="F625" s="429"/>
      <c r="G625" s="13"/>
      <c r="H625" s="13"/>
    </row>
    <row r="626" spans="1:8" ht="12.9" x14ac:dyDescent="0.45">
      <c r="A626" s="290"/>
      <c r="B626" s="298"/>
      <c r="C626" s="290"/>
      <c r="D626" s="291"/>
      <c r="E626" s="429"/>
      <c r="F626" s="429"/>
      <c r="G626" s="13"/>
      <c r="H626" s="13"/>
    </row>
    <row r="627" spans="1:8" ht="12.9" x14ac:dyDescent="0.45">
      <c r="A627" s="290"/>
      <c r="B627" s="298"/>
      <c r="C627" s="290"/>
      <c r="D627" s="291"/>
      <c r="E627" s="429"/>
      <c r="F627" s="429"/>
      <c r="G627" s="13"/>
      <c r="H627" s="13"/>
    </row>
    <row r="628" spans="1:8" ht="13.3" x14ac:dyDescent="0.4">
      <c r="A628" s="288"/>
      <c r="B628" s="288"/>
      <c r="C628" s="288"/>
      <c r="D628" s="289"/>
      <c r="E628" s="430"/>
      <c r="F628" s="430"/>
      <c r="G628" s="13"/>
      <c r="H628" s="13"/>
    </row>
    <row r="629" spans="1:8" ht="12.9" x14ac:dyDescent="0.45">
      <c r="A629" s="290"/>
      <c r="B629" s="298"/>
      <c r="C629" s="290"/>
      <c r="D629" s="291"/>
      <c r="E629" s="429"/>
      <c r="F629" s="429"/>
      <c r="G629" s="13"/>
      <c r="H629" s="13"/>
    </row>
    <row r="630" spans="1:8" ht="12.9" x14ac:dyDescent="0.45">
      <c r="A630" s="290"/>
      <c r="B630" s="298"/>
      <c r="C630" s="290"/>
      <c r="D630" s="291"/>
      <c r="E630" s="429"/>
      <c r="F630" s="429"/>
      <c r="G630" s="13"/>
      <c r="H630" s="13"/>
    </row>
    <row r="631" spans="1:8" ht="12.9" x14ac:dyDescent="0.45">
      <c r="A631" s="290"/>
      <c r="B631" s="298"/>
      <c r="C631" s="290"/>
      <c r="D631" s="291"/>
      <c r="E631" s="429"/>
      <c r="F631" s="429"/>
      <c r="G631" s="13"/>
      <c r="H631" s="13"/>
    </row>
    <row r="632" spans="1:8" ht="12.9" x14ac:dyDescent="0.45">
      <c r="A632" s="290"/>
      <c r="B632" s="298"/>
      <c r="C632" s="290"/>
      <c r="D632" s="291"/>
      <c r="E632" s="429"/>
      <c r="F632" s="429"/>
      <c r="G632" s="13"/>
      <c r="H632" s="13"/>
    </row>
    <row r="633" spans="1:8" ht="13.3" x14ac:dyDescent="0.4">
      <c r="A633" s="288"/>
      <c r="B633" s="288"/>
      <c r="C633" s="288"/>
      <c r="D633" s="289"/>
      <c r="E633" s="430"/>
      <c r="F633" s="430"/>
      <c r="G633" s="13"/>
      <c r="H633" s="13"/>
    </row>
    <row r="634" spans="1:8" ht="12.9" x14ac:dyDescent="0.45">
      <c r="A634" s="290"/>
      <c r="B634" s="298"/>
      <c r="C634" s="290"/>
      <c r="D634" s="291"/>
      <c r="E634" s="429"/>
      <c r="F634" s="429"/>
      <c r="G634" s="13"/>
      <c r="H634" s="13"/>
    </row>
    <row r="635" spans="1:8" ht="12.9" x14ac:dyDescent="0.45">
      <c r="A635" s="290"/>
      <c r="B635" s="298"/>
      <c r="C635" s="290"/>
      <c r="D635" s="291"/>
      <c r="E635" s="429"/>
      <c r="F635" s="429"/>
      <c r="G635" s="13"/>
      <c r="H635" s="13"/>
    </row>
    <row r="636" spans="1:8" ht="12.9" x14ac:dyDescent="0.45">
      <c r="A636" s="290"/>
      <c r="B636" s="298"/>
      <c r="C636" s="290"/>
      <c r="D636" s="291"/>
      <c r="E636" s="429"/>
      <c r="F636" s="429"/>
      <c r="G636" s="13"/>
      <c r="H636" s="13"/>
    </row>
    <row r="637" spans="1:8" ht="12.9" x14ac:dyDescent="0.45">
      <c r="A637" s="290"/>
      <c r="B637" s="298"/>
      <c r="C637" s="290"/>
      <c r="D637" s="291"/>
      <c r="E637" s="429"/>
      <c r="F637" s="429"/>
      <c r="G637" s="13"/>
      <c r="H637" s="13"/>
    </row>
    <row r="638" spans="1:8" ht="13.3" x14ac:dyDescent="0.4">
      <c r="A638" s="288"/>
      <c r="B638" s="288"/>
      <c r="C638" s="288"/>
      <c r="D638" s="289"/>
      <c r="E638" s="430"/>
      <c r="F638" s="430"/>
      <c r="G638" s="13"/>
      <c r="H638" s="13"/>
    </row>
    <row r="639" spans="1:8" ht="12.9" x14ac:dyDescent="0.45">
      <c r="A639" s="290"/>
      <c r="B639" s="298"/>
      <c r="C639" s="290"/>
      <c r="D639" s="291"/>
      <c r="E639" s="429"/>
      <c r="F639" s="429"/>
      <c r="G639" s="13"/>
      <c r="H639" s="13"/>
    </row>
    <row r="640" spans="1:8" ht="12.9" x14ac:dyDescent="0.45">
      <c r="A640" s="290"/>
      <c r="B640" s="298"/>
      <c r="C640" s="290"/>
      <c r="D640" s="291"/>
      <c r="E640" s="429"/>
      <c r="F640" s="429"/>
      <c r="G640" s="13"/>
      <c r="H640" s="13"/>
    </row>
    <row r="641" spans="1:8" ht="12.9" x14ac:dyDescent="0.45">
      <c r="A641" s="290"/>
      <c r="B641" s="298"/>
      <c r="C641" s="290"/>
      <c r="D641" s="291"/>
      <c r="E641" s="429"/>
      <c r="F641" s="429"/>
      <c r="G641" s="13"/>
      <c r="H641" s="13"/>
    </row>
    <row r="642" spans="1:8" ht="12.9" x14ac:dyDescent="0.45">
      <c r="A642" s="290"/>
      <c r="B642" s="298"/>
      <c r="C642" s="290"/>
      <c r="D642" s="291"/>
      <c r="E642" s="429"/>
      <c r="F642" s="429"/>
      <c r="G642" s="13"/>
      <c r="H642" s="13"/>
    </row>
    <row r="643" spans="1:8" ht="13.3" x14ac:dyDescent="0.4">
      <c r="A643" s="288"/>
      <c r="B643" s="288"/>
      <c r="C643" s="288"/>
      <c r="D643" s="289"/>
      <c r="E643" s="430"/>
      <c r="F643" s="430"/>
      <c r="G643" s="13"/>
      <c r="H643" s="13"/>
    </row>
    <row r="644" spans="1:8" ht="12.9" x14ac:dyDescent="0.45">
      <c r="A644" s="290"/>
      <c r="B644" s="298"/>
      <c r="C644" s="290"/>
      <c r="D644" s="291"/>
      <c r="E644" s="429"/>
      <c r="F644" s="429"/>
      <c r="G644" s="13"/>
      <c r="H644" s="13"/>
    </row>
    <row r="645" spans="1:8" ht="12.9" x14ac:dyDescent="0.45">
      <c r="A645" s="290"/>
      <c r="B645" s="298"/>
      <c r="C645" s="290"/>
      <c r="D645" s="291"/>
      <c r="E645" s="429"/>
      <c r="F645" s="429"/>
      <c r="G645" s="13"/>
      <c r="H645" s="13"/>
    </row>
    <row r="646" spans="1:8" ht="12.9" x14ac:dyDescent="0.45">
      <c r="A646" s="290"/>
      <c r="B646" s="298"/>
      <c r="C646" s="290"/>
      <c r="D646" s="291"/>
      <c r="E646" s="429"/>
      <c r="F646" s="429"/>
      <c r="G646" s="13"/>
      <c r="H646" s="13"/>
    </row>
    <row r="647" spans="1:8" ht="12.9" x14ac:dyDescent="0.45">
      <c r="A647" s="290"/>
      <c r="B647" s="298"/>
      <c r="C647" s="290"/>
      <c r="D647" s="291"/>
      <c r="E647" s="429"/>
      <c r="F647" s="429"/>
      <c r="G647" s="13"/>
      <c r="H647" s="13"/>
    </row>
    <row r="648" spans="1:8" ht="13.3" x14ac:dyDescent="0.4">
      <c r="A648" s="288"/>
      <c r="B648" s="288"/>
      <c r="C648" s="288"/>
      <c r="D648" s="289"/>
      <c r="E648" s="430"/>
      <c r="F648" s="430"/>
      <c r="G648" s="13"/>
      <c r="H648" s="13"/>
    </row>
    <row r="649" spans="1:8" ht="12.9" x14ac:dyDescent="0.45">
      <c r="A649" s="290"/>
      <c r="B649" s="298"/>
      <c r="C649" s="290"/>
      <c r="D649" s="291"/>
      <c r="E649" s="429"/>
      <c r="F649" s="429"/>
      <c r="G649" s="13"/>
      <c r="H649" s="13"/>
    </row>
    <row r="650" spans="1:8" ht="12.9" x14ac:dyDescent="0.45">
      <c r="A650" s="290"/>
      <c r="B650" s="298"/>
      <c r="C650" s="290"/>
      <c r="D650" s="291"/>
      <c r="E650" s="429"/>
      <c r="F650" s="429"/>
      <c r="G650" s="13"/>
      <c r="H650" s="13"/>
    </row>
    <row r="651" spans="1:8" ht="12.9" x14ac:dyDescent="0.45">
      <c r="A651" s="290"/>
      <c r="B651" s="298"/>
      <c r="C651" s="290"/>
      <c r="D651" s="291"/>
      <c r="E651" s="429"/>
      <c r="F651" s="429"/>
      <c r="G651" s="13"/>
      <c r="H651" s="13"/>
    </row>
    <row r="652" spans="1:8" ht="12.9" x14ac:dyDescent="0.45">
      <c r="A652" s="290"/>
      <c r="B652" s="298"/>
      <c r="C652" s="290"/>
      <c r="D652" s="291"/>
      <c r="E652" s="429"/>
      <c r="F652" s="429"/>
      <c r="G652" s="13"/>
      <c r="H652" s="13"/>
    </row>
    <row r="653" spans="1:8" ht="13.3" x14ac:dyDescent="0.4">
      <c r="A653" s="288"/>
      <c r="B653" s="288"/>
      <c r="C653" s="288"/>
      <c r="D653" s="289"/>
      <c r="E653" s="430"/>
      <c r="F653" s="430"/>
      <c r="G653" s="13"/>
      <c r="H653" s="13"/>
    </row>
    <row r="654" spans="1:8" ht="12.9" x14ac:dyDescent="0.45">
      <c r="A654" s="290"/>
      <c r="B654" s="298"/>
      <c r="C654" s="290"/>
      <c r="D654" s="291"/>
      <c r="E654" s="429"/>
      <c r="F654" s="429"/>
      <c r="G654" s="13"/>
      <c r="H654" s="13"/>
    </row>
    <row r="655" spans="1:8" ht="12.9" x14ac:dyDescent="0.45">
      <c r="A655" s="290"/>
      <c r="B655" s="298"/>
      <c r="C655" s="290"/>
      <c r="D655" s="291"/>
      <c r="E655" s="429"/>
      <c r="F655" s="429"/>
      <c r="G655" s="13"/>
      <c r="H655" s="13"/>
    </row>
    <row r="656" spans="1:8" ht="12.9" x14ac:dyDescent="0.45">
      <c r="A656" s="290"/>
      <c r="B656" s="298"/>
      <c r="C656" s="290"/>
      <c r="D656" s="291"/>
      <c r="E656" s="429"/>
      <c r="F656" s="429"/>
      <c r="G656" s="13"/>
      <c r="H656" s="13"/>
    </row>
    <row r="657" spans="1:8" ht="12.9" x14ac:dyDescent="0.45">
      <c r="A657" s="290"/>
      <c r="B657" s="298"/>
      <c r="C657" s="290"/>
      <c r="D657" s="291"/>
      <c r="E657" s="429"/>
      <c r="F657" s="429"/>
      <c r="G657" s="13"/>
      <c r="H657" s="13"/>
    </row>
    <row r="658" spans="1:8" ht="13.3" x14ac:dyDescent="0.4">
      <c r="A658" s="288"/>
      <c r="B658" s="288"/>
      <c r="C658" s="288"/>
      <c r="D658" s="289"/>
      <c r="E658" s="430"/>
      <c r="F658" s="430"/>
      <c r="G658" s="13"/>
      <c r="H658" s="13"/>
    </row>
    <row r="659" spans="1:8" ht="12.9" x14ac:dyDescent="0.45">
      <c r="A659" s="290"/>
      <c r="B659" s="298"/>
      <c r="C659" s="290"/>
      <c r="D659" s="291"/>
      <c r="E659" s="429"/>
      <c r="F659" s="429"/>
      <c r="G659" s="13"/>
      <c r="H659" s="13"/>
    </row>
    <row r="660" spans="1:8" ht="12.9" x14ac:dyDescent="0.45">
      <c r="A660" s="290"/>
      <c r="B660" s="298"/>
      <c r="C660" s="290"/>
      <c r="D660" s="291"/>
      <c r="E660" s="429"/>
      <c r="F660" s="429"/>
      <c r="G660" s="13"/>
      <c r="H660" s="13"/>
    </row>
    <row r="661" spans="1:8" ht="12.9" x14ac:dyDescent="0.45">
      <c r="A661" s="290"/>
      <c r="B661" s="298"/>
      <c r="C661" s="290"/>
      <c r="D661" s="291"/>
      <c r="E661" s="429"/>
      <c r="F661" s="429"/>
      <c r="G661" s="13"/>
      <c r="H661" s="13"/>
    </row>
    <row r="662" spans="1:8" ht="12.9" x14ac:dyDescent="0.45">
      <c r="A662" s="290"/>
      <c r="B662" s="298"/>
      <c r="C662" s="290"/>
      <c r="D662" s="291"/>
      <c r="E662" s="429"/>
      <c r="F662" s="429"/>
      <c r="G662" s="13"/>
      <c r="H662" s="13"/>
    </row>
    <row r="663" spans="1:8" ht="13.3" x14ac:dyDescent="0.4">
      <c r="A663" s="288"/>
      <c r="B663" s="288"/>
      <c r="C663" s="288"/>
      <c r="D663" s="289"/>
      <c r="E663" s="430"/>
      <c r="F663" s="430"/>
      <c r="G663" s="13"/>
      <c r="H663" s="13"/>
    </row>
    <row r="664" spans="1:8" ht="12.9" x14ac:dyDescent="0.45">
      <c r="A664" s="290"/>
      <c r="B664" s="298"/>
      <c r="C664" s="290"/>
      <c r="D664" s="291"/>
      <c r="E664" s="429"/>
      <c r="F664" s="429"/>
      <c r="G664" s="13"/>
      <c r="H664" s="13"/>
    </row>
    <row r="665" spans="1:8" ht="12.9" x14ac:dyDescent="0.45">
      <c r="A665" s="290"/>
      <c r="B665" s="298"/>
      <c r="C665" s="290"/>
      <c r="D665" s="291"/>
      <c r="E665" s="429"/>
      <c r="F665" s="429"/>
      <c r="G665" s="13"/>
      <c r="H665" s="13"/>
    </row>
    <row r="666" spans="1:8" ht="12.9" x14ac:dyDescent="0.45">
      <c r="A666" s="290"/>
      <c r="B666" s="298"/>
      <c r="C666" s="290"/>
      <c r="D666" s="291"/>
      <c r="E666" s="429"/>
      <c r="F666" s="429"/>
      <c r="G666" s="13"/>
      <c r="H666" s="13"/>
    </row>
    <row r="667" spans="1:8" ht="12.9" x14ac:dyDescent="0.45">
      <c r="A667" s="290"/>
      <c r="B667" s="298"/>
      <c r="C667" s="290"/>
      <c r="D667" s="291"/>
      <c r="E667" s="429"/>
      <c r="F667" s="429"/>
      <c r="G667" s="13"/>
      <c r="H667" s="13"/>
    </row>
    <row r="668" spans="1:8" x14ac:dyDescent="0.4">
      <c r="E668" s="429"/>
      <c r="F668" s="429"/>
      <c r="G668" s="13"/>
      <c r="H668" s="13"/>
    </row>
  </sheetData>
  <phoneticPr fontId="0" type="noConversion"/>
  <hyperlinks>
    <hyperlink ref="C3" r:id="rId1" display="https://czechpetanque.cz/klub.html?id=5" xr:uid="{02700742-F976-49A2-BB78-EC51DB0C85F3}"/>
    <hyperlink ref="B8" r:id="rId2" display="https://czechpetanque.cz/odhlasit.html?pr=58373" xr:uid="{9CFF207F-A558-4CE7-A7D7-B09845D0F225}"/>
    <hyperlink ref="B13" r:id="rId3" display="https://czechpetanque.cz/odhlasit.html?pr=57769" xr:uid="{58A02B83-BA42-4A03-84F6-71DA96246DF1}"/>
    <hyperlink ref="B18" r:id="rId4" display="https://czechpetanque.cz/odhlasit.html?pr=58374" xr:uid="{37478E1D-686F-42D6-9E05-61DB763210DE}"/>
    <hyperlink ref="B23" r:id="rId5" display="https://czechpetanque.cz/odhlasit.html?pr=57766" xr:uid="{8F212C6E-20A1-440E-94C6-02B28A85C9B8}"/>
    <hyperlink ref="B28" r:id="rId6" display="https://czechpetanque.cz/odhlasit.html?pr=57811" xr:uid="{EEDE2D52-DBD0-48B9-A445-BE67C819BD37}"/>
    <hyperlink ref="B33" r:id="rId7" display="https://czechpetanque.cz/odhlasit.html?pr=57812" xr:uid="{3C5FE3AC-64E0-483F-9DEA-A5C6A2829760}"/>
    <hyperlink ref="B38" r:id="rId8" display="https://czechpetanque.cz/odhlasit.html?pr=57789" xr:uid="{2957A702-9033-4E37-8E8D-0614264809DA}"/>
    <hyperlink ref="B43" r:id="rId9" display="https://czechpetanque.cz/odhlasit.html?pr=57848" xr:uid="{049747AF-2CF8-481F-A09E-4B3B5C2A058A}"/>
    <hyperlink ref="B48" r:id="rId10" display="https://czechpetanque.cz/odhlasit.html?pr=57782" xr:uid="{376F0E9F-CFF6-4442-BC03-48EE1931CC10}"/>
    <hyperlink ref="B53" r:id="rId11" display="https://czechpetanque.cz/odhlasit.html?pr=58345" xr:uid="{9E95BD11-1DB9-46D5-BB26-DA5F7B861428}"/>
    <hyperlink ref="B58" r:id="rId12" display="https://czechpetanque.cz/odhlasit.html?pr=58405" xr:uid="{57E60A58-9D77-4763-8347-C398B7AA365C}"/>
    <hyperlink ref="B63" r:id="rId13" display="https://czechpetanque.cz/odhlasit.html?pr=57788" xr:uid="{DBAB0A6E-C2B5-44E5-9020-6D288014D0FC}"/>
    <hyperlink ref="B68" r:id="rId14" display="https://czechpetanque.cz/odhlasit.html?pr=58350" xr:uid="{6DBC3CDA-388A-485F-A0E5-8864DCF803A7}"/>
    <hyperlink ref="B73" r:id="rId15" display="https://czechpetanque.cz/odhlasit.html?pr=58378" xr:uid="{C21334DC-9D65-49B2-8063-BB2D5417C27A}"/>
    <hyperlink ref="B78" r:id="rId16" display="https://czechpetanque.cz/odhlasit.html?pr=57806" xr:uid="{4FC2595D-1615-4893-B039-C65A3EE8CB43}"/>
    <hyperlink ref="B83" r:id="rId17" display="https://czechpetanque.cz/odhlasit.html?pr=58305" xr:uid="{56F56403-9C22-4530-A5F7-6F5EB512EAE9}"/>
    <hyperlink ref="B88" r:id="rId18" display="https://czechpetanque.cz/odhlasit.html?pr=57849" xr:uid="{E0897FB4-0002-4AC6-9EF6-2C15642AE390}"/>
    <hyperlink ref="B93" r:id="rId19" display="https://czechpetanque.cz/odhlasit.html?pr=58419" xr:uid="{96A35F6B-01F5-4CE4-8CE4-C61CB6003639}"/>
    <hyperlink ref="B98" r:id="rId20" display="https://czechpetanque.cz/odhlasit.html?pr=58430" xr:uid="{E9FCF71C-9F8F-4202-A30E-293F56C2BFEE}"/>
    <hyperlink ref="B103" r:id="rId21" display="https://czechpetanque.cz/odhlasit.html?pr=57768" xr:uid="{5C3110E1-5EAA-4304-80EA-4AC92CBDE314}"/>
    <hyperlink ref="B108" r:id="rId22" display="https://czechpetanque.cz/odhlasit.html?pr=57786" xr:uid="{4B9C655B-26D7-40EC-82BB-F49EEB08DCCC}"/>
    <hyperlink ref="B113" r:id="rId23" display="https://czechpetanque.cz/odhlasit.html?pr=57807" xr:uid="{D9B0DB56-6E29-4F2A-A4E8-118FA384171B}"/>
    <hyperlink ref="B118" r:id="rId24" display="https://czechpetanque.cz/odhlasit.html?pr=57784" xr:uid="{851981C9-CC58-403B-BC56-0C5FB7D0F1ED}"/>
    <hyperlink ref="B123" r:id="rId25" display="https://czechpetanque.cz/odhlasit.html?pr=58109" xr:uid="{4819905F-7CC5-45FB-8D11-FDE9F11410F4}"/>
    <hyperlink ref="B128" r:id="rId26" display="https://czechpetanque.cz/odhlasit.html?pr=57771" xr:uid="{6DB31C10-7778-4224-BA23-00603CA6216F}"/>
    <hyperlink ref="B133" r:id="rId27" display="https://czechpetanque.cz/odhlasit.html?pr=57791" xr:uid="{FF3890E4-F8D3-435C-942F-4ED90E69C9BC}"/>
    <hyperlink ref="B138" r:id="rId28" display="https://czechpetanque.cz/odhlasit.html?pr=57776" xr:uid="{5BCFB00A-7B29-4391-84FD-E3DC701C45CD}"/>
    <hyperlink ref="B143" r:id="rId29" display="https://czechpetanque.cz/odhlasit.html?pr=57801" xr:uid="{D9823A4D-18B4-4746-8925-4905D2AA4F79}"/>
    <hyperlink ref="B148" r:id="rId30" display="https://czechpetanque.cz/odhlasit.html?pr=57813" xr:uid="{97CD040C-EA32-446E-A55A-66A1F37E873C}"/>
    <hyperlink ref="B153" r:id="rId31" display="https://czechpetanque.cz/odhlasit.html?pr=57787" xr:uid="{F4B865DC-75A0-4FFC-8C32-0BAE597DEB8E}"/>
    <hyperlink ref="B158" r:id="rId32" display="https://czechpetanque.cz/odhlasit.html?pr=58406" xr:uid="{1D71B9FB-CECB-4CD0-B2F1-F6A117D24523}"/>
    <hyperlink ref="B163" r:id="rId33" display="https://czechpetanque.cz/odhlasit.html?pr=57772" xr:uid="{896B9B87-BA61-4C46-9AB2-977913E4E426}"/>
    <hyperlink ref="B168" r:id="rId34" display="https://czechpetanque.cz/odhlasit.html?pr=57775" xr:uid="{051CDC1E-3024-43BA-A490-0FFDEFA05197}"/>
    <hyperlink ref="B173" r:id="rId35" display="https://czechpetanque.cz/odhlasit.html?pr=57767" xr:uid="{D9B814CC-8235-406B-B5C5-F9DCDA10BA12}"/>
    <hyperlink ref="B178" r:id="rId36" display="https://czechpetanque.cz/odhlasit.html?pr=57796" xr:uid="{7F77E2D4-F664-4B94-B057-0DDF319E7A49}"/>
    <hyperlink ref="B183" r:id="rId37" display="https://czechpetanque.cz/odhlasit.html?pr=58322" xr:uid="{F3E9638C-8B1F-4860-A01B-6360F1205266}"/>
    <hyperlink ref="B188" r:id="rId38" display="https://czechpetanque.cz/odhlasit.html?pr=57774" xr:uid="{F444E8E2-E958-4923-9608-7740B5989EAA}"/>
    <hyperlink ref="B193" r:id="rId39" display="https://czechpetanque.cz/odhlasit.html?pr=57709" xr:uid="{CA4A146F-9F07-4F74-8AEC-3F2D5A376610}"/>
    <hyperlink ref="B198" r:id="rId40" display="https://czechpetanque.cz/odhlasit.html?pr=57783" xr:uid="{9FB97640-4560-44C4-B60C-6C51D6C30EF9}"/>
    <hyperlink ref="B203" r:id="rId41" display="https://czechpetanque.cz/odhlasit.html?pr=58411" xr:uid="{99AF38C3-510B-46C2-9829-06D668DCB4A3}"/>
    <hyperlink ref="B208" r:id="rId42" display="https://czechpetanque.cz/odhlasit.html?pr=58040" xr:uid="{0621D179-08C1-446E-8030-9E889DF1CD9F}"/>
    <hyperlink ref="B213" r:id="rId43" display="https://czechpetanque.cz/odhlasit.html?pr=57712" xr:uid="{8C0B8A9B-536F-4815-BA59-FB055B2F6F00}"/>
    <hyperlink ref="B218" r:id="rId44" display="https://czechpetanque.cz/odhlasit.html?pr=57725" xr:uid="{F0419692-0CE5-4ABF-B63B-68EE56268E98}"/>
    <hyperlink ref="B223" r:id="rId45" display="https://czechpetanque.cz/odhlasit.html?pr=57726" xr:uid="{D36C66FB-FE72-4D28-AE2B-C25A41AE6FA2}"/>
    <hyperlink ref="B228" r:id="rId46" display="https://czechpetanque.cz/odhlasit.html?pr=57724" xr:uid="{5403F445-1BA8-48B4-9CF2-91A8E0E74877}"/>
    <hyperlink ref="B233" r:id="rId47" display="https://czechpetanque.cz/odhlasit.html?pr=57816" xr:uid="{7D6B6FD9-A6C2-429E-BC6B-28FA61D5E423}"/>
    <hyperlink ref="B238" r:id="rId48" display="https://czechpetanque.cz/odhlasit.html?pr=57723" xr:uid="{D387CBC1-0528-44F5-8AF8-AD50CF95E885}"/>
    <hyperlink ref="B243" r:id="rId49" display="https://czechpetanque.cz/odhlasit.html?pr=57794" xr:uid="{29BD03EB-D846-4C09-81CC-D6EE0B7C9BF4}"/>
    <hyperlink ref="B248" r:id="rId50" display="https://czechpetanque.cz/odhlasit.html?pr=57778" xr:uid="{76564315-F405-4416-9CFC-F922BD0E4ED4}"/>
    <hyperlink ref="B253" r:id="rId51" display="https://czechpetanque.cz/odhlasit.html?pr=57715" xr:uid="{5C2E2CD8-24AE-4369-86CF-6F5E9D7D5655}"/>
    <hyperlink ref="B258" r:id="rId52" display="https://czechpetanque.cz/odhlasit.html?pr=57717" xr:uid="{9FC273DF-9878-45F5-9C55-367E77945223}"/>
    <hyperlink ref="B263" r:id="rId53" display="https://czechpetanque.cz/odhlasit.html?pr=57716" xr:uid="{0E21615D-6A00-401E-8322-AA09F559EFDD}"/>
    <hyperlink ref="B268" r:id="rId54" display="https://czechpetanque.cz/odhlasit.html?pr=57718" xr:uid="{FB179D2B-AD23-40C1-A2E7-E12E5784FF04}"/>
    <hyperlink ref="B273" r:id="rId55" display="https://czechpetanque.cz/odhlasit.html?pr=57719" xr:uid="{22F52DBA-4BF9-4275-B410-535BDD025A9C}"/>
    <hyperlink ref="B278" r:id="rId56" display="https://czechpetanque.cz/odhlasit.html?pr=57721" xr:uid="{E428F028-59A3-400E-8629-DD46E38820F8}"/>
    <hyperlink ref="B283" r:id="rId57" display="https://czechpetanque.cz/odhlasit.html?pr=57720" xr:uid="{882CC284-02F6-4DBC-9ADF-A0D0B428A6B5}"/>
    <hyperlink ref="B288" r:id="rId58" display="https://czechpetanque.cz/odhlasit.html?pr=57722" xr:uid="{D7064BCD-3EC4-482D-8AA3-D706B04DED17}"/>
  </hyperlinks>
  <pageMargins left="0.78740157499999996" right="0.78740157499999996" top="0.984251969" bottom="0.984251969" header="0.4921259845" footer="0.4921259845"/>
  <pageSetup paperSize="9" orientation="portrait" horizontalDpi="300" verticalDpi="300" r:id="rId59"/>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List2">
    <tabColor rgb="FF7030A0"/>
    <pageSetUpPr fitToPage="1"/>
  </sheetPr>
  <dimension ref="A1:BG139"/>
  <sheetViews>
    <sheetView tabSelected="1" zoomScale="90" zoomScaleNormal="90" workbookViewId="0">
      <pane xSplit="8" ySplit="10" topLeftCell="I18" activePane="bottomRight" state="frozen"/>
      <selection pane="topRight" activeCell="G8" sqref="G8"/>
      <selection pane="bottomLeft" activeCell="G8" sqref="G8"/>
      <selection pane="bottomRight" activeCell="K2" sqref="K2"/>
    </sheetView>
  </sheetViews>
  <sheetFormatPr defaultColWidth="9.1640625" defaultRowHeight="12" x14ac:dyDescent="0.4"/>
  <cols>
    <col min="1" max="1" width="0.1640625" style="319" hidden="1" customWidth="1"/>
    <col min="2" max="2" width="3.83203125" style="319" hidden="1" customWidth="1"/>
    <col min="3" max="5" width="9" style="319" hidden="1" customWidth="1"/>
    <col min="6" max="6" width="27.25" style="319" hidden="1" customWidth="1"/>
    <col min="7" max="7" width="3.58203125" style="319" customWidth="1"/>
    <col min="8" max="9" width="9.1640625" style="319"/>
    <col min="10" max="10" width="13.4140625" style="319" customWidth="1"/>
    <col min="11" max="11" width="13.75" style="319" customWidth="1"/>
    <col min="12" max="12" width="20.4140625" style="319" customWidth="1"/>
    <col min="13" max="13" width="6.1640625" style="319" customWidth="1"/>
    <col min="14" max="14" width="6.58203125" style="319" customWidth="1"/>
    <col min="15" max="15" width="9.1640625" style="319"/>
    <col min="16" max="16" width="14.4140625" style="319" customWidth="1"/>
    <col min="17" max="17" width="11.58203125" style="319" customWidth="1"/>
    <col min="18" max="18" width="20.4140625" style="319" customWidth="1"/>
    <col min="19" max="19" width="6.1640625" style="319" customWidth="1"/>
    <col min="20" max="20" width="6.58203125" style="319" customWidth="1"/>
    <col min="21" max="21" width="9.1640625" style="319"/>
    <col min="22" max="22" width="14.4140625" style="319" customWidth="1"/>
    <col min="23" max="23" width="11.58203125" style="319" customWidth="1"/>
    <col min="24" max="24" width="20.4140625" style="319" customWidth="1"/>
    <col min="25" max="25" width="6.1640625" style="319" customWidth="1"/>
    <col min="26" max="26" width="6.58203125" style="319" customWidth="1"/>
    <col min="27" max="27" width="8" hidden="1" customWidth="1"/>
    <col min="28" max="28" width="14.4140625" hidden="1" customWidth="1"/>
    <col min="29" max="29" width="11.58203125" hidden="1" customWidth="1"/>
    <col min="30" max="30" width="20.4140625" hidden="1" customWidth="1"/>
    <col min="31" max="31" width="5" hidden="1" customWidth="1"/>
    <col min="32" max="32" width="5.4140625" hidden="1" customWidth="1"/>
    <col min="33" max="33" width="1.58203125" customWidth="1"/>
    <col min="34" max="34" width="7.25" style="319" bestFit="1" customWidth="1"/>
    <col min="35" max="37" width="8.1640625" style="319" hidden="1" customWidth="1"/>
    <col min="38" max="38" width="34.75" style="319" customWidth="1"/>
    <col min="39" max="39" width="9.1640625" style="319"/>
    <col min="40" max="40" width="7.75" style="319" customWidth="1"/>
    <col min="41" max="44" width="8.4140625" style="319" customWidth="1"/>
    <col min="45" max="45" width="9.1640625" style="319"/>
    <col min="46" max="57" width="0.1640625" style="319" customWidth="1"/>
    <col min="58" max="16384" width="9.1640625" style="319"/>
  </cols>
  <sheetData>
    <row r="1" spans="1:59" ht="32.15" thickBot="1" x14ac:dyDescent="0.75">
      <c r="A1" s="302"/>
      <c r="B1" s="302"/>
      <c r="C1" s="302"/>
      <c r="D1" s="302"/>
      <c r="E1" s="302"/>
      <c r="F1" s="302"/>
      <c r="G1" s="302"/>
      <c r="H1" s="303" t="s">
        <v>1486</v>
      </c>
      <c r="I1" s="304" t="s">
        <v>1487</v>
      </c>
      <c r="J1" s="305"/>
      <c r="K1" s="305"/>
      <c r="L1" s="305"/>
      <c r="M1" s="306"/>
      <c r="N1" s="306"/>
      <c r="O1" s="306"/>
      <c r="P1" s="306"/>
      <c r="Q1" s="302"/>
      <c r="R1" s="307" t="s">
        <v>1488</v>
      </c>
      <c r="S1" s="308">
        <f ca="1">'Kvalita turnaje'!$F$1</f>
        <v>38.328187499999999</v>
      </c>
      <c r="T1" s="309"/>
      <c r="U1" s="302"/>
      <c r="V1" s="302"/>
      <c r="W1" s="310"/>
      <c r="X1" s="310" t="s">
        <v>1489</v>
      </c>
      <c r="Y1" s="311"/>
      <c r="Z1" s="302"/>
      <c r="AA1" s="4"/>
      <c r="AB1" s="4"/>
      <c r="AC1" s="4"/>
      <c r="AD1" s="4"/>
      <c r="AE1" s="4"/>
      <c r="AF1" s="4"/>
      <c r="AG1" s="4"/>
      <c r="AH1" s="312"/>
      <c r="AI1" s="313"/>
      <c r="AJ1" s="302"/>
      <c r="AK1" s="314"/>
      <c r="AL1" s="307">
        <v>6</v>
      </c>
      <c r="AM1" s="315">
        <f t="shared" ref="AM1:AM7" si="0">CHOOSE($Y$2,AW1,AX1,AY1,AZ1,BA1,BB1)</f>
        <v>0</v>
      </c>
      <c r="AN1" s="314" t="s">
        <v>1490</v>
      </c>
      <c r="AO1" s="302"/>
      <c r="AP1" s="302"/>
      <c r="AQ1" s="302"/>
      <c r="AR1" s="302"/>
      <c r="AS1" s="302"/>
      <c r="AT1" s="302"/>
      <c r="AU1" s="302"/>
      <c r="AV1" s="316"/>
      <c r="AW1" s="317"/>
      <c r="AX1" s="317"/>
      <c r="AY1" s="317"/>
      <c r="AZ1" s="317"/>
      <c r="BA1" s="317"/>
      <c r="BB1" s="317">
        <f ca="1">BA2/2</f>
        <v>0.90625</v>
      </c>
      <c r="BC1" s="318">
        <v>6</v>
      </c>
      <c r="BG1" s="319">
        <f>5+128+128+128+128</f>
        <v>517</v>
      </c>
    </row>
    <row r="2" spans="1:59" ht="18" thickBot="1" x14ac:dyDescent="0.45">
      <c r="A2" s="302"/>
      <c r="B2" s="302"/>
      <c r="C2" s="302"/>
      <c r="D2" s="302"/>
      <c r="E2" s="302"/>
      <c r="F2" s="302"/>
      <c r="G2" s="302"/>
      <c r="H2" s="320"/>
      <c r="I2" s="321" t="s">
        <v>1491</v>
      </c>
      <c r="J2" s="322"/>
      <c r="K2" s="323">
        <f>IF(Internet!$E$1=0,Turnaje!A4,Internet!$E$1)</f>
        <v>24039</v>
      </c>
      <c r="M2" s="316" t="s">
        <v>1492</v>
      </c>
      <c r="N2" s="324" t="str">
        <f ca="1">IF(AND(S1&gt;=40,OR(AND(K6=2,K7&gt;=48),AND(K6=3,K7&gt;=32),AND(K6=1,K7&gt;=64))),"P","R")</f>
        <v>R</v>
      </c>
      <c r="O2" s="302"/>
      <c r="P2" s="302"/>
      <c r="Q2" s="302"/>
      <c r="R2" s="307" t="s">
        <v>1493</v>
      </c>
      <c r="S2" s="309">
        <f ca="1">IF(TYPE(VLOOKUP(Start.listina!N2,Bonusy!A4:B8,2,0))&gt;3,0,VLOOKUP(Start.listina!N2,Bonusy!A4:B8,2,0))</f>
        <v>0</v>
      </c>
      <c r="T2" s="309"/>
      <c r="U2" s="302"/>
      <c r="V2" s="302"/>
      <c r="W2" s="307"/>
      <c r="X2" s="307" t="s">
        <v>1494</v>
      </c>
      <c r="Y2" s="325">
        <v>4</v>
      </c>
      <c r="Z2" s="302"/>
      <c r="AA2" s="4"/>
      <c r="AB2" s="4"/>
      <c r="AC2" s="4"/>
      <c r="AD2" s="4"/>
      <c r="AE2" s="4"/>
      <c r="AF2" s="4"/>
      <c r="AG2" s="4"/>
      <c r="AH2" s="302"/>
      <c r="AI2" s="313"/>
      <c r="AJ2" s="302"/>
      <c r="AK2" s="302"/>
      <c r="AL2" s="307">
        <v>5</v>
      </c>
      <c r="AM2" s="315">
        <f t="shared" si="0"/>
        <v>0</v>
      </c>
      <c r="AN2" s="302"/>
      <c r="AO2" s="302"/>
      <c r="AP2" s="302"/>
      <c r="AQ2" s="302"/>
      <c r="AR2" s="302"/>
      <c r="AS2" s="302"/>
      <c r="AT2" s="302"/>
      <c r="AU2" s="302"/>
      <c r="AV2" s="302"/>
      <c r="AW2" s="317"/>
      <c r="AX2" s="317"/>
      <c r="AY2" s="317"/>
      <c r="AZ2" s="317"/>
      <c r="BA2" s="317">
        <f ca="1">AZ3/2</f>
        <v>1.8125</v>
      </c>
      <c r="BB2" s="317">
        <f ca="1">BA2/2+BA3/2</f>
        <v>5.4375</v>
      </c>
      <c r="BC2" s="318">
        <v>5</v>
      </c>
    </row>
    <row r="3" spans="1:59" ht="18" thickBot="1" x14ac:dyDescent="0.45">
      <c r="A3" s="302"/>
      <c r="B3" s="302"/>
      <c r="C3" s="302"/>
      <c r="D3" s="302"/>
      <c r="E3" s="302"/>
      <c r="F3" s="302"/>
      <c r="G3" s="302"/>
      <c r="H3" s="320"/>
      <c r="I3" s="326" t="s">
        <v>1495</v>
      </c>
      <c r="J3" s="322"/>
      <c r="K3" s="327" t="str">
        <f>IF(ISBLANK(K2)," ",VLOOKUP(K2,Turnaje!$A$1:$G$147,3,0))</f>
        <v>28.04.2024</v>
      </c>
      <c r="L3" s="302"/>
      <c r="M3" s="316"/>
      <c r="N3" s="316"/>
      <c r="O3" s="302"/>
      <c r="P3" s="302"/>
      <c r="Q3" s="302"/>
      <c r="R3" s="307" t="s">
        <v>1496</v>
      </c>
      <c r="S3" s="309">
        <f ca="1">IF(TYPE(VLOOKUP(Start.listina!N2,Paušál!A4:B7,2,0))&gt;3,0,VLOOKUP(Start.listina!N2,Paušál!A4:B7,2,0))</f>
        <v>1</v>
      </c>
      <c r="T3" s="309"/>
      <c r="U3" s="302"/>
      <c r="V3" s="302"/>
      <c r="W3" s="307"/>
      <c r="X3" s="307" t="s">
        <v>1497</v>
      </c>
      <c r="Y3" s="325"/>
      <c r="Z3" s="302"/>
      <c r="AA3" s="4"/>
      <c r="AB3" s="4"/>
      <c r="AC3" s="4"/>
      <c r="AD3" s="4"/>
      <c r="AE3" s="4"/>
      <c r="AF3" s="4"/>
      <c r="AG3" s="4"/>
      <c r="AH3" s="302"/>
      <c r="AI3" s="313"/>
      <c r="AJ3" s="302"/>
      <c r="AK3" s="302"/>
      <c r="AL3" s="307">
        <v>4</v>
      </c>
      <c r="AM3" s="315">
        <f t="shared" ca="1" si="0"/>
        <v>3.625</v>
      </c>
      <c r="AN3" s="302"/>
      <c r="AO3" s="302"/>
      <c r="AP3" s="302"/>
      <c r="AQ3" s="302"/>
      <c r="AR3" s="302"/>
      <c r="AS3" s="302"/>
      <c r="AT3" s="302"/>
      <c r="AU3" s="302"/>
      <c r="AV3" s="302"/>
      <c r="AW3" s="317"/>
      <c r="AX3" s="317"/>
      <c r="AY3" s="317"/>
      <c r="AZ3" s="317">
        <f ca="1">AY4/2</f>
        <v>3.625</v>
      </c>
      <c r="BA3" s="317">
        <f ca="1">AZ3/2+AZ4/2</f>
        <v>9.0625</v>
      </c>
      <c r="BB3" s="317">
        <f ca="1">BA3/2+BA4/2</f>
        <v>13.59375</v>
      </c>
      <c r="BC3" s="318">
        <v>4</v>
      </c>
    </row>
    <row r="4" spans="1:59" ht="18.45" thickBot="1" x14ac:dyDescent="0.5">
      <c r="A4" s="302"/>
      <c r="B4" s="302"/>
      <c r="C4" s="302"/>
      <c r="D4" s="302"/>
      <c r="E4" s="302"/>
      <c r="F4" s="302"/>
      <c r="G4" s="302"/>
      <c r="H4" s="320"/>
      <c r="I4" s="328" t="s">
        <v>1498</v>
      </c>
      <c r="J4" s="329"/>
      <c r="K4" s="330" t="str">
        <f>IF(ISBLANK(K2)," ",VLOOKUP(K2,Turnaje!$A$1:$G$147,2,0))</f>
        <v>Turnaj Piráta Morgana</v>
      </c>
      <c r="L4" s="331"/>
      <c r="M4" s="331"/>
      <c r="N4" s="332"/>
      <c r="O4" s="302"/>
      <c r="P4" s="333">
        <v>1</v>
      </c>
      <c r="Q4" s="302"/>
      <c r="R4" s="307" t="s">
        <v>1499</v>
      </c>
      <c r="S4" s="309">
        <f ca="1">'Počet kol'!$D$3</f>
        <v>6</v>
      </c>
      <c r="T4" s="309"/>
      <c r="U4" s="302"/>
      <c r="V4" s="302"/>
      <c r="W4" s="307"/>
      <c r="X4" s="307" t="s">
        <v>1500</v>
      </c>
      <c r="Y4" s="334">
        <v>16</v>
      </c>
      <c r="Z4" s="309" t="s">
        <v>1501</v>
      </c>
      <c r="AA4" s="4"/>
      <c r="AB4" s="4"/>
      <c r="AC4" s="4"/>
      <c r="AD4" s="4"/>
      <c r="AE4" s="4"/>
      <c r="AF4" s="4"/>
      <c r="AG4" s="4"/>
      <c r="AH4" s="302"/>
      <c r="AI4" s="313"/>
      <c r="AJ4" s="302"/>
      <c r="AK4" s="302"/>
      <c r="AL4" s="307">
        <v>3</v>
      </c>
      <c r="AM4" s="315">
        <f t="shared" ca="1" si="0"/>
        <v>14.5</v>
      </c>
      <c r="AN4" s="302"/>
      <c r="AO4" s="302"/>
      <c r="AP4" s="302"/>
      <c r="AQ4" s="302"/>
      <c r="AR4" s="302"/>
      <c r="AS4" s="302"/>
      <c r="AT4" s="302"/>
      <c r="AU4" s="302"/>
      <c r="AV4" s="302"/>
      <c r="AW4" s="317"/>
      <c r="AX4" s="317"/>
      <c r="AY4" s="317">
        <f ca="1">AX5/2</f>
        <v>7.25</v>
      </c>
      <c r="AZ4" s="317">
        <f ca="1">AY4/2+AY5/2</f>
        <v>14.5</v>
      </c>
      <c r="BA4" s="317">
        <f ca="1">AZ4/2+AZ5/2</f>
        <v>18.125</v>
      </c>
      <c r="BB4" s="317">
        <f ca="1">BA4/2+BA5/2</f>
        <v>18.125</v>
      </c>
      <c r="BC4" s="318">
        <v>3</v>
      </c>
    </row>
    <row r="5" spans="1:59" ht="18" customHeight="1" thickBot="1" x14ac:dyDescent="0.45">
      <c r="A5" s="335"/>
      <c r="B5" s="335"/>
      <c r="C5" s="335"/>
      <c r="D5" s="335"/>
      <c r="E5" s="335"/>
      <c r="F5" s="335"/>
      <c r="G5" s="302"/>
      <c r="H5" s="320"/>
      <c r="I5" s="321" t="s">
        <v>1502</v>
      </c>
      <c r="J5" s="336"/>
      <c r="K5" s="337" t="str">
        <f>IF(ISBLANK(K2)," ",VLOOKUP(K2,Turnaje!$A$1:$G$147,4,0))</f>
        <v>Ořech</v>
      </c>
      <c r="L5" s="338"/>
      <c r="M5" s="339"/>
      <c r="N5" s="332"/>
      <c r="O5" s="302"/>
      <c r="P5" s="449"/>
      <c r="Q5" s="302"/>
      <c r="R5" s="307" t="s">
        <v>1503</v>
      </c>
      <c r="S5" s="340">
        <f>Y2*U5/60</f>
        <v>2.6666666666666665</v>
      </c>
      <c r="T5" s="309" t="s">
        <v>1504</v>
      </c>
      <c r="U5" s="334">
        <v>40</v>
      </c>
      <c r="V5" s="309" t="s">
        <v>1505</v>
      </c>
      <c r="W5" s="307"/>
      <c r="X5" s="341" t="s">
        <v>1506</v>
      </c>
      <c r="Y5" s="342"/>
      <c r="Z5" s="302"/>
      <c r="AA5" s="4"/>
      <c r="AB5" s="4"/>
      <c r="AC5" s="4"/>
      <c r="AD5" s="4"/>
      <c r="AE5" s="4"/>
      <c r="AF5" s="4"/>
      <c r="AG5" s="4"/>
      <c r="AH5" s="302"/>
      <c r="AI5" s="313"/>
      <c r="AJ5" s="302"/>
      <c r="AK5" s="302"/>
      <c r="AL5" s="307">
        <v>2</v>
      </c>
      <c r="AM5" s="315">
        <f t="shared" ca="1" si="0"/>
        <v>21.75</v>
      </c>
      <c r="AN5" s="302"/>
      <c r="AO5" s="302"/>
      <c r="AP5" s="302"/>
      <c r="AQ5" s="302"/>
      <c r="AR5" s="302"/>
      <c r="AS5" s="302"/>
      <c r="AT5" s="302"/>
      <c r="AU5" s="302"/>
      <c r="AV5" s="302"/>
      <c r="AW5" s="317"/>
      <c r="AX5" s="317">
        <f ca="1">AW6/2</f>
        <v>14.5</v>
      </c>
      <c r="AY5" s="317">
        <f ca="1">AX6/2+AX5/2</f>
        <v>21.75</v>
      </c>
      <c r="AZ5" s="317">
        <f ca="1">AY5/2+AY6/2</f>
        <v>21.75</v>
      </c>
      <c r="BA5" s="317">
        <f ca="1">AZ5/2+AZ6/2</f>
        <v>18.125</v>
      </c>
      <c r="BB5" s="317">
        <f ca="1">BA5/2+BA6/2</f>
        <v>13.59375</v>
      </c>
      <c r="BC5" s="318">
        <v>2</v>
      </c>
    </row>
    <row r="6" spans="1:59" ht="18.45" thickBot="1" x14ac:dyDescent="0.5">
      <c r="A6" s="302"/>
      <c r="B6" s="302"/>
      <c r="C6" s="302"/>
      <c r="D6" s="302"/>
      <c r="E6" s="302"/>
      <c r="F6" s="343"/>
      <c r="G6" s="302"/>
      <c r="H6" s="320"/>
      <c r="I6" s="321" t="s">
        <v>1507</v>
      </c>
      <c r="J6" s="336"/>
      <c r="K6" s="344">
        <f>IF(ISBLANK(K2)," ",VLOOKUP(K2,Turnaje!$A$1:$G$147,6,0))</f>
        <v>1</v>
      </c>
      <c r="L6" s="345" t="s">
        <v>1508</v>
      </c>
      <c r="M6" s="346">
        <v>1</v>
      </c>
      <c r="N6" s="347">
        <f ca="1">IF(TYPE((K7-M7*N7)/M6)&gt;3,"",(K7-M7*N7)/M6)</f>
        <v>1</v>
      </c>
      <c r="O6" s="302"/>
      <c r="P6" s="302"/>
      <c r="Q6" s="302"/>
      <c r="R6" s="307" t="s">
        <v>1509</v>
      </c>
      <c r="S6" s="340">
        <f>IF(Y4=0,0,ROUNDUP(LOG(Y4,2),0)*U5/60)</f>
        <v>2.6666666666666665</v>
      </c>
      <c r="T6" s="309" t="s">
        <v>1504</v>
      </c>
      <c r="U6" s="348">
        <v>1</v>
      </c>
      <c r="V6" s="309" t="s">
        <v>1510</v>
      </c>
      <c r="W6" s="307"/>
      <c r="X6" s="307" t="s">
        <v>1511</v>
      </c>
      <c r="Y6" s="342" t="s">
        <v>1512</v>
      </c>
      <c r="Z6" s="302"/>
      <c r="AA6" s="4"/>
      <c r="AB6" s="4"/>
      <c r="AC6" s="4"/>
      <c r="AD6" s="4"/>
      <c r="AE6" s="4"/>
      <c r="AF6" s="4"/>
      <c r="AG6" s="4"/>
      <c r="AH6" s="302"/>
      <c r="AI6" s="313"/>
      <c r="AJ6" s="309"/>
      <c r="AK6" s="302"/>
      <c r="AL6" s="307">
        <v>1</v>
      </c>
      <c r="AM6" s="315">
        <f t="shared" ca="1" si="0"/>
        <v>14.5</v>
      </c>
      <c r="AN6" s="302"/>
      <c r="AO6" s="302"/>
      <c r="AP6" s="302"/>
      <c r="AQ6" s="302"/>
      <c r="AR6" s="302"/>
      <c r="AS6" s="302"/>
      <c r="AT6" s="302"/>
      <c r="AU6" s="302"/>
      <c r="AV6" s="302"/>
      <c r="AW6" s="317">
        <f ca="1">$AV$9/2</f>
        <v>29</v>
      </c>
      <c r="AX6" s="317">
        <f ca="1">AW6/2+AW7/2</f>
        <v>29</v>
      </c>
      <c r="AY6" s="317">
        <f ca="1">AX6/2+AX7/2</f>
        <v>21.75</v>
      </c>
      <c r="AZ6" s="317">
        <f ca="1">AY6/2+AY7/2</f>
        <v>14.5</v>
      </c>
      <c r="BA6" s="317">
        <f ca="1">AZ6/2+AZ7/2</f>
        <v>9.0625</v>
      </c>
      <c r="BB6" s="317">
        <f ca="1">BA6/2+BA7/2</f>
        <v>5.4375</v>
      </c>
      <c r="BC6" s="318">
        <v>1</v>
      </c>
    </row>
    <row r="7" spans="1:59" ht="18.899999999999999" thickTop="1" thickBot="1" x14ac:dyDescent="0.5">
      <c r="A7" s="302"/>
      <c r="B7" s="302"/>
      <c r="C7" s="302"/>
      <c r="D7" s="302"/>
      <c r="E7" s="302"/>
      <c r="F7" s="343"/>
      <c r="G7" s="302"/>
      <c r="H7" s="320"/>
      <c r="I7" s="321" t="s">
        <v>1513</v>
      </c>
      <c r="J7" s="336"/>
      <c r="K7" s="344">
        <f ca="1">SUM(B11:B138)</f>
        <v>57</v>
      </c>
      <c r="L7" s="345" t="s">
        <v>1514</v>
      </c>
      <c r="M7" s="346">
        <v>2</v>
      </c>
      <c r="N7" s="347">
        <f ca="1">INT(K7/M7)</f>
        <v>28</v>
      </c>
      <c r="O7" s="349">
        <f ca="1">IF(TYPE(N6+N7)&gt;3,"",N6+N7)</f>
        <v>29</v>
      </c>
      <c r="P7" s="302" t="s">
        <v>1515</v>
      </c>
      <c r="Q7" s="302"/>
      <c r="R7" s="307" t="s">
        <v>1516</v>
      </c>
      <c r="S7" s="309">
        <f ca="1">INT(M7/2)*N7+INT(M6/2)*N6</f>
        <v>28</v>
      </c>
      <c r="T7" s="302"/>
      <c r="U7" s="302"/>
      <c r="V7" s="302"/>
      <c r="W7" s="307"/>
      <c r="X7" s="307" t="s">
        <v>1517</v>
      </c>
      <c r="Y7" s="342">
        <v>2</v>
      </c>
      <c r="Z7" s="302"/>
      <c r="AA7" s="4"/>
      <c r="AB7" s="4"/>
      <c r="AC7" s="4"/>
      <c r="AD7" s="4"/>
      <c r="AE7" s="4"/>
      <c r="AF7" s="4"/>
      <c r="AG7" s="4"/>
      <c r="AH7" s="302"/>
      <c r="AI7" s="313"/>
      <c r="AJ7" s="302"/>
      <c r="AM7" s="315">
        <f t="shared" ca="1" si="0"/>
        <v>3.625</v>
      </c>
      <c r="AN7" s="302"/>
      <c r="AO7" s="302"/>
      <c r="AP7" s="302"/>
      <c r="AQ7" s="302"/>
      <c r="AR7" s="302"/>
      <c r="AS7" s="302"/>
      <c r="AT7" s="302"/>
      <c r="AU7" s="302"/>
      <c r="AV7" s="302"/>
      <c r="AW7" s="350">
        <f ca="1">$AV$9/2</f>
        <v>29</v>
      </c>
      <c r="AX7" s="350">
        <f ca="1">AW7/2</f>
        <v>14.5</v>
      </c>
      <c r="AY7" s="350">
        <f ca="1">AX7/2</f>
        <v>7.25</v>
      </c>
      <c r="AZ7" s="350">
        <f ca="1">AY7/2</f>
        <v>3.625</v>
      </c>
      <c r="BA7" s="350">
        <f ca="1">AZ7/2</f>
        <v>1.8125</v>
      </c>
      <c r="BB7" s="350">
        <f ca="1">BA7/2</f>
        <v>0.90625</v>
      </c>
      <c r="BC7" s="318">
        <v>0</v>
      </c>
    </row>
    <row r="8" spans="1:59" ht="15.9" thickTop="1" thickBot="1" x14ac:dyDescent="0.5">
      <c r="A8" s="302"/>
      <c r="B8" s="302"/>
      <c r="C8" s="302"/>
      <c r="D8" s="302"/>
      <c r="E8" s="302"/>
      <c r="F8" s="343"/>
      <c r="G8" s="302"/>
      <c r="H8" s="302"/>
      <c r="I8" s="302"/>
      <c r="J8" s="351"/>
      <c r="K8" s="302"/>
      <c r="L8" s="302"/>
      <c r="M8" s="307"/>
      <c r="N8" s="307"/>
      <c r="O8" s="302"/>
      <c r="P8" s="302"/>
      <c r="Q8" s="302"/>
      <c r="R8" s="302"/>
      <c r="S8" s="302"/>
      <c r="T8" s="309"/>
      <c r="U8" s="302"/>
      <c r="V8" s="302"/>
      <c r="W8" s="307"/>
      <c r="X8" s="341" t="s">
        <v>1518</v>
      </c>
      <c r="Y8" s="342"/>
      <c r="Z8" s="302"/>
      <c r="AA8" s="4"/>
      <c r="AB8" s="4"/>
      <c r="AC8" s="4"/>
      <c r="AD8" s="4"/>
      <c r="AE8" s="4"/>
      <c r="AF8" s="4"/>
      <c r="AG8" s="4"/>
      <c r="AH8" s="302"/>
      <c r="AI8" s="352" t="s">
        <v>1519</v>
      </c>
      <c r="AJ8" s="309">
        <f ca="1">$AU$9</f>
        <v>0</v>
      </c>
      <c r="AK8" s="302"/>
      <c r="AL8" s="307" t="s">
        <v>1520</v>
      </c>
      <c r="AM8" s="313">
        <f ca="1">SUM(AM1:AM7)</f>
        <v>58</v>
      </c>
      <c r="AN8" s="302"/>
      <c r="AO8" s="302"/>
      <c r="AP8" s="302"/>
      <c r="AQ8" s="302"/>
      <c r="AR8" s="302"/>
      <c r="AS8" s="302"/>
      <c r="AT8" s="302"/>
      <c r="AU8" s="302"/>
      <c r="AW8" s="353">
        <v>1</v>
      </c>
      <c r="AX8" s="354">
        <v>2</v>
      </c>
      <c r="AY8" s="354">
        <v>3</v>
      </c>
      <c r="AZ8" s="354">
        <v>4</v>
      </c>
      <c r="BA8" s="354">
        <v>5</v>
      </c>
      <c r="BB8" s="355">
        <v>6</v>
      </c>
      <c r="BC8" s="318"/>
    </row>
    <row r="9" spans="1:59" ht="12.45" thickBot="1" x14ac:dyDescent="0.45">
      <c r="A9" s="302">
        <v>7</v>
      </c>
      <c r="B9" s="302"/>
      <c r="C9" s="302"/>
      <c r="D9" s="302"/>
      <c r="E9" s="302"/>
      <c r="F9" s="343"/>
      <c r="G9" s="356">
        <f ca="1">Centrum!$AE$1</f>
        <v>0</v>
      </c>
      <c r="H9" s="302"/>
      <c r="I9" s="357" t="s">
        <v>1521</v>
      </c>
      <c r="J9" s="358" t="s">
        <v>1522</v>
      </c>
      <c r="K9" s="359"/>
      <c r="L9" s="359"/>
      <c r="M9" s="359"/>
      <c r="N9" s="359"/>
      <c r="O9" s="360" t="s">
        <v>1523</v>
      </c>
      <c r="P9" s="302"/>
      <c r="Q9" s="302"/>
      <c r="R9" s="302"/>
      <c r="S9" s="302"/>
      <c r="T9" s="302"/>
      <c r="U9" s="361" t="s">
        <v>1524</v>
      </c>
      <c r="V9" s="302"/>
      <c r="W9" s="302"/>
      <c r="X9" s="309" t="s">
        <v>1525</v>
      </c>
      <c r="Y9" s="348" t="s">
        <v>1526</v>
      </c>
      <c r="Z9" s="302"/>
      <c r="AA9" s="7" t="s">
        <v>1527</v>
      </c>
      <c r="AB9" s="4" t="s">
        <v>1528</v>
      </c>
      <c r="AC9" s="4"/>
      <c r="AD9" s="4"/>
      <c r="AE9" s="4"/>
      <c r="AF9" s="4"/>
      <c r="AG9" s="4"/>
      <c r="AH9" s="302"/>
      <c r="AI9" s="352" t="s">
        <v>1529</v>
      </c>
      <c r="AJ9" s="309">
        <f ca="1">$AT$9</f>
        <v>0</v>
      </c>
      <c r="AK9" s="302"/>
      <c r="AL9" s="302"/>
      <c r="AM9" s="313"/>
      <c r="AN9" s="313"/>
      <c r="AO9" s="302"/>
      <c r="AP9" s="302"/>
      <c r="AQ9" s="302"/>
      <c r="AR9" s="302"/>
      <c r="AS9" s="302"/>
      <c r="AT9" s="318">
        <f ca="1">SUM(AT11:AT138)</f>
        <v>0</v>
      </c>
      <c r="AU9" s="318">
        <f ca="1">SUM(AU11:AU138)</f>
        <v>0</v>
      </c>
      <c r="AV9" s="302">
        <f ca="1">IF(MOD(K7,2)=1,K7+1,K7)</f>
        <v>58</v>
      </c>
      <c r="AW9" s="318">
        <f t="shared" ref="AW9:BB9" ca="1" si="1">SUM(AW1:AW7)</f>
        <v>58</v>
      </c>
      <c r="AX9" s="318">
        <f t="shared" ca="1" si="1"/>
        <v>58</v>
      </c>
      <c r="AY9" s="318">
        <f t="shared" ca="1" si="1"/>
        <v>58</v>
      </c>
      <c r="AZ9" s="318">
        <f t="shared" ca="1" si="1"/>
        <v>58</v>
      </c>
      <c r="BA9" s="318">
        <f t="shared" ca="1" si="1"/>
        <v>58</v>
      </c>
      <c r="BB9" s="318">
        <f t="shared" ca="1" si="1"/>
        <v>58</v>
      </c>
      <c r="BC9" s="318"/>
    </row>
    <row r="10" spans="1:59" ht="36.65" customHeight="1" thickBot="1" x14ac:dyDescent="0.45">
      <c r="A10" s="335" t="s">
        <v>1530</v>
      </c>
      <c r="B10" s="335" t="s">
        <v>1531</v>
      </c>
      <c r="C10" s="335" t="s">
        <v>1532</v>
      </c>
      <c r="D10" s="335" t="s">
        <v>1533</v>
      </c>
      <c r="E10" s="335" t="s">
        <v>1534</v>
      </c>
      <c r="F10" s="335" t="s">
        <v>1535</v>
      </c>
      <c r="G10" s="362" t="s">
        <v>1536</v>
      </c>
      <c r="H10" s="363" t="s">
        <v>1537</v>
      </c>
      <c r="I10" s="364" t="s">
        <v>1538</v>
      </c>
      <c r="J10" s="365" t="s">
        <v>1539</v>
      </c>
      <c r="K10" s="366" t="s">
        <v>1540</v>
      </c>
      <c r="L10" s="366" t="s">
        <v>1541</v>
      </c>
      <c r="M10" s="366" t="s">
        <v>1542</v>
      </c>
      <c r="N10" s="367" t="s">
        <v>1543</v>
      </c>
      <c r="O10" s="368" t="s">
        <v>1538</v>
      </c>
      <c r="P10" s="369" t="s">
        <v>1539</v>
      </c>
      <c r="Q10" s="369" t="s">
        <v>1544</v>
      </c>
      <c r="R10" s="369" t="s">
        <v>1541</v>
      </c>
      <c r="S10" s="369" t="s">
        <v>1542</v>
      </c>
      <c r="T10" s="370" t="s">
        <v>1543</v>
      </c>
      <c r="U10" s="371" t="s">
        <v>1538</v>
      </c>
      <c r="V10" s="372" t="s">
        <v>1539</v>
      </c>
      <c r="W10" s="373" t="s">
        <v>1540</v>
      </c>
      <c r="X10" s="373" t="s">
        <v>1541</v>
      </c>
      <c r="Y10" s="373" t="s">
        <v>1542</v>
      </c>
      <c r="Z10" s="374" t="s">
        <v>1543</v>
      </c>
      <c r="AA10" s="77" t="s">
        <v>1538</v>
      </c>
      <c r="AB10" s="11" t="s">
        <v>1539</v>
      </c>
      <c r="AC10" s="12" t="s">
        <v>1540</v>
      </c>
      <c r="AD10" s="12" t="s">
        <v>1541</v>
      </c>
      <c r="AE10" s="12" t="s">
        <v>1542</v>
      </c>
      <c r="AF10" s="12" t="s">
        <v>1543</v>
      </c>
      <c r="AG10" s="391"/>
      <c r="AH10" s="428" t="s">
        <v>1545</v>
      </c>
      <c r="AI10" s="375" t="s">
        <v>1546</v>
      </c>
      <c r="AJ10" s="375" t="s">
        <v>1547</v>
      </c>
      <c r="AK10" s="376" t="s">
        <v>1548</v>
      </c>
      <c r="AL10" s="377" t="s">
        <v>1549</v>
      </c>
      <c r="AM10" s="378" t="s">
        <v>1550</v>
      </c>
      <c r="AN10" s="379" t="s">
        <v>1551</v>
      </c>
      <c r="AO10" s="379" t="s">
        <v>1552</v>
      </c>
      <c r="AP10" s="379" t="s">
        <v>1553</v>
      </c>
      <c r="AQ10" s="379" t="s">
        <v>1554</v>
      </c>
      <c r="AR10" s="379" t="s">
        <v>1555</v>
      </c>
      <c r="AS10" s="379"/>
      <c r="AT10" s="379" t="s">
        <v>1529</v>
      </c>
      <c r="AU10" s="379" t="s">
        <v>1556</v>
      </c>
      <c r="AV10" s="379"/>
    </row>
    <row r="11" spans="1:59" ht="13.3" thickTop="1" x14ac:dyDescent="0.45">
      <c r="A11" s="380">
        <f t="shared" ref="A11:A74" ca="1" si="2">IF(OR(LEFT(J11,1)=" ",ISBLANK(J11)),0,1)+IF(OR(LEFT(P11,1)=" ",ISBLANK(P11)),0,1)+IF(OR(LEFT(V11,1)=" ",ISBLANK(V11)),0,1)</f>
        <v>1</v>
      </c>
      <c r="B11" s="380">
        <f t="shared" ref="B11:B74" ca="1" si="3">IF(AND(TYPE(G11&lt;15),G11=FALSE),1,0)</f>
        <v>1</v>
      </c>
      <c r="C11" s="380">
        <f t="shared" ref="C11:C74" ca="1" si="4">IF(B11=0,0,N11+T11+Z11)</f>
        <v>60</v>
      </c>
      <c r="D11" s="380">
        <f t="shared" ref="D11:D74" ca="1" si="5">IF(B11=0,99999,M11+S11+Y11)</f>
        <v>20000</v>
      </c>
      <c r="E11" s="302">
        <f t="shared" ref="E11:E74" ca="1" si="6">MIN(M11,S11,Y11)</f>
        <v>2</v>
      </c>
      <c r="F11" s="343" t="str">
        <f t="shared" ref="F11:F74" ca="1" si="7">CONCATENATE(IF(AND($P$4=1,H11&gt;$O$7),"0","9"),TEXT(B11,"0"),IF(AND($P$4=1,H11&gt;$O$7),"000000",TEXT(1000*C11,"000000")),IF(AND($P$4=1,H11&gt;$O$7),"000000",TEXT(999999-D11,"000000")),IF(AND($P$4=1,H11&gt;$O$7),"000000",TEXT(999999-E11,"000000")),TEXT(999999*RAND(),"000000"))</f>
        <v>91060000979999999997502155</v>
      </c>
      <c r="G11" s="381" t="b">
        <f t="shared" ref="G11:G74" ca="1" si="8">IF(OR($K$6&gt;A11,AR11&gt;0),TRUE,FALSE)</f>
        <v>0</v>
      </c>
      <c r="H11" s="382">
        <f t="shared" ref="H11:H74" si="9">ROW(H11)-10</f>
        <v>1</v>
      </c>
      <c r="I11" s="383">
        <f t="shared" ref="I11:I74" ca="1" si="10">IF(N(INDIRECT(ADDRESS(ROW() + $A$9-9 + (ROW()-11)*4,1,1,1,"Internet")))&gt;0,INDIRECT(ADDRESS(ROW() + $A$9-9 + (ROW()-11)*4,1,1,1,"Internet")),"")</f>
        <v>29062</v>
      </c>
      <c r="J11" s="384" t="str">
        <f ca="1">IF(N(I11)&gt;0,VLOOKUP(I11,Hraci!$A$1:$I$1500,2,0),IF(TYPE(INDIRECT(ADDRESS(ROW() + $A$9-9 + (ROW()-11)*4,2,1,1,"Internet")))&gt;1,INDIRECT(ADDRESS(ROW() + $A$9-9 + (ROW()-11)*4,2,1,1,"Internet"))," "))</f>
        <v>Vavrovič ml.</v>
      </c>
      <c r="K11" s="385" t="str">
        <f ca="1">IF(N(I11)&gt;0,VLOOKUP(I11,Hraci!$A$1:$I$1500,3,0)," ")</f>
        <v>Petr</v>
      </c>
      <c r="L11" s="385" t="str">
        <f ca="1">IF(N(I11)&gt;0,VLOOKUP(I11,Hraci!$A$1:$I$1500,5,0),IF(TYPE(INDIRECT(ADDRESS(ROW() + $A$9-9 + (ROW()-11)*4,3,1,1,"Internet")))&gt;1,INDIRECT(ADDRESS(ROW() + $A$9-9 + (ROW()-11)*4,3,1,1,"Internet"))," "))</f>
        <v>PC Sokol Lipník</v>
      </c>
      <c r="M11" s="319">
        <f ca="1">IF(N(I11)=0,9999,VLOOKUP(I11,Hraci!$A$1:$I$1500,8,0))</f>
        <v>2</v>
      </c>
      <c r="N11" s="386">
        <f ca="1">IF(N(I11)=0,0,VLOOKUP(I11,Hraci!$A$1:$I$1500,9,0))</f>
        <v>60</v>
      </c>
      <c r="O11" s="383" t="str">
        <f t="shared" ref="O11:O74" ca="1" si="11">IF(N(INDIRECT(ADDRESS(ROW() + $A$9-8 + (ROW()-11)*4,1,1,1,"Internet")))&gt;0,INDIRECT(ADDRESS(ROW() + $A$9-8 + (ROW()-11)*4,1,1,1,"Internet")),"")</f>
        <v/>
      </c>
      <c r="P11" s="384" t="str">
        <f ca="1">IF(N(O11)&gt;0,VLOOKUP(O11,Hraci!$A$1:$I$1500,2,0),IF(TYPE(INDIRECT(ADDRESS(ROW() + $A$9-8 + (ROW()-11)*4,2,1,1,"Internet")))&gt;1,INDIRECT(ADDRESS(ROW() + $A$9-8 + (ROW()-11)*4,2,1,1,"Internet"))," "))</f>
        <v xml:space="preserve"> </v>
      </c>
      <c r="Q11" s="385" t="str">
        <f ca="1">IF(N(O11)&gt;0,VLOOKUP(O11,Hraci!$A$1:$I$1500,3,0)," ")</f>
        <v xml:space="preserve"> </v>
      </c>
      <c r="R11" s="385" t="str">
        <f ca="1">IF(N(O11)&gt;0,VLOOKUP(O11,Hraci!$A$1:$I$1500,5,0),IF(TYPE(INDIRECT(ADDRESS(ROW() + $A$9-8 + (ROW()-11)*4,3,1,1,"Internet")))&gt;1,INDIRECT(ADDRESS(ROW() + $A$9-8 + (ROW()-11)*4,3,1,1,"Internet"))," "))</f>
        <v xml:space="preserve"> </v>
      </c>
      <c r="S11" s="319">
        <f ca="1">IF(N(O11)=0,9999,VLOOKUP(O11,Hraci!$A$1:$I$1500,8,0))</f>
        <v>9999</v>
      </c>
      <c r="T11" s="386">
        <f ca="1">IF(N(O11)=0,0,VLOOKUP(O11,Hraci!$A$1:$I$1500,9,0))</f>
        <v>0</v>
      </c>
      <c r="U11" s="383" t="str">
        <f t="shared" ref="U11:U74" ca="1" si="12">IF(N(INDIRECT(ADDRESS(ROW() + $A$9-7 + (ROW()-11)*4,1,1,1,"Internet")))&gt;0,INDIRECT(ADDRESS(ROW() + $A$9-7 + (ROW()-11)*4,1,1,1,"Internet")),"")</f>
        <v/>
      </c>
      <c r="V11" s="384" t="str">
        <f ca="1">IF(N(U11)&gt;0,VLOOKUP(U11,Hraci!$A$1:$I$1500,2,0),IF(TYPE(INDIRECT(ADDRESS(ROW() + $A$9-7 + (ROW()-11)*4,2,1,1,"Internet")))&gt;1,INDIRECT(ADDRESS(ROW() + $A$9-7 + (ROW()-11)*4,2,1,1,"Internet"))," "))</f>
        <v xml:space="preserve"> </v>
      </c>
      <c r="W11" s="385" t="str">
        <f ca="1">IF(N(U11)&gt;0,VLOOKUP(U11,Hraci!$A$1:$I$1500,3,0)," ")</f>
        <v xml:space="preserve"> </v>
      </c>
      <c r="X11" s="385" t="str">
        <f ca="1">IF(N(U11)&gt;0,VLOOKUP(U11,Hraci!$A$1:$I$1500,5,0),IF(TYPE(INDIRECT(ADDRESS(ROW() + $A$9-7 + (ROW()-11)*4,3,1,1,"Internet")))&gt;1,INDIRECT(ADDRESS(ROW() + $A$9-7 + (ROW()-11)*4,3,1,1,"Internet"))," "))</f>
        <v xml:space="preserve"> </v>
      </c>
      <c r="Y11" s="319">
        <f ca="1">IF(N(U11)=0,9999,VLOOKUP(U11,Hraci!$A$1:$I$1500,8,0))</f>
        <v>9999</v>
      </c>
      <c r="Z11" s="386">
        <f ca="1">IF(N(U11)=0,0,VLOOKUP(U11,Hraci!$A$1:$I$1500,9,0))</f>
        <v>0</v>
      </c>
      <c r="AA11" s="383" t="str">
        <f t="shared" ref="AA11:AA74" ca="1" si="13">IF(N(INDIRECT(ADDRESS(ROW() + $A$9-6 + (ROW()-11)*4,1,1,1,"Internet")))&gt;0,INDIRECT(ADDRESS(ROW() + $A$9-6 + (ROW()-11)*4,1,1,1,"Internet")),"")</f>
        <v/>
      </c>
      <c r="AB11" s="384" t="str">
        <f ca="1">IF(N(AA11)&gt;0,VLOOKUP(AA11,Hraci!$A$1:$I$1500,2,0)," ")</f>
        <v xml:space="preserve"> </v>
      </c>
      <c r="AC11" s="385" t="str">
        <f ca="1">IF(N(AA11)&gt;0,VLOOKUP(AA11,Hraci!$A$1:$I$1500,3,0)," ")</f>
        <v xml:space="preserve"> </v>
      </c>
      <c r="AD11" s="385" t="str">
        <f ca="1">IF(N(AA11)&gt;0,VLOOKUP(AA11,Hraci!$A$1:$I$1500,5,0)," ")</f>
        <v xml:space="preserve"> </v>
      </c>
      <c r="AE11" s="319">
        <f ca="1">IF(N(AA11)=0,9999,VLOOKUP(AA11,Hraci!$A$1:$I$1500,8,0))</f>
        <v>9999</v>
      </c>
      <c r="AF11" s="386">
        <f ca="1">IF(N(AA11)=0,0,VLOOKUP(AA11,Hraci!$A$1:$I$1500,9,0))</f>
        <v>0</v>
      </c>
      <c r="AG11" s="391"/>
      <c r="AH11" s="427">
        <f ca="1">IF(TYPE(VLOOKUP(H11,Centrum!$A$3:$E$130,5,0))&lt;4,VLOOKUP(H11,Centrum!$A$3:$E$130,5,0),0)</f>
        <v>8</v>
      </c>
      <c r="AI11" s="387">
        <f ca="1">IF(N($AH11)&gt;0,VLOOKUP($AH11,Body!$A$4:$F$259,5,0),"")</f>
        <v>114.9845625</v>
      </c>
      <c r="AJ11" s="388">
        <f ca="1">IF(N($AH11)&gt;0,VLOOKUP($AH11,Body!$A$4:$F$259,6,0),"")</f>
        <v>0</v>
      </c>
      <c r="AK11" s="387">
        <f ca="1">IF(N($AH11)&gt;0,VLOOKUP($AH11,Body!$A$4:$F$259,2,0),"")</f>
        <v>3</v>
      </c>
      <c r="AL11" s="389" t="str">
        <f t="shared" ref="AL11:AL42" ca="1" si="14">IF(N(H11)&gt;$K$7,"",CONCATENATE(IF($Y$9="","",H11&amp;" "),L11,IF(L11="",""," - "),J11," ",K11))</f>
        <v>1 PC Sokol Lipník - Vavrovič ml. Petr</v>
      </c>
      <c r="AM11" s="390">
        <f t="shared" ref="AM11:AM74" ca="1" si="15">C11</f>
        <v>60</v>
      </c>
      <c r="AN11" s="319">
        <f ca="1">IF(OR(TYPE(I11)&gt;1,TYPE(MATCH(I11,I12:I$139,0))&gt;1),0,MATCH(I11,I12:I$139,0))+IF(OR(TYPE(I11)&gt;1,TYPE(MATCH(I11,O$11:O$139,0))&gt;1),0,MATCH(I11,O$11:O$139,0))+IF(OR(TYPE(I11)&gt;1,TYPE(MATCH(I11,U$11:U$139,0))&gt;1),0,MATCH(I11,U$11:U$139,0))+IF(OR(TYPE(I11)&gt;1,TYPE(MATCH(I11,AA$11:AA$139,0))&gt;1),0,MATCH(I11,AA$11:AA$139,0))</f>
        <v>0</v>
      </c>
      <c r="AO11" s="319">
        <f ca="1">IF(OR(TYPE(O11)&gt;1,TYPE(MATCH(O11,I$11:I$139,0))&gt;1),0,MATCH(O11,I$11:I$139,0))+IF(OR(TYPE(O11)&gt;1,TYPE(MATCH(O11,O12:O$139,0))&gt;1),0,MATCH(O11,O12:O$139,0))+IF(OR(TYPE(O11)&gt;1,TYPE(MATCH(O11,U$11:U$139,0))&gt;1),0,MATCH(O11,U$11:U$139,0))+IF(OR(TYPE(O11)&gt;1,TYPE(MATCH(O11,AA$11:AA$139,0))&gt;1),0,MATCH(O11,AA$11:AA$139,0))</f>
        <v>0</v>
      </c>
      <c r="AP11" s="319">
        <f ca="1">IF(OR(TYPE(U11)&gt;1,TYPE(MATCH(U11,I$11:I$139,0))&gt;1),0,MATCH(U11,I$11:I$139,0))+IF(OR(TYPE(U11)&gt;1,TYPE(MATCH(U11,O$11:O$139,0))&gt;1),0,MATCH(U11,O$11:O$139,0))+IF(OR(TYPE(U11)&gt;1,TYPE(MATCH(U11,U12:U$139,0))&gt;1),0,MATCH(U11,U12:U$139,0))+IF(OR(TYPE(U11)&gt;1,TYPE(MATCH(U11,AA$11:AA$139,0))&gt;1),0,MATCH(U11,AA$11:AA$139,0))</f>
        <v>0</v>
      </c>
      <c r="AQ11" s="319">
        <f ca="1">IF(OR(TYPE(AA11)&gt;1,TYPE(MATCH(AA11,I$11:I$139,0))&gt;1),0,MATCH(AA11,I$11:I$139,0))+IF(OR(TYPE(AA11)&gt;1,TYPE(MATCH(AA11,O$11:O$139,0))&gt;1),0,MATCH(AA11,O$11:O$139,0))+IF(OR(TYPE(AA11)&gt;1,TYPE(MATCH(AA11,U$11:U$139,0))&gt;1),0,MATCH(U11,U$11:U$139,0))+IF(OR(TYPE(AA11)&gt;1,TYPE(MATCH(AA11,AA12:AA$139,0))&gt;1),0,MATCH(AA11,AA12:AA$139,0))</f>
        <v>0</v>
      </c>
      <c r="AR11" s="319">
        <f ca="1">SUM(AN11:AQ11)</f>
        <v>0</v>
      </c>
      <c r="AT11" s="318">
        <f t="shared" ref="AT11:AT74" ca="1" si="16">IF(AU11=$K$6,1,0)</f>
        <v>0</v>
      </c>
      <c r="AU11" s="318">
        <f ca="1">IF(AND(N(I11)&gt;0,TYPE(VLOOKUP(I11,Hraci!$A$5:$A$800,1,0))&gt;3),1,0) + IF(AND(N(O11)&gt;0,TYPE(VLOOKUP(O11,Hraci!$A$5:$A$800,1,0))&gt;3),1,0) + IF(AND(N(U11)&gt;0,TYPE(VLOOKUP(U11,Hraci!$A$5:$A$800,1,0))&gt;3),1,0)</f>
        <v>0</v>
      </c>
      <c r="BF11" s="319">
        <f>H11</f>
        <v>1</v>
      </c>
    </row>
    <row r="12" spans="1:59" ht="12.9" x14ac:dyDescent="0.45">
      <c r="A12" s="302">
        <f t="shared" ca="1" si="2"/>
        <v>1</v>
      </c>
      <c r="B12" s="302">
        <f t="shared" ca="1" si="3"/>
        <v>1</v>
      </c>
      <c r="C12" s="302">
        <f t="shared" ca="1" si="4"/>
        <v>57.5</v>
      </c>
      <c r="D12" s="302">
        <f t="shared" ca="1" si="5"/>
        <v>20001</v>
      </c>
      <c r="E12" s="302">
        <f t="shared" ca="1" si="6"/>
        <v>3</v>
      </c>
      <c r="F12" s="343" t="str">
        <f t="shared" ca="1" si="7"/>
        <v>91057500979998999996451434</v>
      </c>
      <c r="G12" s="381" t="b">
        <f t="shared" ca="1" si="8"/>
        <v>0</v>
      </c>
      <c r="H12" s="382">
        <f t="shared" si="9"/>
        <v>2</v>
      </c>
      <c r="I12" s="383">
        <f t="shared" ca="1" si="10"/>
        <v>11039</v>
      </c>
      <c r="J12" s="384" t="str">
        <f ca="1">IF(N(I12)&gt;0,VLOOKUP(I12,Hraci!$A$1:$I$1500,2,0),IF(TYPE(INDIRECT(ADDRESS(ROW() + $A$9-9 + (ROW()-11)*4,2,1,1,"Internet")))&gt;1,INDIRECT(ADDRESS(ROW() + $A$9-9 + (ROW()-11)*4,2,1,1,"Internet"))," "))</f>
        <v>Lukáš</v>
      </c>
      <c r="K12" s="385" t="str">
        <f ca="1">IF(N(I12)&gt;0,VLOOKUP(I12,Hraci!$A$1:$I$1500,3,0)," ")</f>
        <v>Vojtěch</v>
      </c>
      <c r="L12" s="385" t="str">
        <f ca="1">IF(N(I12)&gt;0,VLOOKUP(I12,Hraci!$A$1:$I$1500,5,0),IF(TYPE(INDIRECT(ADDRESS(ROW() + $A$9-9 + (ROW()-11)*4,3,1,1,"Internet")))&gt;1,INDIRECT(ADDRESS(ROW() + $A$9-9 + (ROW()-11)*4,3,1,1,"Internet"))," "))</f>
        <v>PLUK Jablonec</v>
      </c>
      <c r="M12" s="319">
        <f ca="1">IF(N(I12)=0,9999,VLOOKUP(I12,Hraci!$A$1:$I$1500,8,0))</f>
        <v>3</v>
      </c>
      <c r="N12" s="386">
        <f ca="1">IF(N(I12)=0,0,VLOOKUP(I12,Hraci!$A$1:$I$1500,9,0))</f>
        <v>57.5</v>
      </c>
      <c r="O12" s="383" t="str">
        <f t="shared" ca="1" si="11"/>
        <v/>
      </c>
      <c r="P12" s="384" t="str">
        <f ca="1">IF(N(O12)&gt;0,VLOOKUP(O12,Hraci!$A$1:$I$1500,2,0),IF(TYPE(INDIRECT(ADDRESS(ROW() + $A$9-8 + (ROW()-11)*4,2,1,1,"Internet")))&gt;1,INDIRECT(ADDRESS(ROW() + $A$9-8 + (ROW()-11)*4,2,1,1,"Internet"))," "))</f>
        <v xml:space="preserve"> </v>
      </c>
      <c r="Q12" s="385" t="str">
        <f ca="1">IF(N(O12)&gt;0,VLOOKUP(O12,Hraci!$A$1:$I$1500,3,0)," ")</f>
        <v xml:space="preserve"> </v>
      </c>
      <c r="R12" s="385" t="str">
        <f ca="1">IF(N(O12)&gt;0,VLOOKUP(O12,Hraci!$A$1:$I$1500,5,0),IF(TYPE(INDIRECT(ADDRESS(ROW() + $A$9-8 + (ROW()-11)*4,3,1,1,"Internet")))&gt;1,INDIRECT(ADDRESS(ROW() + $A$9-8 + (ROW()-11)*4,3,1,1,"Internet"))," "))</f>
        <v xml:space="preserve"> </v>
      </c>
      <c r="S12" s="319">
        <f ca="1">IF(N(O12)=0,9999,VLOOKUP(O12,Hraci!$A$1:$I$1500,8,0))</f>
        <v>9999</v>
      </c>
      <c r="T12" s="386">
        <f ca="1">IF(N(O12)=0,0,VLOOKUP(O12,Hraci!$A$1:$I$1500,9,0))</f>
        <v>0</v>
      </c>
      <c r="U12" s="383" t="str">
        <f t="shared" ca="1" si="12"/>
        <v/>
      </c>
      <c r="V12" s="384" t="str">
        <f ca="1">IF(N(U12)&gt;0,VLOOKUP(U12,Hraci!$A$1:$I$1500,2,0),IF(TYPE(INDIRECT(ADDRESS(ROW() + $A$9-7 + (ROW()-11)*4,2,1,1,"Internet")))&gt;1,INDIRECT(ADDRESS(ROW() + $A$9-7 + (ROW()-11)*4,2,1,1,"Internet"))," "))</f>
        <v xml:space="preserve"> </v>
      </c>
      <c r="W12" s="385" t="str">
        <f ca="1">IF(N(U12)&gt;0,VLOOKUP(U12,Hraci!$A$1:$I$1500,3,0)," ")</f>
        <v xml:space="preserve"> </v>
      </c>
      <c r="X12" s="385" t="str">
        <f ca="1">IF(N(U12)&gt;0,VLOOKUP(U12,Hraci!$A$1:$I$1500,5,0),IF(TYPE(INDIRECT(ADDRESS(ROW() + $A$9-7 + (ROW()-11)*4,3,1,1,"Internet")))&gt;1,INDIRECT(ADDRESS(ROW() + $A$9-7 + (ROW()-11)*4,3,1,1,"Internet"))," "))</f>
        <v xml:space="preserve"> </v>
      </c>
      <c r="Y12" s="319">
        <f ca="1">IF(N(U12)=0,9999,VLOOKUP(U12,Hraci!$A$1:$I$1500,8,0))</f>
        <v>9999</v>
      </c>
      <c r="Z12" s="386">
        <f ca="1">IF(N(U12)=0,0,VLOOKUP(U12,Hraci!$A$1:$I$1500,9,0))</f>
        <v>0</v>
      </c>
      <c r="AA12" s="383" t="str">
        <f t="shared" ca="1" si="13"/>
        <v/>
      </c>
      <c r="AB12" s="384" t="str">
        <f ca="1">IF(N(AA12)&gt;0,VLOOKUP(AA12,Hraci!$A$1:$I$1500,2,0)," ")</f>
        <v xml:space="preserve"> </v>
      </c>
      <c r="AC12" s="385" t="str">
        <f ca="1">IF(N(AA12)&gt;0,VLOOKUP(AA12,Hraci!$A$1:$I$1500,3,0)," ")</f>
        <v xml:space="preserve"> </v>
      </c>
      <c r="AD12" s="385" t="str">
        <f ca="1">IF(N(AA12)&gt;0,VLOOKUP(AA12,Hraci!$A$1:$I$1500,5,0)," ")</f>
        <v xml:space="preserve"> </v>
      </c>
      <c r="AE12" s="319">
        <f ca="1">IF(N(AA12)=0,9999,VLOOKUP(AA12,Hraci!$A$1:$I$1500,8,0))</f>
        <v>9999</v>
      </c>
      <c r="AF12" s="386">
        <f ca="1">IF(N(AA12)=0,0,VLOOKUP(AA12,Hraci!$A$1:$I$1500,9,0))</f>
        <v>0</v>
      </c>
      <c r="AG12" s="391"/>
      <c r="AH12" s="427">
        <f ca="1">IF(TYPE(VLOOKUP(H12,Centrum!$A$3:$E$130,5,0))&lt;4,VLOOKUP(H12,Centrum!$A$3:$E$130,5,0),0)</f>
        <v>4</v>
      </c>
      <c r="AI12" s="387">
        <f ca="1">IF(N($AH12)&gt;0,VLOOKUP($AH12,Body!$A$4:$F$259,5,0),"")</f>
        <v>153.31274999999999</v>
      </c>
      <c r="AJ12" s="388">
        <f ca="1">IF(N($AH12)&gt;0,VLOOKUP($AH12,Body!$A$4:$F$259,6,0),"")</f>
        <v>0</v>
      </c>
      <c r="AK12" s="387">
        <f ca="1">IF(N($AH12)&gt;0,VLOOKUP($AH12,Body!$A$4:$F$259,2,0),"")</f>
        <v>4</v>
      </c>
      <c r="AL12" s="389" t="str">
        <f t="shared" ca="1" si="14"/>
        <v>2 PLUK Jablonec - Lukáš Vojtěch</v>
      </c>
      <c r="AM12" s="390">
        <f t="shared" ca="1" si="15"/>
        <v>57.5</v>
      </c>
      <c r="AN12" s="319">
        <f ca="1">IF(OR(TYPE(I12)&gt;1,TYPE(MATCH(I12,I13:I$139,0))&gt;1),0,MATCH(I12,I13:I$139,0))+IF(OR(TYPE(I12)&gt;1,TYPE(MATCH(I12,O$11:O$139,0))&gt;1),0,MATCH(I12,O$11:O$139,0))+IF(OR(TYPE(I12)&gt;1,TYPE(MATCH(I12,U$11:U$139,0))&gt;1),0,MATCH(I12,U$11:U$139,0))+IF(OR(TYPE(I12)&gt;1,TYPE(MATCH(I12,AA$11:AA$139,0))&gt;1),0,MATCH(I12,AA$11:AA$139,0))</f>
        <v>0</v>
      </c>
      <c r="AO12" s="319">
        <f ca="1">IF(OR(TYPE(O12)&gt;1,TYPE(MATCH(O12,I$11:I$139,0))&gt;1),0,MATCH(O12,I$11:I$139,0))+IF(OR(TYPE(O12)&gt;1,TYPE(MATCH(O12,O13:O$139,0))&gt;1),0,MATCH(O12,O13:O$139,0))+IF(OR(TYPE(O12)&gt;1,TYPE(MATCH(O12,U$11:U$139,0))&gt;1),0,MATCH(O12,U$11:U$139,0))+IF(OR(TYPE(O12)&gt;1,TYPE(MATCH(O12,AA$11:AA$139,0))&gt;1),0,MATCH(O12,AA$11:AA$139,0))</f>
        <v>0</v>
      </c>
      <c r="AP12" s="319">
        <f ca="1">IF(OR(TYPE(U12)&gt;1,TYPE(MATCH(U12,I$11:I$139,0))&gt;1),0,MATCH(U12,I$11:I$139,0))+IF(OR(TYPE(U12)&gt;1,TYPE(MATCH(U12,O$11:O$139,0))&gt;1),0,MATCH(U12,O$11:O$139,0))+IF(OR(TYPE(U12)&gt;1,TYPE(MATCH(U12,U13:U$139,0))&gt;1),0,MATCH(U12,U13:U$139,0))+IF(OR(TYPE(U12)&gt;1,TYPE(MATCH(U12,AA$11:AA$139,0))&gt;1),0,MATCH(U12,AA$11:AA$139,0))</f>
        <v>0</v>
      </c>
      <c r="AQ12" s="319">
        <f ca="1">IF(OR(TYPE(AA12)&gt;1,TYPE(MATCH(AA12,I$11:I$139,0))&gt;1),0,MATCH(AA12,I$11:I$139,0))+IF(OR(TYPE(AA12)&gt;1,TYPE(MATCH(AA12,O$11:O$139,0))&gt;1),0,MATCH(AA12,O$11:O$139,0))+IF(OR(TYPE(AA12)&gt;1,TYPE(MATCH(AA12,U$11:U$139,0))&gt;1),0,MATCH(U12,U$11:U$139,0))+IF(OR(TYPE(AA12)&gt;1,TYPE(MATCH(AA12,AA13:AA$139,0))&gt;1),0,MATCH(AA12,AA13:AA$139,0))</f>
        <v>0</v>
      </c>
      <c r="AR12" s="319">
        <f ca="1">SUM(AN12:AQ12)</f>
        <v>0</v>
      </c>
      <c r="AT12" s="318">
        <f t="shared" ca="1" si="16"/>
        <v>0</v>
      </c>
      <c r="AU12" s="318">
        <f ca="1">IF(AND(N(I12)&gt;0,TYPE(VLOOKUP(I12,Hraci!$A$5:$A$800,1,0))&gt;3),1,0) + IF(AND(N(O12)&gt;0,TYPE(VLOOKUP(O12,Hraci!$A$5:$A$800,1,0))&gt;3),1,0) + IF(AND(N(U12)&gt;0,TYPE(VLOOKUP(U12,Hraci!$A$5:$A$800,1,0))&gt;3),1,0)</f>
        <v>0</v>
      </c>
      <c r="BF12" s="319">
        <f t="shared" ref="BF12:BF75" si="17">H12</f>
        <v>2</v>
      </c>
    </row>
    <row r="13" spans="1:59" ht="12.9" x14ac:dyDescent="0.45">
      <c r="A13" s="302">
        <f t="shared" ca="1" si="2"/>
        <v>1</v>
      </c>
      <c r="B13" s="302">
        <f t="shared" ca="1" si="3"/>
        <v>1</v>
      </c>
      <c r="C13" s="302">
        <f t="shared" ca="1" si="4"/>
        <v>51</v>
      </c>
      <c r="D13" s="302">
        <f t="shared" ca="1" si="5"/>
        <v>20002</v>
      </c>
      <c r="E13" s="302">
        <f t="shared" ca="1" si="6"/>
        <v>4</v>
      </c>
      <c r="F13" s="343" t="str">
        <f t="shared" ca="1" si="7"/>
        <v>91051000979997999995610361</v>
      </c>
      <c r="G13" s="381" t="b">
        <f t="shared" ca="1" si="8"/>
        <v>0</v>
      </c>
      <c r="H13" s="382">
        <f t="shared" si="9"/>
        <v>3</v>
      </c>
      <c r="I13" s="383">
        <f t="shared" ca="1" si="10"/>
        <v>14075</v>
      </c>
      <c r="J13" s="384" t="str">
        <f ca="1">IF(N(I13)&gt;0,VLOOKUP(I13,Hraci!$A$1:$I$1500,2,0),IF(TYPE(INDIRECT(ADDRESS(ROW() + $A$9-9 + (ROW()-11)*4,2,1,1,"Internet")))&gt;1,INDIRECT(ADDRESS(ROW() + $A$9-9 + (ROW()-11)*4,2,1,1,"Internet"))," "))</f>
        <v>Froňková</v>
      </c>
      <c r="K13" s="385" t="str">
        <f ca="1">IF(N(I13)&gt;0,VLOOKUP(I13,Hraci!$A$1:$I$1500,3,0)," ")</f>
        <v>Kateřina</v>
      </c>
      <c r="L13" s="385" t="str">
        <f ca="1">IF(N(I13)&gt;0,VLOOKUP(I13,Hraci!$A$1:$I$1500,5,0),IF(TYPE(INDIRECT(ADDRESS(ROW() + $A$9-9 + (ROW()-11)*4,3,1,1,"Internet")))&gt;1,INDIRECT(ADDRESS(ROW() + $A$9-9 + (ROW()-11)*4,3,1,1,"Internet"))," "))</f>
        <v>PC Sokol Lipník</v>
      </c>
      <c r="M13" s="319">
        <f ca="1">IF(N(I13)=0,9999,VLOOKUP(I13,Hraci!$A$1:$I$1500,8,0))</f>
        <v>4</v>
      </c>
      <c r="N13" s="386">
        <f ca="1">IF(N(I13)=0,0,VLOOKUP(I13,Hraci!$A$1:$I$1500,9,0))</f>
        <v>51</v>
      </c>
      <c r="O13" s="383" t="str">
        <f t="shared" ca="1" si="11"/>
        <v/>
      </c>
      <c r="P13" s="384" t="str">
        <f ca="1">IF(N(O13)&gt;0,VLOOKUP(O13,Hraci!$A$1:$I$1500,2,0),IF(TYPE(INDIRECT(ADDRESS(ROW() + $A$9-8 + (ROW()-11)*4,2,1,1,"Internet")))&gt;1,INDIRECT(ADDRESS(ROW() + $A$9-8 + (ROW()-11)*4,2,1,1,"Internet"))," "))</f>
        <v xml:space="preserve"> </v>
      </c>
      <c r="Q13" s="385" t="str">
        <f ca="1">IF(N(O13)&gt;0,VLOOKUP(O13,Hraci!$A$1:$I$1500,3,0)," ")</f>
        <v xml:space="preserve"> </v>
      </c>
      <c r="R13" s="385" t="str">
        <f ca="1">IF(N(O13)&gt;0,VLOOKUP(O13,Hraci!$A$1:$I$1500,5,0),IF(TYPE(INDIRECT(ADDRESS(ROW() + $A$9-8 + (ROW()-11)*4,3,1,1,"Internet")))&gt;1,INDIRECT(ADDRESS(ROW() + $A$9-8 + (ROW()-11)*4,3,1,1,"Internet"))," "))</f>
        <v xml:space="preserve"> </v>
      </c>
      <c r="S13" s="319">
        <f ca="1">IF(N(O13)=0,9999,VLOOKUP(O13,Hraci!$A$1:$I$1500,8,0))</f>
        <v>9999</v>
      </c>
      <c r="T13" s="386">
        <f ca="1">IF(N(O13)=0,0,VLOOKUP(O13,Hraci!$A$1:$I$1500,9,0))</f>
        <v>0</v>
      </c>
      <c r="U13" s="383" t="str">
        <f t="shared" ca="1" si="12"/>
        <v/>
      </c>
      <c r="V13" s="384" t="str">
        <f ca="1">IF(N(U13)&gt;0,VLOOKUP(U13,Hraci!$A$1:$I$1500,2,0),IF(TYPE(INDIRECT(ADDRESS(ROW() + $A$9-7 + (ROW()-11)*4,2,1,1,"Internet")))&gt;1,INDIRECT(ADDRESS(ROW() + $A$9-7 + (ROW()-11)*4,2,1,1,"Internet"))," "))</f>
        <v xml:space="preserve"> </v>
      </c>
      <c r="W13" s="385" t="str">
        <f ca="1">IF(N(U13)&gt;0,VLOOKUP(U13,Hraci!$A$1:$I$1500,3,0)," ")</f>
        <v xml:space="preserve"> </v>
      </c>
      <c r="X13" s="385" t="str">
        <f ca="1">IF(N(U13)&gt;0,VLOOKUP(U13,Hraci!$A$1:$I$1500,5,0),IF(TYPE(INDIRECT(ADDRESS(ROW() + $A$9-7 + (ROW()-11)*4,3,1,1,"Internet")))&gt;1,INDIRECT(ADDRESS(ROW() + $A$9-7 + (ROW()-11)*4,3,1,1,"Internet"))," "))</f>
        <v xml:space="preserve"> </v>
      </c>
      <c r="Y13" s="319">
        <f ca="1">IF(N(U13)=0,9999,VLOOKUP(U13,Hraci!$A$1:$I$1500,8,0))</f>
        <v>9999</v>
      </c>
      <c r="Z13" s="386">
        <f ca="1">IF(N(U13)=0,0,VLOOKUP(U13,Hraci!$A$1:$I$1500,9,0))</f>
        <v>0</v>
      </c>
      <c r="AA13" s="383" t="str">
        <f t="shared" ca="1" si="13"/>
        <v/>
      </c>
      <c r="AB13" s="384" t="str">
        <f ca="1">IF(N(AA13)&gt;0,VLOOKUP(AA13,Hraci!$A$1:$I$1500,2,0)," ")</f>
        <v xml:space="preserve"> </v>
      </c>
      <c r="AC13" s="385" t="str">
        <f ca="1">IF(N(AA13)&gt;0,VLOOKUP(AA13,Hraci!$A$1:$I$1500,3,0)," ")</f>
        <v xml:space="preserve"> </v>
      </c>
      <c r="AD13" s="385" t="str">
        <f ca="1">IF(N(AA13)&gt;0,VLOOKUP(AA13,Hraci!$A$1:$I$1500,5,0)," ")</f>
        <v xml:space="preserve"> </v>
      </c>
      <c r="AE13" s="319">
        <f ca="1">IF(N(AA13)=0,9999,VLOOKUP(AA13,Hraci!$A$1:$I$1500,8,0))</f>
        <v>9999</v>
      </c>
      <c r="AF13" s="386">
        <f ca="1">IF(N(AA13)=0,0,VLOOKUP(AA13,Hraci!$A$1:$I$1500,9,0))</f>
        <v>0</v>
      </c>
      <c r="AG13" s="391"/>
      <c r="AH13" s="427">
        <f ca="1">IF(TYPE(VLOOKUP(H13,Centrum!$A$3:$E$130,5,0))&lt;4,VLOOKUP(H13,Centrum!$A$3:$E$130,5,0),0)</f>
        <v>24</v>
      </c>
      <c r="AI13" s="387">
        <f ca="1">IF(N($AH13)&gt;0,VLOOKUP($AH13,Body!$A$4:$F$259,5,0),"")</f>
        <v>57.492281249999998</v>
      </c>
      <c r="AJ13" s="388">
        <f ca="1">IF(N($AH13)&gt;0,VLOOKUP($AH13,Body!$A$4:$F$259,6,0),"")</f>
        <v>0</v>
      </c>
      <c r="AK13" s="387">
        <f ca="1">IF(N($AH13)&gt;0,VLOOKUP($AH13,Body!$A$4:$F$259,2,0),"")</f>
        <v>1.5</v>
      </c>
      <c r="AL13" s="389" t="str">
        <f t="shared" ca="1" si="14"/>
        <v>3 PC Sokol Lipník - Froňková Kateřina</v>
      </c>
      <c r="AM13" s="390">
        <f t="shared" ca="1" si="15"/>
        <v>51</v>
      </c>
      <c r="AN13" s="319">
        <f ca="1">IF(OR(TYPE(I13)&gt;1,TYPE(MATCH(I13,I14:I$139,0))&gt;1),0,MATCH(I13,I14:I$139,0))+IF(OR(TYPE(I13)&gt;1,TYPE(MATCH(I13,O$11:O$139,0))&gt;1),0,MATCH(I13,O$11:O$139,0))+IF(OR(TYPE(I13)&gt;1,TYPE(MATCH(I13,U$11:U$139,0))&gt;1),0,MATCH(I13,U$11:U$139,0))+IF(OR(TYPE(I13)&gt;1,TYPE(MATCH(I13,AA$11:AA$139,0))&gt;1),0,MATCH(I13,AA$11:AA$139,0))</f>
        <v>0</v>
      </c>
      <c r="AO13" s="319">
        <f ca="1">IF(OR(TYPE(O13)&gt;1,TYPE(MATCH(O13,I$11:I$139,0))&gt;1),0,MATCH(O13,I$11:I$139,0))+IF(OR(TYPE(O13)&gt;1,TYPE(MATCH(O13,O14:O$139,0))&gt;1),0,MATCH(O13,O14:O$139,0))+IF(OR(TYPE(O13)&gt;1,TYPE(MATCH(O13,U$11:U$139,0))&gt;1),0,MATCH(O13,U$11:U$139,0))+IF(OR(TYPE(O13)&gt;1,TYPE(MATCH(O13,AA$11:AA$139,0))&gt;1),0,MATCH(O13,AA$11:AA$139,0))</f>
        <v>0</v>
      </c>
      <c r="AP13" s="319">
        <f ca="1">IF(OR(TYPE(U13)&gt;1,TYPE(MATCH(U13,I$11:I$139,0))&gt;1),0,MATCH(U13,I$11:I$139,0))+IF(OR(TYPE(U13)&gt;1,TYPE(MATCH(U13,O$11:O$139,0))&gt;1),0,MATCH(U13,O$11:O$139,0))+IF(OR(TYPE(U13)&gt;1,TYPE(MATCH(U13,U14:U$139,0))&gt;1),0,MATCH(U13,U14:U$139,0))+IF(OR(TYPE(U13)&gt;1,TYPE(MATCH(U13,AA$11:AA$139,0))&gt;1),0,MATCH(U13,AA$11:AA$139,0))</f>
        <v>0</v>
      </c>
      <c r="AQ13" s="319">
        <f ca="1">IF(OR(TYPE(AA13)&gt;1,TYPE(MATCH(AA13,I$11:I$139,0))&gt;1),0,MATCH(AA13,I$11:I$139,0))+IF(OR(TYPE(AA13)&gt;1,TYPE(MATCH(AA13,O$11:O$139,0))&gt;1),0,MATCH(AA13,O$11:O$139,0))+IF(OR(TYPE(AA13)&gt;1,TYPE(MATCH(AA13,U$11:U$139,0))&gt;1),0,MATCH(U13,U$11:U$139,0))+IF(OR(TYPE(AA13)&gt;1,TYPE(MATCH(AA13,AA14:AA$139,0))&gt;1),0,MATCH(AA13,AA14:AA$139,0))</f>
        <v>0</v>
      </c>
      <c r="AR13" s="319">
        <f ca="1">SUM(AN13:AQ13)</f>
        <v>0</v>
      </c>
      <c r="AT13" s="318">
        <f t="shared" ca="1" si="16"/>
        <v>0</v>
      </c>
      <c r="AU13" s="318">
        <f ca="1">IF(AND(N(I13)&gt;0,TYPE(VLOOKUP(I13,Hraci!$A$5:$A$800,1,0))&gt;3),1,0) + IF(AND(N(O13)&gt;0,TYPE(VLOOKUP(O13,Hraci!$A$5:$A$800,1,0))&gt;3),1,0) + IF(AND(N(U13)&gt;0,TYPE(VLOOKUP(U13,Hraci!$A$5:$A$800,1,0))&gt;3),1,0)</f>
        <v>0</v>
      </c>
      <c r="BF13" s="319">
        <f t="shared" si="17"/>
        <v>3</v>
      </c>
    </row>
    <row r="14" spans="1:59" ht="12.9" x14ac:dyDescent="0.45">
      <c r="A14" s="302">
        <f t="shared" ca="1" si="2"/>
        <v>1</v>
      </c>
      <c r="B14" s="302">
        <f t="shared" ca="1" si="3"/>
        <v>1</v>
      </c>
      <c r="C14" s="302">
        <f t="shared" ca="1" si="4"/>
        <v>42.75</v>
      </c>
      <c r="D14" s="302">
        <f t="shared" ca="1" si="5"/>
        <v>20026</v>
      </c>
      <c r="E14" s="302">
        <f t="shared" ca="1" si="6"/>
        <v>28</v>
      </c>
      <c r="F14" s="343" t="str">
        <f t="shared" ca="1" si="7"/>
        <v>91042750979973999971467557</v>
      </c>
      <c r="G14" s="381" t="b">
        <f t="shared" ca="1" si="8"/>
        <v>0</v>
      </c>
      <c r="H14" s="382">
        <f t="shared" si="9"/>
        <v>4</v>
      </c>
      <c r="I14" s="383">
        <f t="shared" ca="1" si="10"/>
        <v>27015</v>
      </c>
      <c r="J14" s="384" t="str">
        <f ca="1">IF(N(I14)&gt;0,VLOOKUP(I14,Hraci!$A$1:$I$1500,2,0),IF(TYPE(INDIRECT(ADDRESS(ROW() + $A$9-9 + (ROW()-11)*4,2,1,1,"Internet")))&gt;1,INDIRECT(ADDRESS(ROW() + $A$9-9 + (ROW()-11)*4,2,1,1,"Internet"))," "))</f>
        <v>Srnský</v>
      </c>
      <c r="K14" s="385" t="str">
        <f ca="1">IF(N(I14)&gt;0,VLOOKUP(I14,Hraci!$A$1:$I$1500,3,0)," ")</f>
        <v>Lubomír</v>
      </c>
      <c r="L14" s="385" t="str">
        <f ca="1">IF(N(I14)&gt;0,VLOOKUP(I14,Hraci!$A$1:$I$1500,5,0),IF(TYPE(INDIRECT(ADDRESS(ROW() + $A$9-9 + (ROW()-11)*4,3,1,1,"Internet")))&gt;1,INDIRECT(ADDRESS(ROW() + $A$9-9 + (ROW()-11)*4,3,1,1,"Internet"))," "))</f>
        <v>1. KPK Vrchlabí</v>
      </c>
      <c r="M14" s="319">
        <f ca="1">IF(N(I14)=0,9999,VLOOKUP(I14,Hraci!$A$1:$I$1500,8,0))</f>
        <v>28</v>
      </c>
      <c r="N14" s="386">
        <f ca="1">IF(N(I14)=0,0,VLOOKUP(I14,Hraci!$A$1:$I$1500,9,0))</f>
        <v>42.75</v>
      </c>
      <c r="O14" s="383" t="str">
        <f t="shared" ca="1" si="11"/>
        <v/>
      </c>
      <c r="P14" s="384" t="str">
        <f ca="1">IF(N(O14)&gt;0,VLOOKUP(O14,Hraci!$A$1:$I$1500,2,0),IF(TYPE(INDIRECT(ADDRESS(ROW() + $A$9-8 + (ROW()-11)*4,2,1,1,"Internet")))&gt;1,INDIRECT(ADDRESS(ROW() + $A$9-8 + (ROW()-11)*4,2,1,1,"Internet"))," "))</f>
        <v xml:space="preserve"> </v>
      </c>
      <c r="Q14" s="385" t="str">
        <f ca="1">IF(N(O14)&gt;0,VLOOKUP(O14,Hraci!$A$1:$I$1500,3,0)," ")</f>
        <v xml:space="preserve"> </v>
      </c>
      <c r="R14" s="385" t="str">
        <f ca="1">IF(N(O14)&gt;0,VLOOKUP(O14,Hraci!$A$1:$I$1500,5,0),IF(TYPE(INDIRECT(ADDRESS(ROW() + $A$9-8 + (ROW()-11)*4,3,1,1,"Internet")))&gt;1,INDIRECT(ADDRESS(ROW() + $A$9-8 + (ROW()-11)*4,3,1,1,"Internet"))," "))</f>
        <v xml:space="preserve"> </v>
      </c>
      <c r="S14" s="319">
        <f ca="1">IF(N(O14)=0,9999,VLOOKUP(O14,Hraci!$A$1:$I$1500,8,0))</f>
        <v>9999</v>
      </c>
      <c r="T14" s="386">
        <f ca="1">IF(N(O14)=0,0,VLOOKUP(O14,Hraci!$A$1:$I$1500,9,0))</f>
        <v>0</v>
      </c>
      <c r="U14" s="383" t="str">
        <f t="shared" ca="1" si="12"/>
        <v/>
      </c>
      <c r="V14" s="384" t="str">
        <f ca="1">IF(N(U14)&gt;0,VLOOKUP(U14,Hraci!$A$1:$I$1500,2,0),IF(TYPE(INDIRECT(ADDRESS(ROW() + $A$9-7 + (ROW()-11)*4,2,1,1,"Internet")))&gt;1,INDIRECT(ADDRESS(ROW() + $A$9-7 + (ROW()-11)*4,2,1,1,"Internet"))," "))</f>
        <v xml:space="preserve"> </v>
      </c>
      <c r="W14" s="385" t="str">
        <f ca="1">IF(N(U14)&gt;0,VLOOKUP(U14,Hraci!$A$1:$I$1500,3,0)," ")</f>
        <v xml:space="preserve"> </v>
      </c>
      <c r="X14" s="385" t="str">
        <f ca="1">IF(N(U14)&gt;0,VLOOKUP(U14,Hraci!$A$1:$I$1500,5,0),IF(TYPE(INDIRECT(ADDRESS(ROW() + $A$9-7 + (ROW()-11)*4,3,1,1,"Internet")))&gt;1,INDIRECT(ADDRESS(ROW() + $A$9-7 + (ROW()-11)*4,3,1,1,"Internet"))," "))</f>
        <v xml:space="preserve"> </v>
      </c>
      <c r="Y14" s="319">
        <f ca="1">IF(N(U14)=0,9999,VLOOKUP(U14,Hraci!$A$1:$I$1500,8,0))</f>
        <v>9999</v>
      </c>
      <c r="Z14" s="386">
        <f ca="1">IF(N(U14)=0,0,VLOOKUP(U14,Hraci!$A$1:$I$1500,9,0))</f>
        <v>0</v>
      </c>
      <c r="AA14" s="383" t="str">
        <f t="shared" ca="1" si="13"/>
        <v/>
      </c>
      <c r="AB14" s="384" t="str">
        <f ca="1">IF(N(AA14)&gt;0,VLOOKUP(AA14,Hraci!$A$1:$I$1500,2,0)," ")</f>
        <v xml:space="preserve"> </v>
      </c>
      <c r="AC14" s="385" t="str">
        <f ca="1">IF(N(AA14)&gt;0,VLOOKUP(AA14,Hraci!$A$1:$I$1500,3,0)," ")</f>
        <v xml:space="preserve"> </v>
      </c>
      <c r="AD14" s="385" t="str">
        <f ca="1">IF(N(AA14)&gt;0,VLOOKUP(AA14,Hraci!$A$1:$I$1500,5,0)," ")</f>
        <v xml:space="preserve"> </v>
      </c>
      <c r="AE14" s="319">
        <f ca="1">IF(N(AA14)=0,9999,VLOOKUP(AA14,Hraci!$A$1:$I$1500,8,0))</f>
        <v>9999</v>
      </c>
      <c r="AF14" s="386">
        <f ca="1">IF(N(AA14)=0,0,VLOOKUP(AA14,Hraci!$A$1:$I$1500,9,0))</f>
        <v>0</v>
      </c>
      <c r="AG14" s="391"/>
      <c r="AH14" s="427">
        <f ca="1">IF(TYPE(VLOOKUP(H14,Centrum!$A$3:$E$130,5,0))&lt;4,VLOOKUP(H14,Centrum!$A$3:$E$130,5,0),0)</f>
        <v>1</v>
      </c>
      <c r="AI14" s="387">
        <f ca="1">IF(N($AH14)&gt;0,VLOOKUP($AH14,Body!$A$4:$F$259,5,0),"")</f>
        <v>229.96912499999999</v>
      </c>
      <c r="AJ14" s="388">
        <f ca="1">IF(N($AH14)&gt;0,VLOOKUP($AH14,Body!$A$4:$F$259,6,0),"")</f>
        <v>0</v>
      </c>
      <c r="AK14" s="387">
        <f ca="1">IF(N($AH14)&gt;0,VLOOKUP($AH14,Body!$A$4:$F$259,2,0),"")</f>
        <v>6</v>
      </c>
      <c r="AL14" s="389" t="str">
        <f t="shared" ca="1" si="14"/>
        <v>4 1. KPK Vrchlabí - Srnský Lubomír</v>
      </c>
      <c r="AM14" s="390">
        <f t="shared" ca="1" si="15"/>
        <v>42.75</v>
      </c>
      <c r="AN14" s="319">
        <f ca="1">IF(OR(TYPE(I14)&gt;1,TYPE(MATCH(I14,I15:I$139,0))&gt;1),0,MATCH(I14,I15:I$139,0))+IF(OR(TYPE(I14)&gt;1,TYPE(MATCH(I14,O$11:O$139,0))&gt;1),0,MATCH(I14,O$11:O$139,0))+IF(OR(TYPE(I14)&gt;1,TYPE(MATCH(I14,U$11:U$139,0))&gt;1),0,MATCH(I14,U$11:U$139,0))+IF(OR(TYPE(I14)&gt;1,TYPE(MATCH(I14,AA$11:AA$139,0))&gt;1),0,MATCH(I14,AA$11:AA$139,0))</f>
        <v>0</v>
      </c>
      <c r="AO14" s="319">
        <f ca="1">IF(OR(TYPE(O14)&gt;1,TYPE(MATCH(O14,I$11:I$139,0))&gt;1),0,MATCH(O14,I$11:I$139,0))+IF(OR(TYPE(O14)&gt;1,TYPE(MATCH(O14,O15:O$139,0))&gt;1),0,MATCH(O14,O15:O$139,0))+IF(OR(TYPE(O14)&gt;1,TYPE(MATCH(O14,U$11:U$139,0))&gt;1),0,MATCH(O14,U$11:U$139,0))+IF(OR(TYPE(O14)&gt;1,TYPE(MATCH(O14,AA$11:AA$139,0))&gt;1),0,MATCH(O14,AA$11:AA$139,0))</f>
        <v>0</v>
      </c>
      <c r="AP14" s="319">
        <f ca="1">IF(OR(TYPE(U14)&gt;1,TYPE(MATCH(U14,I$11:I$139,0))&gt;1),0,MATCH(U14,I$11:I$139,0))+IF(OR(TYPE(U14)&gt;1,TYPE(MATCH(U14,O$11:O$139,0))&gt;1),0,MATCH(U14,O$11:O$139,0))+IF(OR(TYPE(U14)&gt;1,TYPE(MATCH(U14,U15:U$139,0))&gt;1),0,MATCH(U14,U15:U$139,0))+IF(OR(TYPE(U14)&gt;1,TYPE(MATCH(U14,AA$11:AA$139,0))&gt;1),0,MATCH(U14,AA$11:AA$139,0))</f>
        <v>0</v>
      </c>
      <c r="AQ14" s="319">
        <f ca="1">IF(OR(TYPE(AA14)&gt;1,TYPE(MATCH(AA14,I$11:I$139,0))&gt;1),0,MATCH(AA14,I$11:I$139,0))+IF(OR(TYPE(AA14)&gt;1,TYPE(MATCH(AA14,O$11:O$139,0))&gt;1),0,MATCH(AA14,O$11:O$139,0))+IF(OR(TYPE(AA14)&gt;1,TYPE(MATCH(AA14,U$11:U$139,0))&gt;1),0,MATCH(U14,U$11:U$139,0))+IF(OR(TYPE(AA14)&gt;1,TYPE(MATCH(AA14,AA15:AA$139,0))&gt;1),0,MATCH(AA14,AA15:AA$139,0))</f>
        <v>0</v>
      </c>
      <c r="AR14" s="319">
        <f t="shared" ref="AR14:AR77" ca="1" si="18">SUM(AN14:AQ14)</f>
        <v>0</v>
      </c>
      <c r="AT14" s="318">
        <f t="shared" ca="1" si="16"/>
        <v>0</v>
      </c>
      <c r="AU14" s="318">
        <f ca="1">IF(AND(N(I14)&gt;0,TYPE(VLOOKUP(I14,Hraci!$A$5:$A$800,1,0))&gt;3),1,0) + IF(AND(N(O14)&gt;0,TYPE(VLOOKUP(O14,Hraci!$A$5:$A$800,1,0))&gt;3),1,0) + IF(AND(N(U14)&gt;0,TYPE(VLOOKUP(U14,Hraci!$A$5:$A$800,1,0))&gt;3),1,0)</f>
        <v>0</v>
      </c>
      <c r="BF14" s="319">
        <f t="shared" si="17"/>
        <v>4</v>
      </c>
    </row>
    <row r="15" spans="1:59" ht="12.9" x14ac:dyDescent="0.45">
      <c r="A15" s="302">
        <f t="shared" ca="1" si="2"/>
        <v>1</v>
      </c>
      <c r="B15" s="302">
        <f t="shared" ca="1" si="3"/>
        <v>1</v>
      </c>
      <c r="C15" s="302">
        <f t="shared" ca="1" si="4"/>
        <v>41.75</v>
      </c>
      <c r="D15" s="302">
        <f t="shared" ca="1" si="5"/>
        <v>20050</v>
      </c>
      <c r="E15" s="302">
        <f t="shared" ca="1" si="6"/>
        <v>52</v>
      </c>
      <c r="F15" s="343" t="str">
        <f t="shared" ca="1" si="7"/>
        <v>91041750979949999947479638</v>
      </c>
      <c r="G15" s="381" t="b">
        <f t="shared" ca="1" si="8"/>
        <v>0</v>
      </c>
      <c r="H15" s="382">
        <f t="shared" si="9"/>
        <v>5</v>
      </c>
      <c r="I15" s="383">
        <f t="shared" ca="1" si="10"/>
        <v>13027</v>
      </c>
      <c r="J15" s="384" t="str">
        <f ca="1">IF(N(I15)&gt;0,VLOOKUP(I15,Hraci!$A$1:$I$1500,2,0),IF(TYPE(INDIRECT(ADDRESS(ROW() + $A$9-9 + (ROW()-11)*4,2,1,1,"Internet")))&gt;1,INDIRECT(ADDRESS(ROW() + $A$9-9 + (ROW()-11)*4,2,1,1,"Internet"))," "))</f>
        <v>Dlouhá</v>
      </c>
      <c r="K15" s="385" t="str">
        <f ca="1">IF(N(I15)&gt;0,VLOOKUP(I15,Hraci!$A$1:$I$1500,3,0)," ")</f>
        <v>Ivana</v>
      </c>
      <c r="L15" s="385" t="str">
        <f ca="1">IF(N(I15)&gt;0,VLOOKUP(I15,Hraci!$A$1:$I$1500,5,0),IF(TYPE(INDIRECT(ADDRESS(ROW() + $A$9-9 + (ROW()-11)*4,3,1,1,"Internet")))&gt;1,INDIRECT(ADDRESS(ROW() + $A$9-9 + (ROW()-11)*4,3,1,1,"Internet"))," "))</f>
        <v>CdP Loděnice</v>
      </c>
      <c r="M15" s="319">
        <f ca="1">IF(N(I15)=0,9999,VLOOKUP(I15,Hraci!$A$1:$I$1500,8,0))</f>
        <v>52</v>
      </c>
      <c r="N15" s="386">
        <f ca="1">IF(N(I15)=0,0,VLOOKUP(I15,Hraci!$A$1:$I$1500,9,0))</f>
        <v>41.75</v>
      </c>
      <c r="O15" s="383" t="str">
        <f t="shared" ca="1" si="11"/>
        <v/>
      </c>
      <c r="P15" s="384" t="str">
        <f ca="1">IF(N(O15)&gt;0,VLOOKUP(O15,Hraci!$A$1:$I$1500,2,0),IF(TYPE(INDIRECT(ADDRESS(ROW() + $A$9-8 + (ROW()-11)*4,2,1,1,"Internet")))&gt;1,INDIRECT(ADDRESS(ROW() + $A$9-8 + (ROW()-11)*4,2,1,1,"Internet"))," "))</f>
        <v xml:space="preserve"> </v>
      </c>
      <c r="Q15" s="385" t="str">
        <f ca="1">IF(N(O15)&gt;0,VLOOKUP(O15,Hraci!$A$1:$I$1500,3,0)," ")</f>
        <v xml:space="preserve"> </v>
      </c>
      <c r="R15" s="385" t="str">
        <f ca="1">IF(N(O15)&gt;0,VLOOKUP(O15,Hraci!$A$1:$I$1500,5,0),IF(TYPE(INDIRECT(ADDRESS(ROW() + $A$9-8 + (ROW()-11)*4,3,1,1,"Internet")))&gt;1,INDIRECT(ADDRESS(ROW() + $A$9-8 + (ROW()-11)*4,3,1,1,"Internet"))," "))</f>
        <v xml:space="preserve"> </v>
      </c>
      <c r="S15" s="319">
        <f ca="1">IF(N(O15)=0,9999,VLOOKUP(O15,Hraci!$A$1:$I$1500,8,0))</f>
        <v>9999</v>
      </c>
      <c r="T15" s="386">
        <f ca="1">IF(N(O15)=0,0,VLOOKUP(O15,Hraci!$A$1:$I$1500,9,0))</f>
        <v>0</v>
      </c>
      <c r="U15" s="383" t="str">
        <f t="shared" ca="1" si="12"/>
        <v/>
      </c>
      <c r="V15" s="384" t="str">
        <f ca="1">IF(N(U15)&gt;0,VLOOKUP(U15,Hraci!$A$1:$I$1500,2,0),IF(TYPE(INDIRECT(ADDRESS(ROW() + $A$9-7 + (ROW()-11)*4,2,1,1,"Internet")))&gt;1,INDIRECT(ADDRESS(ROW() + $A$9-7 + (ROW()-11)*4,2,1,1,"Internet"))," "))</f>
        <v xml:space="preserve"> </v>
      </c>
      <c r="W15" s="385" t="str">
        <f ca="1">IF(N(U15)&gt;0,VLOOKUP(U15,Hraci!$A$1:$I$1500,3,0)," ")</f>
        <v xml:space="preserve"> </v>
      </c>
      <c r="X15" s="385" t="str">
        <f ca="1">IF(N(U15)&gt;0,VLOOKUP(U15,Hraci!$A$1:$I$1500,5,0),IF(TYPE(INDIRECT(ADDRESS(ROW() + $A$9-7 + (ROW()-11)*4,3,1,1,"Internet")))&gt;1,INDIRECT(ADDRESS(ROW() + $A$9-7 + (ROW()-11)*4,3,1,1,"Internet"))," "))</f>
        <v xml:space="preserve"> </v>
      </c>
      <c r="Y15" s="319">
        <f ca="1">IF(N(U15)=0,9999,VLOOKUP(U15,Hraci!$A$1:$I$1500,8,0))</f>
        <v>9999</v>
      </c>
      <c r="Z15" s="386">
        <f ca="1">IF(N(U15)=0,0,VLOOKUP(U15,Hraci!$A$1:$I$1500,9,0))</f>
        <v>0</v>
      </c>
      <c r="AA15" s="383" t="str">
        <f t="shared" ca="1" si="13"/>
        <v/>
      </c>
      <c r="AB15" s="384" t="str">
        <f ca="1">IF(N(AA15)&gt;0,VLOOKUP(AA15,Hraci!$A$1:$I$1500,2,0)," ")</f>
        <v xml:space="preserve"> </v>
      </c>
      <c r="AC15" s="385" t="str">
        <f ca="1">IF(N(AA15)&gt;0,VLOOKUP(AA15,Hraci!$A$1:$I$1500,3,0)," ")</f>
        <v xml:space="preserve"> </v>
      </c>
      <c r="AD15" s="385" t="str">
        <f ca="1">IF(N(AA15)&gt;0,VLOOKUP(AA15,Hraci!$A$1:$I$1500,5,0)," ")</f>
        <v xml:space="preserve"> </v>
      </c>
      <c r="AE15" s="319">
        <f ca="1">IF(N(AA15)=0,9999,VLOOKUP(AA15,Hraci!$A$1:$I$1500,8,0))</f>
        <v>9999</v>
      </c>
      <c r="AF15" s="386">
        <f ca="1">IF(N(AA15)=0,0,VLOOKUP(AA15,Hraci!$A$1:$I$1500,9,0))</f>
        <v>0</v>
      </c>
      <c r="AG15" s="391"/>
      <c r="AH15" s="427">
        <f ca="1">IF(TYPE(VLOOKUP(H15,Centrum!$A$3:$E$130,5,0))&lt;4,VLOOKUP(H15,Centrum!$A$3:$E$130,5,0),0)</f>
        <v>4</v>
      </c>
      <c r="AI15" s="387">
        <f ca="1">IF(N($AH15)&gt;0,VLOOKUP($AH15,Body!$A$4:$F$259,5,0),"")</f>
        <v>153.31274999999999</v>
      </c>
      <c r="AJ15" s="388">
        <f ca="1">IF(N($AH15)&gt;0,VLOOKUP($AH15,Body!$A$4:$F$259,6,0),"")</f>
        <v>0</v>
      </c>
      <c r="AK15" s="387">
        <f ca="1">IF(N($AH15)&gt;0,VLOOKUP($AH15,Body!$A$4:$F$259,2,0),"")</f>
        <v>4</v>
      </c>
      <c r="AL15" s="389" t="str">
        <f t="shared" ca="1" si="14"/>
        <v>5 CdP Loděnice - Dlouhá Ivana</v>
      </c>
      <c r="AM15" s="390">
        <f t="shared" ca="1" si="15"/>
        <v>41.75</v>
      </c>
      <c r="AN15" s="319">
        <f ca="1">IF(OR(TYPE(I15)&gt;1,TYPE(MATCH(I15,I16:I$139,0))&gt;1),0,MATCH(I15,I16:I$139,0))+IF(OR(TYPE(I15)&gt;1,TYPE(MATCH(I15,O$11:O$139,0))&gt;1),0,MATCH(I15,O$11:O$139,0))+IF(OR(TYPE(I15)&gt;1,TYPE(MATCH(I15,U$11:U$139,0))&gt;1),0,MATCH(I15,U$11:U$139,0))+IF(OR(TYPE(I15)&gt;1,TYPE(MATCH(I15,AA$11:AA$139,0))&gt;1),0,MATCH(I15,AA$11:AA$139,0))</f>
        <v>0</v>
      </c>
      <c r="AO15" s="319">
        <f ca="1">IF(OR(TYPE(O15)&gt;1,TYPE(MATCH(O15,I$11:I$139,0))&gt;1),0,MATCH(O15,I$11:I$139,0))+IF(OR(TYPE(O15)&gt;1,TYPE(MATCH(O15,O16:O$139,0))&gt;1),0,MATCH(O15,O16:O$139,0))+IF(OR(TYPE(O15)&gt;1,TYPE(MATCH(O15,U$11:U$139,0))&gt;1),0,MATCH(O15,U$11:U$139,0))+IF(OR(TYPE(O15)&gt;1,TYPE(MATCH(O15,AA$11:AA$139,0))&gt;1),0,MATCH(O15,AA$11:AA$139,0))</f>
        <v>0</v>
      </c>
      <c r="AP15" s="319">
        <f ca="1">IF(OR(TYPE(U15)&gt;1,TYPE(MATCH(U15,I$11:I$139,0))&gt;1),0,MATCH(U15,I$11:I$139,0))+IF(OR(TYPE(U15)&gt;1,TYPE(MATCH(U15,O$11:O$139,0))&gt;1),0,MATCH(U15,O$11:O$139,0))+IF(OR(TYPE(U15)&gt;1,TYPE(MATCH(U15,U16:U$139,0))&gt;1),0,MATCH(U15,U16:U$139,0))+IF(OR(TYPE(U15)&gt;1,TYPE(MATCH(U15,AA$11:AA$139,0))&gt;1),0,MATCH(U15,AA$11:AA$139,0))</f>
        <v>0</v>
      </c>
      <c r="AQ15" s="319">
        <f ca="1">IF(OR(TYPE(AA15)&gt;1,TYPE(MATCH(AA15,I$11:I$139,0))&gt;1),0,MATCH(AA15,I$11:I$139,0))+IF(OR(TYPE(AA15)&gt;1,TYPE(MATCH(AA15,O$11:O$139,0))&gt;1),0,MATCH(AA15,O$11:O$139,0))+IF(OR(TYPE(AA15)&gt;1,TYPE(MATCH(AA15,U$11:U$139,0))&gt;1),0,MATCH(U15,U$11:U$139,0))+IF(OR(TYPE(AA15)&gt;1,TYPE(MATCH(AA15,AA16:AA$139,0))&gt;1),0,MATCH(AA15,AA16:AA$139,0))</f>
        <v>0</v>
      </c>
      <c r="AR15" s="319">
        <f t="shared" ca="1" si="18"/>
        <v>0</v>
      </c>
      <c r="AT15" s="318">
        <f t="shared" ca="1" si="16"/>
        <v>0</v>
      </c>
      <c r="AU15" s="318">
        <f ca="1">IF(AND(N(I15)&gt;0,TYPE(VLOOKUP(I15,Hraci!$A$5:$A$800,1,0))&gt;3),1,0) + IF(AND(N(O15)&gt;0,TYPE(VLOOKUP(O15,Hraci!$A$5:$A$800,1,0))&gt;3),1,0) + IF(AND(N(U15)&gt;0,TYPE(VLOOKUP(U15,Hraci!$A$5:$A$800,1,0))&gt;3),1,0)</f>
        <v>0</v>
      </c>
      <c r="BF15" s="319">
        <f t="shared" si="17"/>
        <v>5</v>
      </c>
    </row>
    <row r="16" spans="1:59" ht="12.9" x14ac:dyDescent="0.45">
      <c r="A16" s="302">
        <f t="shared" ca="1" si="2"/>
        <v>1</v>
      </c>
      <c r="B16" s="302">
        <f t="shared" ca="1" si="3"/>
        <v>1</v>
      </c>
      <c r="C16" s="302">
        <f t="shared" ca="1" si="4"/>
        <v>40.375</v>
      </c>
      <c r="D16" s="302">
        <f t="shared" ca="1" si="5"/>
        <v>20052</v>
      </c>
      <c r="E16" s="302">
        <f t="shared" ca="1" si="6"/>
        <v>54</v>
      </c>
      <c r="F16" s="343" t="str">
        <f t="shared" ca="1" si="7"/>
        <v>91040375979947999945395097</v>
      </c>
      <c r="G16" s="381" t="b">
        <f t="shared" ca="1" si="8"/>
        <v>0</v>
      </c>
      <c r="H16" s="382">
        <f t="shared" si="9"/>
        <v>6</v>
      </c>
      <c r="I16" s="383">
        <f t="shared" ca="1" si="10"/>
        <v>13029</v>
      </c>
      <c r="J16" s="384" t="str">
        <f ca="1">IF(N(I16)&gt;0,VLOOKUP(I16,Hraci!$A$1:$I$1500,2,0),IF(TYPE(INDIRECT(ADDRESS(ROW() + $A$9-9 + (ROW()-11)*4,2,1,1,"Internet")))&gt;1,INDIRECT(ADDRESS(ROW() + $A$9-9 + (ROW()-11)*4,2,1,1,"Internet"))," "))</f>
        <v>Kamaryt</v>
      </c>
      <c r="K16" s="385" t="str">
        <f ca="1">IF(N(I16)&gt;0,VLOOKUP(I16,Hraci!$A$1:$I$1500,3,0)," ")</f>
        <v>Josef</v>
      </c>
      <c r="L16" s="385" t="str">
        <f ca="1">IF(N(I16)&gt;0,VLOOKUP(I16,Hraci!$A$1:$I$1500,5,0),IF(TYPE(INDIRECT(ADDRESS(ROW() + $A$9-9 + (ROW()-11)*4,3,1,1,"Internet")))&gt;1,INDIRECT(ADDRESS(ROW() + $A$9-9 + (ROW()-11)*4,3,1,1,"Internet"))," "))</f>
        <v>CdP Loděnice</v>
      </c>
      <c r="M16" s="319">
        <f ca="1">IF(N(I16)=0,9999,VLOOKUP(I16,Hraci!$A$1:$I$1500,8,0))</f>
        <v>54</v>
      </c>
      <c r="N16" s="386">
        <f ca="1">IF(N(I16)=0,0,VLOOKUP(I16,Hraci!$A$1:$I$1500,9,0))</f>
        <v>40.375</v>
      </c>
      <c r="O16" s="383" t="str">
        <f t="shared" ca="1" si="11"/>
        <v/>
      </c>
      <c r="P16" s="384" t="str">
        <f ca="1">IF(N(O16)&gt;0,VLOOKUP(O16,Hraci!$A$1:$I$1500,2,0),IF(TYPE(INDIRECT(ADDRESS(ROW() + $A$9-8 + (ROW()-11)*4,2,1,1,"Internet")))&gt;1,INDIRECT(ADDRESS(ROW() + $A$9-8 + (ROW()-11)*4,2,1,1,"Internet"))," "))</f>
        <v xml:space="preserve"> </v>
      </c>
      <c r="Q16" s="385" t="str">
        <f ca="1">IF(N(O16)&gt;0,VLOOKUP(O16,Hraci!$A$1:$I$1500,3,0)," ")</f>
        <v xml:space="preserve"> </v>
      </c>
      <c r="R16" s="385" t="str">
        <f ca="1">IF(N(O16)&gt;0,VLOOKUP(O16,Hraci!$A$1:$I$1500,5,0),IF(TYPE(INDIRECT(ADDRESS(ROW() + $A$9-8 + (ROW()-11)*4,3,1,1,"Internet")))&gt;1,INDIRECT(ADDRESS(ROW() + $A$9-8 + (ROW()-11)*4,3,1,1,"Internet"))," "))</f>
        <v xml:space="preserve"> </v>
      </c>
      <c r="S16" s="319">
        <f ca="1">IF(N(O16)=0,9999,VLOOKUP(O16,Hraci!$A$1:$I$1500,8,0))</f>
        <v>9999</v>
      </c>
      <c r="T16" s="386">
        <f ca="1">IF(N(O16)=0,0,VLOOKUP(O16,Hraci!$A$1:$I$1500,9,0))</f>
        <v>0</v>
      </c>
      <c r="U16" s="383" t="str">
        <f t="shared" ca="1" si="12"/>
        <v/>
      </c>
      <c r="V16" s="384" t="str">
        <f ca="1">IF(N(U16)&gt;0,VLOOKUP(U16,Hraci!$A$1:$I$1500,2,0),IF(TYPE(INDIRECT(ADDRESS(ROW() + $A$9-7 + (ROW()-11)*4,2,1,1,"Internet")))&gt;1,INDIRECT(ADDRESS(ROW() + $A$9-7 + (ROW()-11)*4,2,1,1,"Internet"))," "))</f>
        <v xml:space="preserve"> </v>
      </c>
      <c r="W16" s="385" t="str">
        <f ca="1">IF(N(U16)&gt;0,VLOOKUP(U16,Hraci!$A$1:$I$1500,3,0)," ")</f>
        <v xml:space="preserve"> </v>
      </c>
      <c r="X16" s="385" t="str">
        <f ca="1">IF(N(U16)&gt;0,VLOOKUP(U16,Hraci!$A$1:$I$1500,5,0),IF(TYPE(INDIRECT(ADDRESS(ROW() + $A$9-7 + (ROW()-11)*4,3,1,1,"Internet")))&gt;1,INDIRECT(ADDRESS(ROW() + $A$9-7 + (ROW()-11)*4,3,1,1,"Internet"))," "))</f>
        <v xml:space="preserve"> </v>
      </c>
      <c r="Y16" s="319">
        <f ca="1">IF(N(U16)=0,9999,VLOOKUP(U16,Hraci!$A$1:$I$1500,8,0))</f>
        <v>9999</v>
      </c>
      <c r="Z16" s="386">
        <f ca="1">IF(N(U16)=0,0,VLOOKUP(U16,Hraci!$A$1:$I$1500,9,0))</f>
        <v>0</v>
      </c>
      <c r="AA16" s="383" t="str">
        <f t="shared" ca="1" si="13"/>
        <v/>
      </c>
      <c r="AB16" s="384" t="str">
        <f ca="1">IF(N(AA16)&gt;0,VLOOKUP(AA16,Hraci!$A$1:$I$1500,2,0)," ")</f>
        <v xml:space="preserve"> </v>
      </c>
      <c r="AC16" s="385" t="str">
        <f ca="1">IF(N(AA16)&gt;0,VLOOKUP(AA16,Hraci!$A$1:$I$1500,3,0)," ")</f>
        <v xml:space="preserve"> </v>
      </c>
      <c r="AD16" s="385" t="str">
        <f ca="1">IF(N(AA16)&gt;0,VLOOKUP(AA16,Hraci!$A$1:$I$1500,5,0)," ")</f>
        <v xml:space="preserve"> </v>
      </c>
      <c r="AE16" s="319">
        <f ca="1">IF(N(AA16)=0,9999,VLOOKUP(AA16,Hraci!$A$1:$I$1500,8,0))</f>
        <v>9999</v>
      </c>
      <c r="AF16" s="386">
        <f ca="1">IF(N(AA16)=0,0,VLOOKUP(AA16,Hraci!$A$1:$I$1500,9,0))</f>
        <v>0</v>
      </c>
      <c r="AG16" s="391"/>
      <c r="AH16" s="427">
        <f ca="1">IF(TYPE(VLOOKUP(H16,Centrum!$A$3:$E$130,5,0))&lt;4,VLOOKUP(H16,Centrum!$A$3:$E$130,5,0),0)</f>
        <v>39</v>
      </c>
      <c r="AI16" s="387">
        <f ca="1">IF(N($AH16)&gt;0,VLOOKUP($AH16,Body!$A$4:$F$259,5,0),"")</f>
        <v>29.943896484374999</v>
      </c>
      <c r="AJ16" s="388">
        <f ca="1">IF(N($AH16)&gt;0,VLOOKUP($AH16,Body!$A$4:$F$259,6,0),"")</f>
        <v>0</v>
      </c>
      <c r="AK16" s="387">
        <f ca="1">IF(N($AH16)&gt;0,VLOOKUP($AH16,Body!$A$4:$F$259,2,0),"")</f>
        <v>0.78125</v>
      </c>
      <c r="AL16" s="389" t="str">
        <f t="shared" ca="1" si="14"/>
        <v>6 CdP Loděnice - Kamaryt Josef</v>
      </c>
      <c r="AM16" s="390">
        <f t="shared" ca="1" si="15"/>
        <v>40.375</v>
      </c>
      <c r="AN16" s="319">
        <f ca="1">IF(OR(TYPE(I16)&gt;1,TYPE(MATCH(I16,I17:I$139,0))&gt;1),0,MATCH(I16,I17:I$139,0))+IF(OR(TYPE(I16)&gt;1,TYPE(MATCH(I16,O$11:O$139,0))&gt;1),0,MATCH(I16,O$11:O$139,0))+IF(OR(TYPE(I16)&gt;1,TYPE(MATCH(I16,U$11:U$139,0))&gt;1),0,MATCH(I16,U$11:U$139,0))+IF(OR(TYPE(I16)&gt;1,TYPE(MATCH(I16,AA$11:AA$139,0))&gt;1),0,MATCH(I16,AA$11:AA$139,0))</f>
        <v>0</v>
      </c>
      <c r="AO16" s="319">
        <f ca="1">IF(OR(TYPE(O16)&gt;1,TYPE(MATCH(O16,I$11:I$139,0))&gt;1),0,MATCH(O16,I$11:I$139,0))+IF(OR(TYPE(O16)&gt;1,TYPE(MATCH(O16,O17:O$139,0))&gt;1),0,MATCH(O16,O17:O$139,0))+IF(OR(TYPE(O16)&gt;1,TYPE(MATCH(O16,U$11:U$139,0))&gt;1),0,MATCH(O16,U$11:U$139,0))+IF(OR(TYPE(O16)&gt;1,TYPE(MATCH(O16,AA$11:AA$139,0))&gt;1),0,MATCH(O16,AA$11:AA$139,0))</f>
        <v>0</v>
      </c>
      <c r="AP16" s="319">
        <f ca="1">IF(OR(TYPE(U16)&gt;1,TYPE(MATCH(U16,I$11:I$139,0))&gt;1),0,MATCH(U16,I$11:I$139,0))+IF(OR(TYPE(U16)&gt;1,TYPE(MATCH(U16,O$11:O$139,0))&gt;1),0,MATCH(U16,O$11:O$139,0))+IF(OR(TYPE(U16)&gt;1,TYPE(MATCH(U16,U17:U$139,0))&gt;1),0,MATCH(U16,U17:U$139,0))+IF(OR(TYPE(U16)&gt;1,TYPE(MATCH(U16,AA$11:AA$139,0))&gt;1),0,MATCH(U16,AA$11:AA$139,0))</f>
        <v>0</v>
      </c>
      <c r="AQ16" s="319">
        <f ca="1">IF(OR(TYPE(AA16)&gt;1,TYPE(MATCH(AA16,I$11:I$139,0))&gt;1),0,MATCH(AA16,I$11:I$139,0))+IF(OR(TYPE(AA16)&gt;1,TYPE(MATCH(AA16,O$11:O$139,0))&gt;1),0,MATCH(AA16,O$11:O$139,0))+IF(OR(TYPE(AA16)&gt;1,TYPE(MATCH(AA16,U$11:U$139,0))&gt;1),0,MATCH(U16,U$11:U$139,0))+IF(OR(TYPE(AA16)&gt;1,TYPE(MATCH(AA16,AA17:AA$139,0))&gt;1),0,MATCH(AA16,AA17:AA$139,0))</f>
        <v>0</v>
      </c>
      <c r="AR16" s="319">
        <f t="shared" ca="1" si="18"/>
        <v>0</v>
      </c>
      <c r="AT16" s="318">
        <f t="shared" ca="1" si="16"/>
        <v>0</v>
      </c>
      <c r="AU16" s="318">
        <f ca="1">IF(AND(N(I16)&gt;0,TYPE(VLOOKUP(I16,Hraci!$A$5:$A$800,1,0))&gt;3),1,0) + IF(AND(N(O16)&gt;0,TYPE(VLOOKUP(O16,Hraci!$A$5:$A$800,1,0))&gt;3),1,0) + IF(AND(N(U16)&gt;0,TYPE(VLOOKUP(U16,Hraci!$A$5:$A$800,1,0))&gt;3),1,0)</f>
        <v>0</v>
      </c>
      <c r="BF16" s="319">
        <f t="shared" si="17"/>
        <v>6</v>
      </c>
    </row>
    <row r="17" spans="1:58" ht="12.9" x14ac:dyDescent="0.45">
      <c r="A17" s="302">
        <f t="shared" ca="1" si="2"/>
        <v>1</v>
      </c>
      <c r="B17" s="302">
        <f t="shared" ca="1" si="3"/>
        <v>1</v>
      </c>
      <c r="C17" s="302">
        <f t="shared" ca="1" si="4"/>
        <v>40</v>
      </c>
      <c r="D17" s="302">
        <f t="shared" ca="1" si="5"/>
        <v>20017</v>
      </c>
      <c r="E17" s="302">
        <f t="shared" ca="1" si="6"/>
        <v>19</v>
      </c>
      <c r="F17" s="343" t="str">
        <f t="shared" ca="1" si="7"/>
        <v>91040000979982999980693534</v>
      </c>
      <c r="G17" s="381" t="b">
        <f t="shared" ca="1" si="8"/>
        <v>0</v>
      </c>
      <c r="H17" s="382">
        <f t="shared" si="9"/>
        <v>7</v>
      </c>
      <c r="I17" s="383">
        <f t="shared" ca="1" si="10"/>
        <v>22100</v>
      </c>
      <c r="J17" s="384" t="str">
        <f ca="1">IF(N(I17)&gt;0,VLOOKUP(I17,Hraci!$A$1:$I$1500,2,0),IF(TYPE(INDIRECT(ADDRESS(ROW() + $A$9-9 + (ROW()-11)*4,2,1,1,"Internet")))&gt;1,INDIRECT(ADDRESS(ROW() + $A$9-9 + (ROW()-11)*4,2,1,1,"Internet"))," "))</f>
        <v>Semeniv</v>
      </c>
      <c r="K17" s="385" t="str">
        <f ca="1">IF(N(I17)&gt;0,VLOOKUP(I17,Hraci!$A$1:$I$1500,3,0)," ")</f>
        <v>Maryana Khrystyna</v>
      </c>
      <c r="L17" s="385" t="str">
        <f ca="1">IF(N(I17)&gt;0,VLOOKUP(I17,Hraci!$A$1:$I$1500,5,0),IF(TYPE(INDIRECT(ADDRESS(ROW() + $A$9-9 + (ROW()-11)*4,3,1,1,"Internet")))&gt;1,INDIRECT(ADDRESS(ROW() + $A$9-9 + (ROW()-11)*4,3,1,1,"Internet"))," "))</f>
        <v>1. KPK Vrchlabí</v>
      </c>
      <c r="M17" s="319">
        <f ca="1">IF(N(I17)=0,9999,VLOOKUP(I17,Hraci!$A$1:$I$1500,8,0))</f>
        <v>19</v>
      </c>
      <c r="N17" s="386">
        <f ca="1">IF(N(I17)=0,0,VLOOKUP(I17,Hraci!$A$1:$I$1500,9,0))</f>
        <v>40</v>
      </c>
      <c r="O17" s="383" t="str">
        <f t="shared" ca="1" si="11"/>
        <v/>
      </c>
      <c r="P17" s="384" t="str">
        <f ca="1">IF(N(O17)&gt;0,VLOOKUP(O17,Hraci!$A$1:$I$1500,2,0),IF(TYPE(INDIRECT(ADDRESS(ROW() + $A$9-8 + (ROW()-11)*4,2,1,1,"Internet")))&gt;1,INDIRECT(ADDRESS(ROW() + $A$9-8 + (ROW()-11)*4,2,1,1,"Internet"))," "))</f>
        <v xml:space="preserve"> </v>
      </c>
      <c r="Q17" s="385" t="str">
        <f ca="1">IF(N(O17)&gt;0,VLOOKUP(O17,Hraci!$A$1:$I$1500,3,0)," ")</f>
        <v xml:space="preserve"> </v>
      </c>
      <c r="R17" s="385" t="str">
        <f ca="1">IF(N(O17)&gt;0,VLOOKUP(O17,Hraci!$A$1:$I$1500,5,0),IF(TYPE(INDIRECT(ADDRESS(ROW() + $A$9-8 + (ROW()-11)*4,3,1,1,"Internet")))&gt;1,INDIRECT(ADDRESS(ROW() + $A$9-8 + (ROW()-11)*4,3,1,1,"Internet"))," "))</f>
        <v xml:space="preserve"> </v>
      </c>
      <c r="S17" s="319">
        <f ca="1">IF(N(O17)=0,9999,VLOOKUP(O17,Hraci!$A$1:$I$1500,8,0))</f>
        <v>9999</v>
      </c>
      <c r="T17" s="386">
        <f ca="1">IF(N(O17)=0,0,VLOOKUP(O17,Hraci!$A$1:$I$1500,9,0))</f>
        <v>0</v>
      </c>
      <c r="U17" s="383" t="str">
        <f t="shared" ca="1" si="12"/>
        <v/>
      </c>
      <c r="V17" s="384" t="str">
        <f ca="1">IF(N(U17)&gt;0,VLOOKUP(U17,Hraci!$A$1:$I$1500,2,0),IF(TYPE(INDIRECT(ADDRESS(ROW() + $A$9-7 + (ROW()-11)*4,2,1,1,"Internet")))&gt;1,INDIRECT(ADDRESS(ROW() + $A$9-7 + (ROW()-11)*4,2,1,1,"Internet"))," "))</f>
        <v xml:space="preserve"> </v>
      </c>
      <c r="W17" s="385" t="str">
        <f ca="1">IF(N(U17)&gt;0,VLOOKUP(U17,Hraci!$A$1:$I$1500,3,0)," ")</f>
        <v xml:space="preserve"> </v>
      </c>
      <c r="X17" s="385" t="str">
        <f ca="1">IF(N(U17)&gt;0,VLOOKUP(U17,Hraci!$A$1:$I$1500,5,0),IF(TYPE(INDIRECT(ADDRESS(ROW() + $A$9-7 + (ROW()-11)*4,3,1,1,"Internet")))&gt;1,INDIRECT(ADDRESS(ROW() + $A$9-7 + (ROW()-11)*4,3,1,1,"Internet"))," "))</f>
        <v xml:space="preserve"> </v>
      </c>
      <c r="Y17" s="319">
        <f ca="1">IF(N(U17)=0,9999,VLOOKUP(U17,Hraci!$A$1:$I$1500,8,0))</f>
        <v>9999</v>
      </c>
      <c r="Z17" s="386">
        <f ca="1">IF(N(U17)=0,0,VLOOKUP(U17,Hraci!$A$1:$I$1500,9,0))</f>
        <v>0</v>
      </c>
      <c r="AA17" s="383" t="str">
        <f t="shared" ca="1" si="13"/>
        <v/>
      </c>
      <c r="AB17" s="384" t="str">
        <f ca="1">IF(N(AA17)&gt;0,VLOOKUP(AA17,Hraci!$A$1:$I$1500,2,0)," ")</f>
        <v xml:space="preserve"> </v>
      </c>
      <c r="AC17" s="385" t="str">
        <f ca="1">IF(N(AA17)&gt;0,VLOOKUP(AA17,Hraci!$A$1:$I$1500,3,0)," ")</f>
        <v xml:space="preserve"> </v>
      </c>
      <c r="AD17" s="385" t="str">
        <f ca="1">IF(N(AA17)&gt;0,VLOOKUP(AA17,Hraci!$A$1:$I$1500,5,0)," ")</f>
        <v xml:space="preserve"> </v>
      </c>
      <c r="AE17" s="319">
        <f ca="1">IF(N(AA17)=0,9999,VLOOKUP(AA17,Hraci!$A$1:$I$1500,8,0))</f>
        <v>9999</v>
      </c>
      <c r="AF17" s="386">
        <f ca="1">IF(N(AA17)=0,0,VLOOKUP(AA17,Hraci!$A$1:$I$1500,9,0))</f>
        <v>0</v>
      </c>
      <c r="AG17" s="391"/>
      <c r="AH17" s="427">
        <f ca="1">IF(TYPE(VLOOKUP(H17,Centrum!$A$3:$E$130,5,0))&lt;4,VLOOKUP(H17,Centrum!$A$3:$E$130,5,0),0)</f>
        <v>8</v>
      </c>
      <c r="AI17" s="387">
        <f ca="1">IF(N($AH17)&gt;0,VLOOKUP($AH17,Body!$A$4:$F$259,5,0),"")</f>
        <v>114.9845625</v>
      </c>
      <c r="AJ17" s="388">
        <f ca="1">IF(N($AH17)&gt;0,VLOOKUP($AH17,Body!$A$4:$F$259,6,0),"")</f>
        <v>0</v>
      </c>
      <c r="AK17" s="387">
        <f ca="1">IF(N($AH17)&gt;0,VLOOKUP($AH17,Body!$A$4:$F$259,2,0),"")</f>
        <v>3</v>
      </c>
      <c r="AL17" s="389" t="str">
        <f t="shared" ca="1" si="14"/>
        <v>7 1. KPK Vrchlabí - Semeniv Maryana Khrystyna</v>
      </c>
      <c r="AM17" s="390">
        <f t="shared" ca="1" si="15"/>
        <v>40</v>
      </c>
      <c r="AN17" s="319">
        <f ca="1">IF(OR(TYPE(I17)&gt;1,TYPE(MATCH(I17,I18:I$139,0))&gt;1),0,MATCH(I17,I18:I$139,0))+IF(OR(TYPE(I17)&gt;1,TYPE(MATCH(I17,O$11:O$139,0))&gt;1),0,MATCH(I17,O$11:O$139,0))+IF(OR(TYPE(I17)&gt;1,TYPE(MATCH(I17,U$11:U$139,0))&gt;1),0,MATCH(I17,U$11:U$139,0))+IF(OR(TYPE(I17)&gt;1,TYPE(MATCH(I17,AA$11:AA$139,0))&gt;1),0,MATCH(I17,AA$11:AA$139,0))</f>
        <v>0</v>
      </c>
      <c r="AO17" s="319">
        <f ca="1">IF(OR(TYPE(O17)&gt;1,TYPE(MATCH(O17,I$11:I$139,0))&gt;1),0,MATCH(O17,I$11:I$139,0))+IF(OR(TYPE(O17)&gt;1,TYPE(MATCH(O17,O18:O$139,0))&gt;1),0,MATCH(O17,O18:O$139,0))+IF(OR(TYPE(O17)&gt;1,TYPE(MATCH(O17,U$11:U$139,0))&gt;1),0,MATCH(O17,U$11:U$139,0))+IF(OR(TYPE(O17)&gt;1,TYPE(MATCH(O17,AA$11:AA$139,0))&gt;1),0,MATCH(O17,AA$11:AA$139,0))</f>
        <v>0</v>
      </c>
      <c r="AP17" s="319">
        <f ca="1">IF(OR(TYPE(U17)&gt;1,TYPE(MATCH(U17,I$11:I$139,0))&gt;1),0,MATCH(U17,I$11:I$139,0))+IF(OR(TYPE(U17)&gt;1,TYPE(MATCH(U17,O$11:O$139,0))&gt;1),0,MATCH(U17,O$11:O$139,0))+IF(OR(TYPE(U17)&gt;1,TYPE(MATCH(U17,U18:U$139,0))&gt;1),0,MATCH(U17,U18:U$139,0))+IF(OR(TYPE(U17)&gt;1,TYPE(MATCH(U17,AA$11:AA$139,0))&gt;1),0,MATCH(U17,AA$11:AA$139,0))</f>
        <v>0</v>
      </c>
      <c r="AQ17" s="319">
        <f ca="1">IF(OR(TYPE(AA17)&gt;1,TYPE(MATCH(AA17,I$11:I$139,0))&gt;1),0,MATCH(AA17,I$11:I$139,0))+IF(OR(TYPE(AA17)&gt;1,TYPE(MATCH(AA17,O$11:O$139,0))&gt;1),0,MATCH(AA17,O$11:O$139,0))+IF(OR(TYPE(AA17)&gt;1,TYPE(MATCH(AA17,U$11:U$139,0))&gt;1),0,MATCH(U17,U$11:U$139,0))+IF(OR(TYPE(AA17)&gt;1,TYPE(MATCH(AA17,AA18:AA$139,0))&gt;1),0,MATCH(AA17,AA18:AA$139,0))</f>
        <v>0</v>
      </c>
      <c r="AR17" s="319">
        <f t="shared" ca="1" si="18"/>
        <v>0</v>
      </c>
      <c r="AT17" s="318">
        <f t="shared" ca="1" si="16"/>
        <v>0</v>
      </c>
      <c r="AU17" s="318">
        <f ca="1">IF(AND(N(I17)&gt;0,TYPE(VLOOKUP(I17,Hraci!$A$5:$A$800,1,0))&gt;3),1,0) + IF(AND(N(O17)&gt;0,TYPE(VLOOKUP(O17,Hraci!$A$5:$A$800,1,0))&gt;3),1,0) + IF(AND(N(U17)&gt;0,TYPE(VLOOKUP(U17,Hraci!$A$5:$A$800,1,0))&gt;3),1,0)</f>
        <v>0</v>
      </c>
      <c r="BF17" s="319">
        <f t="shared" si="17"/>
        <v>7</v>
      </c>
    </row>
    <row r="18" spans="1:58" ht="12.9" x14ac:dyDescent="0.45">
      <c r="A18" s="302">
        <f t="shared" ca="1" si="2"/>
        <v>1</v>
      </c>
      <c r="B18" s="302">
        <f t="shared" ca="1" si="3"/>
        <v>1</v>
      </c>
      <c r="C18" s="302">
        <f t="shared" ca="1" si="4"/>
        <v>36.125</v>
      </c>
      <c r="D18" s="302">
        <f t="shared" ca="1" si="5"/>
        <v>20065</v>
      </c>
      <c r="E18" s="302">
        <f t="shared" ca="1" si="6"/>
        <v>67</v>
      </c>
      <c r="F18" s="343" t="str">
        <f t="shared" ca="1" si="7"/>
        <v>91036125979934999932758856</v>
      </c>
      <c r="G18" s="381" t="b">
        <f t="shared" ca="1" si="8"/>
        <v>0</v>
      </c>
      <c r="H18" s="382">
        <f t="shared" si="9"/>
        <v>8</v>
      </c>
      <c r="I18" s="383">
        <f t="shared" ca="1" si="10"/>
        <v>22183</v>
      </c>
      <c r="J18" s="384" t="str">
        <f ca="1">IF(N(I18)&gt;0,VLOOKUP(I18,Hraci!$A$1:$I$1500,2,0),IF(TYPE(INDIRECT(ADDRESS(ROW() + $A$9-9 + (ROW()-11)*4,2,1,1,"Internet")))&gt;1,INDIRECT(ADDRESS(ROW() + $A$9-9 + (ROW()-11)*4,2,1,1,"Internet"))," "))</f>
        <v>Brandes</v>
      </c>
      <c r="K18" s="385" t="str">
        <f ca="1">IF(N(I18)&gt;0,VLOOKUP(I18,Hraci!$A$1:$I$1500,3,0)," ")</f>
        <v>Michael</v>
      </c>
      <c r="L18" s="385" t="str">
        <f ca="1">IF(N(I18)&gt;0,VLOOKUP(I18,Hraci!$A$1:$I$1500,5,0),IF(TYPE(INDIRECT(ADDRESS(ROW() + $A$9-9 + (ROW()-11)*4,3,1,1,"Internet")))&gt;1,INDIRECT(ADDRESS(ROW() + $A$9-9 + (ROW()-11)*4,3,1,1,"Internet"))," "))</f>
        <v>PC Damníkov</v>
      </c>
      <c r="M18" s="319">
        <f ca="1">IF(N(I18)=0,9999,VLOOKUP(I18,Hraci!$A$1:$I$1500,8,0))</f>
        <v>67</v>
      </c>
      <c r="N18" s="386">
        <f ca="1">IF(N(I18)=0,0,VLOOKUP(I18,Hraci!$A$1:$I$1500,9,0))</f>
        <v>36.125</v>
      </c>
      <c r="O18" s="383" t="str">
        <f t="shared" ca="1" si="11"/>
        <v/>
      </c>
      <c r="P18" s="384" t="str">
        <f ca="1">IF(N(O18)&gt;0,VLOOKUP(O18,Hraci!$A$1:$I$1500,2,0),IF(TYPE(INDIRECT(ADDRESS(ROW() + $A$9-8 + (ROW()-11)*4,2,1,1,"Internet")))&gt;1,INDIRECT(ADDRESS(ROW() + $A$9-8 + (ROW()-11)*4,2,1,1,"Internet"))," "))</f>
        <v xml:space="preserve"> </v>
      </c>
      <c r="Q18" s="385" t="str">
        <f ca="1">IF(N(O18)&gt;0,VLOOKUP(O18,Hraci!$A$1:$I$1500,3,0)," ")</f>
        <v xml:space="preserve"> </v>
      </c>
      <c r="R18" s="385" t="str">
        <f ca="1">IF(N(O18)&gt;0,VLOOKUP(O18,Hraci!$A$1:$I$1500,5,0),IF(TYPE(INDIRECT(ADDRESS(ROW() + $A$9-8 + (ROW()-11)*4,3,1,1,"Internet")))&gt;1,INDIRECT(ADDRESS(ROW() + $A$9-8 + (ROW()-11)*4,3,1,1,"Internet"))," "))</f>
        <v xml:space="preserve"> </v>
      </c>
      <c r="S18" s="319">
        <f ca="1">IF(N(O18)=0,9999,VLOOKUP(O18,Hraci!$A$1:$I$1500,8,0))</f>
        <v>9999</v>
      </c>
      <c r="T18" s="386">
        <f ca="1">IF(N(O18)=0,0,VLOOKUP(O18,Hraci!$A$1:$I$1500,9,0))</f>
        <v>0</v>
      </c>
      <c r="U18" s="383" t="str">
        <f t="shared" ca="1" si="12"/>
        <v/>
      </c>
      <c r="V18" s="384" t="str">
        <f ca="1">IF(N(U18)&gt;0,VLOOKUP(U18,Hraci!$A$1:$I$1500,2,0),IF(TYPE(INDIRECT(ADDRESS(ROW() + $A$9-7 + (ROW()-11)*4,2,1,1,"Internet")))&gt;1,INDIRECT(ADDRESS(ROW() + $A$9-7 + (ROW()-11)*4,2,1,1,"Internet"))," "))</f>
        <v xml:space="preserve"> </v>
      </c>
      <c r="W18" s="385" t="str">
        <f ca="1">IF(N(U18)&gt;0,VLOOKUP(U18,Hraci!$A$1:$I$1500,3,0)," ")</f>
        <v xml:space="preserve"> </v>
      </c>
      <c r="X18" s="385" t="str">
        <f ca="1">IF(N(U18)&gt;0,VLOOKUP(U18,Hraci!$A$1:$I$1500,5,0),IF(TYPE(INDIRECT(ADDRESS(ROW() + $A$9-7 + (ROW()-11)*4,3,1,1,"Internet")))&gt;1,INDIRECT(ADDRESS(ROW() + $A$9-7 + (ROW()-11)*4,3,1,1,"Internet"))," "))</f>
        <v xml:space="preserve"> </v>
      </c>
      <c r="Y18" s="319">
        <f ca="1">IF(N(U18)=0,9999,VLOOKUP(U18,Hraci!$A$1:$I$1500,8,0))</f>
        <v>9999</v>
      </c>
      <c r="Z18" s="386">
        <f ca="1">IF(N(U18)=0,0,VLOOKUP(U18,Hraci!$A$1:$I$1500,9,0))</f>
        <v>0</v>
      </c>
      <c r="AA18" s="383" t="str">
        <f t="shared" ca="1" si="13"/>
        <v/>
      </c>
      <c r="AB18" s="384" t="str">
        <f ca="1">IF(N(AA18)&gt;0,VLOOKUP(AA18,Hraci!$A$1:$I$1500,2,0)," ")</f>
        <v xml:space="preserve"> </v>
      </c>
      <c r="AC18" s="385" t="str">
        <f ca="1">IF(N(AA18)&gt;0,VLOOKUP(AA18,Hraci!$A$1:$I$1500,3,0)," ")</f>
        <v xml:space="preserve"> </v>
      </c>
      <c r="AD18" s="385" t="str">
        <f ca="1">IF(N(AA18)&gt;0,VLOOKUP(AA18,Hraci!$A$1:$I$1500,5,0)," ")</f>
        <v xml:space="preserve"> </v>
      </c>
      <c r="AE18" s="319">
        <f ca="1">IF(N(AA18)=0,9999,VLOOKUP(AA18,Hraci!$A$1:$I$1500,8,0))</f>
        <v>9999</v>
      </c>
      <c r="AF18" s="386">
        <f ca="1">IF(N(AA18)=0,0,VLOOKUP(AA18,Hraci!$A$1:$I$1500,9,0))</f>
        <v>0</v>
      </c>
      <c r="AG18" s="391"/>
      <c r="AH18" s="427">
        <f ca="1">IF(TYPE(VLOOKUP(H18,Centrum!$A$3:$E$130,5,0))&lt;4,VLOOKUP(H18,Centrum!$A$3:$E$130,5,0),0)</f>
        <v>43</v>
      </c>
      <c r="AI18" s="387">
        <f ca="1">IF(N($AH18)&gt;0,VLOOKUP($AH18,Body!$A$4:$F$259,5,0),"")</f>
        <v>25.152873046874998</v>
      </c>
      <c r="AJ18" s="388">
        <f ca="1">IF(N($AH18)&gt;0,VLOOKUP($AH18,Body!$A$4:$F$259,6,0),"")</f>
        <v>0</v>
      </c>
      <c r="AK18" s="387">
        <f ca="1">IF(N($AH18)&gt;0,VLOOKUP($AH18,Body!$A$4:$F$259,2,0),"")</f>
        <v>0.65625</v>
      </c>
      <c r="AL18" s="389" t="str">
        <f t="shared" ca="1" si="14"/>
        <v>8 PC Damníkov - Brandes Michael</v>
      </c>
      <c r="AM18" s="390">
        <f t="shared" ca="1" si="15"/>
        <v>36.125</v>
      </c>
      <c r="AN18" s="319">
        <f ca="1">IF(OR(TYPE(I18)&gt;1,TYPE(MATCH(I18,I19:I$139,0))&gt;1),0,MATCH(I18,I19:I$139,0))+IF(OR(TYPE(I18)&gt;1,TYPE(MATCH(I18,O$11:O$139,0))&gt;1),0,MATCH(I18,O$11:O$139,0))+IF(OR(TYPE(I18)&gt;1,TYPE(MATCH(I18,U$11:U$139,0))&gt;1),0,MATCH(I18,U$11:U$139,0))+IF(OR(TYPE(I18)&gt;1,TYPE(MATCH(I18,AA$11:AA$139,0))&gt;1),0,MATCH(I18,AA$11:AA$139,0))</f>
        <v>0</v>
      </c>
      <c r="AO18" s="319">
        <f ca="1">IF(OR(TYPE(O18)&gt;1,TYPE(MATCH(O18,I$11:I$139,0))&gt;1),0,MATCH(O18,I$11:I$139,0))+IF(OR(TYPE(O18)&gt;1,TYPE(MATCH(O18,O19:O$139,0))&gt;1),0,MATCH(O18,O19:O$139,0))+IF(OR(TYPE(O18)&gt;1,TYPE(MATCH(O18,U$11:U$139,0))&gt;1),0,MATCH(O18,U$11:U$139,0))+IF(OR(TYPE(O18)&gt;1,TYPE(MATCH(O18,AA$11:AA$139,0))&gt;1),0,MATCH(O18,AA$11:AA$139,0))</f>
        <v>0</v>
      </c>
      <c r="AP18" s="319">
        <f ca="1">IF(OR(TYPE(U18)&gt;1,TYPE(MATCH(U18,I$11:I$139,0))&gt;1),0,MATCH(U18,I$11:I$139,0))+IF(OR(TYPE(U18)&gt;1,TYPE(MATCH(U18,O$11:O$139,0))&gt;1),0,MATCH(U18,O$11:O$139,0))+IF(OR(TYPE(U18)&gt;1,TYPE(MATCH(U18,U19:U$139,0))&gt;1),0,MATCH(U18,U19:U$139,0))+IF(OR(TYPE(U18)&gt;1,TYPE(MATCH(U18,AA$11:AA$139,0))&gt;1),0,MATCH(U18,AA$11:AA$139,0))</f>
        <v>0</v>
      </c>
      <c r="AQ18" s="319">
        <f ca="1">IF(OR(TYPE(AA18)&gt;1,TYPE(MATCH(AA18,I$11:I$139,0))&gt;1),0,MATCH(AA18,I$11:I$139,0))+IF(OR(TYPE(AA18)&gt;1,TYPE(MATCH(AA18,O$11:O$139,0))&gt;1),0,MATCH(AA18,O$11:O$139,0))+IF(OR(TYPE(AA18)&gt;1,TYPE(MATCH(AA18,U$11:U$139,0))&gt;1),0,MATCH(U18,U$11:U$139,0))+IF(OR(TYPE(AA18)&gt;1,TYPE(MATCH(AA18,AA19:AA$139,0))&gt;1),0,MATCH(AA18,AA19:AA$139,0))</f>
        <v>0</v>
      </c>
      <c r="AR18" s="319">
        <f t="shared" ca="1" si="18"/>
        <v>0</v>
      </c>
      <c r="AT18" s="318">
        <f t="shared" ca="1" si="16"/>
        <v>0</v>
      </c>
      <c r="AU18" s="318">
        <f ca="1">IF(AND(N(I18)&gt;0,TYPE(VLOOKUP(I18,Hraci!$A$5:$A$800,1,0))&gt;3),1,0) + IF(AND(N(O18)&gt;0,TYPE(VLOOKUP(O18,Hraci!$A$5:$A$800,1,0))&gt;3),1,0) + IF(AND(N(U18)&gt;0,TYPE(VLOOKUP(U18,Hraci!$A$5:$A$800,1,0))&gt;3),1,0)</f>
        <v>0</v>
      </c>
      <c r="BF18" s="319">
        <f t="shared" si="17"/>
        <v>8</v>
      </c>
    </row>
    <row r="19" spans="1:58" ht="12.9" x14ac:dyDescent="0.45">
      <c r="A19" s="302">
        <f t="shared" ca="1" si="2"/>
        <v>1</v>
      </c>
      <c r="B19" s="302">
        <f t="shared" ca="1" si="3"/>
        <v>1</v>
      </c>
      <c r="C19" s="302">
        <f t="shared" ca="1" si="4"/>
        <v>32.125</v>
      </c>
      <c r="D19" s="302">
        <f t="shared" ca="1" si="5"/>
        <v>20042</v>
      </c>
      <c r="E19" s="302">
        <f t="shared" ca="1" si="6"/>
        <v>44</v>
      </c>
      <c r="F19" s="343" t="str">
        <f t="shared" ca="1" si="7"/>
        <v>91032125979957999955153527</v>
      </c>
      <c r="G19" s="381" t="b">
        <f t="shared" ca="1" si="8"/>
        <v>0</v>
      </c>
      <c r="H19" s="382">
        <f t="shared" si="9"/>
        <v>9</v>
      </c>
      <c r="I19" s="383">
        <f t="shared" ca="1" si="10"/>
        <v>15065</v>
      </c>
      <c r="J19" s="384" t="str">
        <f ca="1">IF(N(I19)&gt;0,VLOOKUP(I19,Hraci!$A$1:$I$1500,2,0),IF(TYPE(INDIRECT(ADDRESS(ROW() + $A$9-9 + (ROW()-11)*4,2,1,1,"Internet")))&gt;1,INDIRECT(ADDRESS(ROW() + $A$9-9 + (ROW()-11)*4,2,1,1,"Internet"))," "))</f>
        <v>Palas</v>
      </c>
      <c r="K19" s="385" t="str">
        <f ca="1">IF(N(I19)&gt;0,VLOOKUP(I19,Hraci!$A$1:$I$1500,3,0)," ")</f>
        <v>Pavel</v>
      </c>
      <c r="L19" s="385" t="str">
        <f ca="1">IF(N(I19)&gt;0,VLOOKUP(I19,Hraci!$A$1:$I$1500,5,0),IF(TYPE(INDIRECT(ADDRESS(ROW() + $A$9-9 + (ROW()-11)*4,3,1,1,"Internet")))&gt;1,INDIRECT(ADDRESS(ROW() + $A$9-9 + (ROW()-11)*4,3,1,1,"Internet"))," "))</f>
        <v>UBU Únětice</v>
      </c>
      <c r="M19" s="319">
        <f ca="1">IF(N(I19)=0,9999,VLOOKUP(I19,Hraci!$A$1:$I$1500,8,0))</f>
        <v>44</v>
      </c>
      <c r="N19" s="386">
        <f ca="1">IF(N(I19)=0,0,VLOOKUP(I19,Hraci!$A$1:$I$1500,9,0))</f>
        <v>32.125</v>
      </c>
      <c r="O19" s="383" t="str">
        <f t="shared" ca="1" si="11"/>
        <v/>
      </c>
      <c r="P19" s="384" t="str">
        <f ca="1">IF(N(O19)&gt;0,VLOOKUP(O19,Hraci!$A$1:$I$1500,2,0),IF(TYPE(INDIRECT(ADDRESS(ROW() + $A$9-8 + (ROW()-11)*4,2,1,1,"Internet")))&gt;1,INDIRECT(ADDRESS(ROW() + $A$9-8 + (ROW()-11)*4,2,1,1,"Internet"))," "))</f>
        <v xml:space="preserve"> </v>
      </c>
      <c r="Q19" s="385" t="str">
        <f ca="1">IF(N(O19)&gt;0,VLOOKUP(O19,Hraci!$A$1:$I$1500,3,0)," ")</f>
        <v xml:space="preserve"> </v>
      </c>
      <c r="R19" s="385" t="str">
        <f ca="1">IF(N(O19)&gt;0,VLOOKUP(O19,Hraci!$A$1:$I$1500,5,0),IF(TYPE(INDIRECT(ADDRESS(ROW() + $A$9-8 + (ROW()-11)*4,3,1,1,"Internet")))&gt;1,INDIRECT(ADDRESS(ROW() + $A$9-8 + (ROW()-11)*4,3,1,1,"Internet"))," "))</f>
        <v xml:space="preserve"> </v>
      </c>
      <c r="S19" s="319">
        <f ca="1">IF(N(O19)=0,9999,VLOOKUP(O19,Hraci!$A$1:$I$1500,8,0))</f>
        <v>9999</v>
      </c>
      <c r="T19" s="386">
        <f ca="1">IF(N(O19)=0,0,VLOOKUP(O19,Hraci!$A$1:$I$1500,9,0))</f>
        <v>0</v>
      </c>
      <c r="U19" s="383" t="str">
        <f t="shared" ca="1" si="12"/>
        <v/>
      </c>
      <c r="V19" s="384" t="str">
        <f ca="1">IF(N(U19)&gt;0,VLOOKUP(U19,Hraci!$A$1:$I$1500,2,0),IF(TYPE(INDIRECT(ADDRESS(ROW() + $A$9-7 + (ROW()-11)*4,2,1,1,"Internet")))&gt;1,INDIRECT(ADDRESS(ROW() + $A$9-7 + (ROW()-11)*4,2,1,1,"Internet"))," "))</f>
        <v xml:space="preserve"> </v>
      </c>
      <c r="W19" s="385" t="str">
        <f ca="1">IF(N(U19)&gt;0,VLOOKUP(U19,Hraci!$A$1:$I$1500,3,0)," ")</f>
        <v xml:space="preserve"> </v>
      </c>
      <c r="X19" s="385" t="str">
        <f ca="1">IF(N(U19)&gt;0,VLOOKUP(U19,Hraci!$A$1:$I$1500,5,0),IF(TYPE(INDIRECT(ADDRESS(ROW() + $A$9-7 + (ROW()-11)*4,3,1,1,"Internet")))&gt;1,INDIRECT(ADDRESS(ROW() + $A$9-7 + (ROW()-11)*4,3,1,1,"Internet"))," "))</f>
        <v xml:space="preserve"> </v>
      </c>
      <c r="Y19" s="319">
        <f ca="1">IF(N(U19)=0,9999,VLOOKUP(U19,Hraci!$A$1:$I$1500,8,0))</f>
        <v>9999</v>
      </c>
      <c r="Z19" s="386">
        <f ca="1">IF(N(U19)=0,0,VLOOKUP(U19,Hraci!$A$1:$I$1500,9,0))</f>
        <v>0</v>
      </c>
      <c r="AA19" s="383" t="str">
        <f t="shared" ca="1" si="13"/>
        <v/>
      </c>
      <c r="AB19" s="384" t="str">
        <f ca="1">IF(N(AA19)&gt;0,VLOOKUP(AA19,Hraci!$A$1:$I$1500,2,0)," ")</f>
        <v xml:space="preserve"> </v>
      </c>
      <c r="AC19" s="385" t="str">
        <f ca="1">IF(N(AA19)&gt;0,VLOOKUP(AA19,Hraci!$A$1:$I$1500,3,0)," ")</f>
        <v xml:space="preserve"> </v>
      </c>
      <c r="AD19" s="385" t="str">
        <f ca="1">IF(N(AA19)&gt;0,VLOOKUP(AA19,Hraci!$A$1:$I$1500,5,0)," ")</f>
        <v xml:space="preserve"> </v>
      </c>
      <c r="AE19" s="319">
        <f ca="1">IF(N(AA19)=0,9999,VLOOKUP(AA19,Hraci!$A$1:$I$1500,8,0))</f>
        <v>9999</v>
      </c>
      <c r="AF19" s="386">
        <f ca="1">IF(N(AA19)=0,0,VLOOKUP(AA19,Hraci!$A$1:$I$1500,9,0))</f>
        <v>0</v>
      </c>
      <c r="AG19" s="391"/>
      <c r="AH19" s="427">
        <f ca="1">IF(TYPE(VLOOKUP(H19,Centrum!$A$3:$E$130,5,0))&lt;4,VLOOKUP(H19,Centrum!$A$3:$E$130,5,0),0)</f>
        <v>16</v>
      </c>
      <c r="AI19" s="387">
        <f ca="1">IF(N($AH19)&gt;0,VLOOKUP($AH19,Body!$A$4:$F$259,5,0),"")</f>
        <v>76.656374999999997</v>
      </c>
      <c r="AJ19" s="388">
        <f ca="1">IF(N($AH19)&gt;0,VLOOKUP($AH19,Body!$A$4:$F$259,6,0),"")</f>
        <v>0</v>
      </c>
      <c r="AK19" s="387">
        <f ca="1">IF(N($AH19)&gt;0,VLOOKUP($AH19,Body!$A$4:$F$259,2,0),"")</f>
        <v>2</v>
      </c>
      <c r="AL19" s="389" t="str">
        <f t="shared" ca="1" si="14"/>
        <v>9 UBU Únětice - Palas Pavel</v>
      </c>
      <c r="AM19" s="390">
        <f t="shared" ca="1" si="15"/>
        <v>32.125</v>
      </c>
      <c r="AN19" s="319">
        <f ca="1">IF(OR(TYPE(I19)&gt;1,TYPE(MATCH(I19,I20:I$139,0))&gt;1),0,MATCH(I19,I20:I$139,0))+IF(OR(TYPE(I19)&gt;1,TYPE(MATCH(I19,O$11:O$139,0))&gt;1),0,MATCH(I19,O$11:O$139,0))+IF(OR(TYPE(I19)&gt;1,TYPE(MATCH(I19,U$11:U$139,0))&gt;1),0,MATCH(I19,U$11:U$139,0))+IF(OR(TYPE(I19)&gt;1,TYPE(MATCH(I19,AA$11:AA$139,0))&gt;1),0,MATCH(I19,AA$11:AA$139,0))</f>
        <v>0</v>
      </c>
      <c r="AO19" s="319">
        <f ca="1">IF(OR(TYPE(O19)&gt;1,TYPE(MATCH(O19,I$11:I$139,0))&gt;1),0,MATCH(O19,I$11:I$139,0))+IF(OR(TYPE(O19)&gt;1,TYPE(MATCH(O19,O20:O$139,0))&gt;1),0,MATCH(O19,O20:O$139,0))+IF(OR(TYPE(O19)&gt;1,TYPE(MATCH(O19,U$11:U$139,0))&gt;1),0,MATCH(O19,U$11:U$139,0))+IF(OR(TYPE(O19)&gt;1,TYPE(MATCH(O19,AA$11:AA$139,0))&gt;1),0,MATCH(O19,AA$11:AA$139,0))</f>
        <v>0</v>
      </c>
      <c r="AP19" s="319">
        <f ca="1">IF(OR(TYPE(U19)&gt;1,TYPE(MATCH(U19,I$11:I$139,0))&gt;1),0,MATCH(U19,I$11:I$139,0))+IF(OR(TYPE(U19)&gt;1,TYPE(MATCH(U19,O$11:O$139,0))&gt;1),0,MATCH(U19,O$11:O$139,0))+IF(OR(TYPE(U19)&gt;1,TYPE(MATCH(U19,U20:U$139,0))&gt;1),0,MATCH(U19,U20:U$139,0))+IF(OR(TYPE(U19)&gt;1,TYPE(MATCH(U19,AA$11:AA$139,0))&gt;1),0,MATCH(U19,AA$11:AA$139,0))</f>
        <v>0</v>
      </c>
      <c r="AQ19" s="319">
        <f ca="1">IF(OR(TYPE(AA19)&gt;1,TYPE(MATCH(AA19,I$11:I$139,0))&gt;1),0,MATCH(AA19,I$11:I$139,0))+IF(OR(TYPE(AA19)&gt;1,TYPE(MATCH(AA19,O$11:O$139,0))&gt;1),0,MATCH(AA19,O$11:O$139,0))+IF(OR(TYPE(AA19)&gt;1,TYPE(MATCH(AA19,U$11:U$139,0))&gt;1),0,MATCH(U19,U$11:U$139,0))+IF(OR(TYPE(AA19)&gt;1,TYPE(MATCH(AA19,AA20:AA$139,0))&gt;1),0,MATCH(AA19,AA20:AA$139,0))</f>
        <v>0</v>
      </c>
      <c r="AR19" s="319">
        <f t="shared" ca="1" si="18"/>
        <v>0</v>
      </c>
      <c r="AT19" s="318">
        <f t="shared" ca="1" si="16"/>
        <v>0</v>
      </c>
      <c r="AU19" s="318">
        <f ca="1">IF(AND(N(I19)&gt;0,TYPE(VLOOKUP(I19,Hraci!$A$5:$A$800,1,0))&gt;3),1,0) + IF(AND(N(O19)&gt;0,TYPE(VLOOKUP(O19,Hraci!$A$5:$A$800,1,0))&gt;3),1,0) + IF(AND(N(U19)&gt;0,TYPE(VLOOKUP(U19,Hraci!$A$5:$A$800,1,0))&gt;3),1,0)</f>
        <v>0</v>
      </c>
      <c r="BF19" s="319">
        <f t="shared" si="17"/>
        <v>9</v>
      </c>
    </row>
    <row r="20" spans="1:58" ht="12.9" x14ac:dyDescent="0.45">
      <c r="A20" s="302">
        <f t="shared" ca="1" si="2"/>
        <v>1</v>
      </c>
      <c r="B20" s="302">
        <f t="shared" ca="1" si="3"/>
        <v>1</v>
      </c>
      <c r="C20" s="302">
        <f t="shared" ca="1" si="4"/>
        <v>31.625</v>
      </c>
      <c r="D20" s="302">
        <f t="shared" ca="1" si="5"/>
        <v>20090</v>
      </c>
      <c r="E20" s="302">
        <f t="shared" ca="1" si="6"/>
        <v>92</v>
      </c>
      <c r="F20" s="343" t="str">
        <f t="shared" ca="1" si="7"/>
        <v>91031625979909999907294165</v>
      </c>
      <c r="G20" s="381" t="b">
        <f t="shared" ca="1" si="8"/>
        <v>0</v>
      </c>
      <c r="H20" s="382">
        <f t="shared" si="9"/>
        <v>10</v>
      </c>
      <c r="I20" s="383">
        <f t="shared" ca="1" si="10"/>
        <v>16117</v>
      </c>
      <c r="J20" s="384" t="str">
        <f ca="1">IF(N(I20)&gt;0,VLOOKUP(I20,Hraci!$A$1:$I$1500,2,0),IF(TYPE(INDIRECT(ADDRESS(ROW() + $A$9-9 + (ROW()-11)*4,2,1,1,"Internet")))&gt;1,INDIRECT(ADDRESS(ROW() + $A$9-9 + (ROW()-11)*4,2,1,1,"Internet"))," "))</f>
        <v>Stejskal</v>
      </c>
      <c r="K20" s="385" t="str">
        <f ca="1">IF(N(I20)&gt;0,VLOOKUP(I20,Hraci!$A$1:$I$1500,3,0)," ")</f>
        <v>Václav</v>
      </c>
      <c r="L20" s="385" t="str">
        <f ca="1">IF(N(I20)&gt;0,VLOOKUP(I20,Hraci!$A$1:$I$1500,5,0),IF(TYPE(INDIRECT(ADDRESS(ROW() + $A$9-9 + (ROW()-11)*4,3,1,1,"Internet")))&gt;1,INDIRECT(ADDRESS(ROW() + $A$9-9 + (ROW()-11)*4,3,1,1,"Internet"))," "))</f>
        <v>JAPKO</v>
      </c>
      <c r="M20" s="319">
        <f ca="1">IF(N(I20)=0,9999,VLOOKUP(I20,Hraci!$A$1:$I$1500,8,0))</f>
        <v>92</v>
      </c>
      <c r="N20" s="386">
        <f ca="1">IF(N(I20)=0,0,VLOOKUP(I20,Hraci!$A$1:$I$1500,9,0))</f>
        <v>31.625</v>
      </c>
      <c r="O20" s="383" t="str">
        <f t="shared" ca="1" si="11"/>
        <v/>
      </c>
      <c r="P20" s="384" t="str">
        <f ca="1">IF(N(O20)&gt;0,VLOOKUP(O20,Hraci!$A$1:$I$1500,2,0),IF(TYPE(INDIRECT(ADDRESS(ROW() + $A$9-8 + (ROW()-11)*4,2,1,1,"Internet")))&gt;1,INDIRECT(ADDRESS(ROW() + $A$9-8 + (ROW()-11)*4,2,1,1,"Internet"))," "))</f>
        <v xml:space="preserve"> </v>
      </c>
      <c r="Q20" s="385" t="str">
        <f ca="1">IF(N(O20)&gt;0,VLOOKUP(O20,Hraci!$A$1:$I$1500,3,0)," ")</f>
        <v xml:space="preserve"> </v>
      </c>
      <c r="R20" s="385" t="str">
        <f ca="1">IF(N(O20)&gt;0,VLOOKUP(O20,Hraci!$A$1:$I$1500,5,0),IF(TYPE(INDIRECT(ADDRESS(ROW() + $A$9-8 + (ROW()-11)*4,3,1,1,"Internet")))&gt;1,INDIRECT(ADDRESS(ROW() + $A$9-8 + (ROW()-11)*4,3,1,1,"Internet"))," "))</f>
        <v xml:space="preserve"> </v>
      </c>
      <c r="S20" s="319">
        <f ca="1">IF(N(O20)=0,9999,VLOOKUP(O20,Hraci!$A$1:$I$1500,8,0))</f>
        <v>9999</v>
      </c>
      <c r="T20" s="386">
        <f ca="1">IF(N(O20)=0,0,VLOOKUP(O20,Hraci!$A$1:$I$1500,9,0))</f>
        <v>0</v>
      </c>
      <c r="U20" s="383" t="str">
        <f t="shared" ca="1" si="12"/>
        <v/>
      </c>
      <c r="V20" s="384" t="str">
        <f ca="1">IF(N(U20)&gt;0,VLOOKUP(U20,Hraci!$A$1:$I$1500,2,0),IF(TYPE(INDIRECT(ADDRESS(ROW() + $A$9-7 + (ROW()-11)*4,2,1,1,"Internet")))&gt;1,INDIRECT(ADDRESS(ROW() + $A$9-7 + (ROW()-11)*4,2,1,1,"Internet"))," "))</f>
        <v xml:space="preserve"> </v>
      </c>
      <c r="W20" s="385" t="str">
        <f ca="1">IF(N(U20)&gt;0,VLOOKUP(U20,Hraci!$A$1:$I$1500,3,0)," ")</f>
        <v xml:space="preserve"> </v>
      </c>
      <c r="X20" s="385" t="str">
        <f ca="1">IF(N(U20)&gt;0,VLOOKUP(U20,Hraci!$A$1:$I$1500,5,0),IF(TYPE(INDIRECT(ADDRESS(ROW() + $A$9-7 + (ROW()-11)*4,3,1,1,"Internet")))&gt;1,INDIRECT(ADDRESS(ROW() + $A$9-7 + (ROW()-11)*4,3,1,1,"Internet"))," "))</f>
        <v xml:space="preserve"> </v>
      </c>
      <c r="Y20" s="319">
        <f ca="1">IF(N(U20)=0,9999,VLOOKUP(U20,Hraci!$A$1:$I$1500,8,0))</f>
        <v>9999</v>
      </c>
      <c r="Z20" s="386">
        <f ca="1">IF(N(U20)=0,0,VLOOKUP(U20,Hraci!$A$1:$I$1500,9,0))</f>
        <v>0</v>
      </c>
      <c r="AA20" s="383" t="str">
        <f t="shared" ca="1" si="13"/>
        <v/>
      </c>
      <c r="AB20" s="384" t="str">
        <f ca="1">IF(N(AA20)&gt;0,VLOOKUP(AA20,Hraci!$A$1:$I$1500,2,0)," ")</f>
        <v xml:space="preserve"> </v>
      </c>
      <c r="AC20" s="385" t="str">
        <f ca="1">IF(N(AA20)&gt;0,VLOOKUP(AA20,Hraci!$A$1:$I$1500,3,0)," ")</f>
        <v xml:space="preserve"> </v>
      </c>
      <c r="AD20" s="385" t="str">
        <f ca="1">IF(N(AA20)&gt;0,VLOOKUP(AA20,Hraci!$A$1:$I$1500,5,0)," ")</f>
        <v xml:space="preserve"> </v>
      </c>
      <c r="AE20" s="319">
        <f ca="1">IF(N(AA20)=0,9999,VLOOKUP(AA20,Hraci!$A$1:$I$1500,8,0))</f>
        <v>9999</v>
      </c>
      <c r="AF20" s="386">
        <f ca="1">IF(N(AA20)=0,0,VLOOKUP(AA20,Hraci!$A$1:$I$1500,9,0))</f>
        <v>0</v>
      </c>
      <c r="AG20" s="391"/>
      <c r="AH20" s="427">
        <f ca="1">IF(TYPE(VLOOKUP(H20,Centrum!$A$3:$E$130,5,0))&lt;4,VLOOKUP(H20,Centrum!$A$3:$E$130,5,0),0)</f>
        <v>19</v>
      </c>
      <c r="AI20" s="387">
        <f ca="1">IF(N($AH20)&gt;0,VLOOKUP($AH20,Body!$A$4:$F$259,5,0),"")</f>
        <v>69.469839843749995</v>
      </c>
      <c r="AJ20" s="388">
        <f ca="1">IF(N($AH20)&gt;0,VLOOKUP($AH20,Body!$A$4:$F$259,6,0),"")</f>
        <v>0</v>
      </c>
      <c r="AK20" s="387">
        <f ca="1">IF(N($AH20)&gt;0,VLOOKUP($AH20,Body!$A$4:$F$259,2,0),"")</f>
        <v>1.8125</v>
      </c>
      <c r="AL20" s="389" t="str">
        <f t="shared" ca="1" si="14"/>
        <v>10 JAPKO - Stejskal Václav</v>
      </c>
      <c r="AM20" s="390">
        <f t="shared" ca="1" si="15"/>
        <v>31.625</v>
      </c>
      <c r="AN20" s="319">
        <f ca="1">IF(OR(TYPE(I20)&gt;1,TYPE(MATCH(I20,I21:I$139,0))&gt;1),0,MATCH(I20,I21:I$139,0))+IF(OR(TYPE(I20)&gt;1,TYPE(MATCH(I20,O$11:O$139,0))&gt;1),0,MATCH(I20,O$11:O$139,0))+IF(OR(TYPE(I20)&gt;1,TYPE(MATCH(I20,U$11:U$139,0))&gt;1),0,MATCH(I20,U$11:U$139,0))+IF(OR(TYPE(I20)&gt;1,TYPE(MATCH(I20,AA$11:AA$139,0))&gt;1),0,MATCH(I20,AA$11:AA$139,0))</f>
        <v>0</v>
      </c>
      <c r="AO20" s="319">
        <f ca="1">IF(OR(TYPE(O20)&gt;1,TYPE(MATCH(O20,I$11:I$139,0))&gt;1),0,MATCH(O20,I$11:I$139,0))+IF(OR(TYPE(O20)&gt;1,TYPE(MATCH(O20,O21:O$139,0))&gt;1),0,MATCH(O20,O21:O$139,0))+IF(OR(TYPE(O20)&gt;1,TYPE(MATCH(O20,U$11:U$139,0))&gt;1),0,MATCH(O20,U$11:U$139,0))+IF(OR(TYPE(O20)&gt;1,TYPE(MATCH(O20,AA$11:AA$139,0))&gt;1),0,MATCH(O20,AA$11:AA$139,0))</f>
        <v>0</v>
      </c>
      <c r="AP20" s="319">
        <f ca="1">IF(OR(TYPE(U20)&gt;1,TYPE(MATCH(U20,I$11:I$139,0))&gt;1),0,MATCH(U20,I$11:I$139,0))+IF(OR(TYPE(U20)&gt;1,TYPE(MATCH(U20,O$11:O$139,0))&gt;1),0,MATCH(U20,O$11:O$139,0))+IF(OR(TYPE(U20)&gt;1,TYPE(MATCH(U20,U21:U$139,0))&gt;1),0,MATCH(U20,U21:U$139,0))+IF(OR(TYPE(U20)&gt;1,TYPE(MATCH(U20,AA$11:AA$139,0))&gt;1),0,MATCH(U20,AA$11:AA$139,0))</f>
        <v>0</v>
      </c>
      <c r="AQ20" s="319">
        <f ca="1">IF(OR(TYPE(AA20)&gt;1,TYPE(MATCH(AA20,I$11:I$139,0))&gt;1),0,MATCH(AA20,I$11:I$139,0))+IF(OR(TYPE(AA20)&gt;1,TYPE(MATCH(AA20,O$11:O$139,0))&gt;1),0,MATCH(AA20,O$11:O$139,0))+IF(OR(TYPE(AA20)&gt;1,TYPE(MATCH(AA20,U$11:U$139,0))&gt;1),0,MATCH(U20,U$11:U$139,0))+IF(OR(TYPE(AA20)&gt;1,TYPE(MATCH(AA20,AA21:AA$139,0))&gt;1),0,MATCH(AA20,AA21:AA$139,0))</f>
        <v>0</v>
      </c>
      <c r="AR20" s="319">
        <f t="shared" ca="1" si="18"/>
        <v>0</v>
      </c>
      <c r="AT20" s="318">
        <f t="shared" ca="1" si="16"/>
        <v>0</v>
      </c>
      <c r="AU20" s="318">
        <f ca="1">IF(AND(N(I20)&gt;0,TYPE(VLOOKUP(I20,Hraci!$A$5:$A$800,1,0))&gt;3),1,0) + IF(AND(N(O20)&gt;0,TYPE(VLOOKUP(O20,Hraci!$A$5:$A$800,1,0))&gt;3),1,0) + IF(AND(N(U20)&gt;0,TYPE(VLOOKUP(U20,Hraci!$A$5:$A$800,1,0))&gt;3),1,0)</f>
        <v>0</v>
      </c>
      <c r="BF20" s="319">
        <f t="shared" si="17"/>
        <v>10</v>
      </c>
    </row>
    <row r="21" spans="1:58" ht="12.9" x14ac:dyDescent="0.45">
      <c r="A21" s="302">
        <f t="shared" ca="1" si="2"/>
        <v>1</v>
      </c>
      <c r="B21" s="302">
        <f t="shared" ca="1" si="3"/>
        <v>1</v>
      </c>
      <c r="C21" s="302">
        <f t="shared" ca="1" si="4"/>
        <v>30.625</v>
      </c>
      <c r="D21" s="302">
        <f t="shared" ca="1" si="5"/>
        <v>20076</v>
      </c>
      <c r="E21" s="302">
        <f t="shared" ca="1" si="6"/>
        <v>78</v>
      </c>
      <c r="F21" s="343" t="str">
        <f t="shared" ca="1" si="7"/>
        <v>91030625979923999921551759</v>
      </c>
      <c r="G21" s="381" t="b">
        <f t="shared" ca="1" si="8"/>
        <v>0</v>
      </c>
      <c r="H21" s="382">
        <f t="shared" si="9"/>
        <v>11</v>
      </c>
      <c r="I21" s="383">
        <f t="shared" ca="1" si="10"/>
        <v>14099</v>
      </c>
      <c r="J21" s="384" t="str">
        <f ca="1">IF(N(I21)&gt;0,VLOOKUP(I21,Hraci!$A$1:$I$1500,2,0),IF(TYPE(INDIRECT(ADDRESS(ROW() + $A$9-9 + (ROW()-11)*4,2,1,1,"Internet")))&gt;1,INDIRECT(ADDRESS(ROW() + $A$9-9 + (ROW()-11)*4,2,1,1,"Internet"))," "))</f>
        <v>Klouda</v>
      </c>
      <c r="K21" s="385" t="str">
        <f ca="1">IF(N(I21)&gt;0,VLOOKUP(I21,Hraci!$A$1:$I$1500,3,0)," ")</f>
        <v>Aleš</v>
      </c>
      <c r="L21" s="385" t="str">
        <f ca="1">IF(N(I21)&gt;0,VLOOKUP(I21,Hraci!$A$1:$I$1500,5,0),IF(TYPE(INDIRECT(ADDRESS(ROW() + $A$9-9 + (ROW()-11)*4,3,1,1,"Internet")))&gt;1,INDIRECT(ADDRESS(ROW() + $A$9-9 + (ROW()-11)*4,3,1,1,"Internet"))," "))</f>
        <v>Petank Club Praha</v>
      </c>
      <c r="M21" s="319">
        <f ca="1">IF(N(I21)=0,9999,VLOOKUP(I21,Hraci!$A$1:$I$1500,8,0))</f>
        <v>78</v>
      </c>
      <c r="N21" s="386">
        <f ca="1">IF(N(I21)=0,0,VLOOKUP(I21,Hraci!$A$1:$I$1500,9,0))</f>
        <v>30.625</v>
      </c>
      <c r="O21" s="383" t="str">
        <f t="shared" ca="1" si="11"/>
        <v/>
      </c>
      <c r="P21" s="384" t="str">
        <f ca="1">IF(N(O21)&gt;0,VLOOKUP(O21,Hraci!$A$1:$I$1500,2,0),IF(TYPE(INDIRECT(ADDRESS(ROW() + $A$9-8 + (ROW()-11)*4,2,1,1,"Internet")))&gt;1,INDIRECT(ADDRESS(ROW() + $A$9-8 + (ROW()-11)*4,2,1,1,"Internet"))," "))</f>
        <v xml:space="preserve"> </v>
      </c>
      <c r="Q21" s="385" t="str">
        <f ca="1">IF(N(O21)&gt;0,VLOOKUP(O21,Hraci!$A$1:$I$1500,3,0)," ")</f>
        <v xml:space="preserve"> </v>
      </c>
      <c r="R21" s="385" t="str">
        <f ca="1">IF(N(O21)&gt;0,VLOOKUP(O21,Hraci!$A$1:$I$1500,5,0),IF(TYPE(INDIRECT(ADDRESS(ROW() + $A$9-8 + (ROW()-11)*4,3,1,1,"Internet")))&gt;1,INDIRECT(ADDRESS(ROW() + $A$9-8 + (ROW()-11)*4,3,1,1,"Internet"))," "))</f>
        <v xml:space="preserve"> </v>
      </c>
      <c r="S21" s="319">
        <f ca="1">IF(N(O21)=0,9999,VLOOKUP(O21,Hraci!$A$1:$I$1500,8,0))</f>
        <v>9999</v>
      </c>
      <c r="T21" s="386">
        <f ca="1">IF(N(O21)=0,0,VLOOKUP(O21,Hraci!$A$1:$I$1500,9,0))</f>
        <v>0</v>
      </c>
      <c r="U21" s="383" t="str">
        <f t="shared" ca="1" si="12"/>
        <v/>
      </c>
      <c r="V21" s="384" t="str">
        <f ca="1">IF(N(U21)&gt;0,VLOOKUP(U21,Hraci!$A$1:$I$1500,2,0),IF(TYPE(INDIRECT(ADDRESS(ROW() + $A$9-7 + (ROW()-11)*4,2,1,1,"Internet")))&gt;1,INDIRECT(ADDRESS(ROW() + $A$9-7 + (ROW()-11)*4,2,1,1,"Internet"))," "))</f>
        <v xml:space="preserve"> </v>
      </c>
      <c r="W21" s="385" t="str">
        <f ca="1">IF(N(U21)&gt;0,VLOOKUP(U21,Hraci!$A$1:$I$1500,3,0)," ")</f>
        <v xml:space="preserve"> </v>
      </c>
      <c r="X21" s="385" t="str">
        <f ca="1">IF(N(U21)&gt;0,VLOOKUP(U21,Hraci!$A$1:$I$1500,5,0),IF(TYPE(INDIRECT(ADDRESS(ROW() + $A$9-7 + (ROW()-11)*4,3,1,1,"Internet")))&gt;1,INDIRECT(ADDRESS(ROW() + $A$9-7 + (ROW()-11)*4,3,1,1,"Internet"))," "))</f>
        <v xml:space="preserve"> </v>
      </c>
      <c r="Y21" s="319">
        <f ca="1">IF(N(U21)=0,9999,VLOOKUP(U21,Hraci!$A$1:$I$1500,8,0))</f>
        <v>9999</v>
      </c>
      <c r="Z21" s="386">
        <f ca="1">IF(N(U21)=0,0,VLOOKUP(U21,Hraci!$A$1:$I$1500,9,0))</f>
        <v>0</v>
      </c>
      <c r="AA21" s="383" t="str">
        <f t="shared" ca="1" si="13"/>
        <v/>
      </c>
      <c r="AB21" s="384" t="str">
        <f ca="1">IF(N(AA21)&gt;0,VLOOKUP(AA21,Hraci!$A$1:$I$1500,2,0)," ")</f>
        <v xml:space="preserve"> </v>
      </c>
      <c r="AC21" s="385" t="str">
        <f ca="1">IF(N(AA21)&gt;0,VLOOKUP(AA21,Hraci!$A$1:$I$1500,3,0)," ")</f>
        <v xml:space="preserve"> </v>
      </c>
      <c r="AD21" s="385" t="str">
        <f ca="1">IF(N(AA21)&gt;0,VLOOKUP(AA21,Hraci!$A$1:$I$1500,5,0)," ")</f>
        <v xml:space="preserve"> </v>
      </c>
      <c r="AE21" s="319">
        <f ca="1">IF(N(AA21)=0,9999,VLOOKUP(AA21,Hraci!$A$1:$I$1500,8,0))</f>
        <v>9999</v>
      </c>
      <c r="AF21" s="386">
        <f ca="1">IF(N(AA21)=0,0,VLOOKUP(AA21,Hraci!$A$1:$I$1500,9,0))</f>
        <v>0</v>
      </c>
      <c r="AG21" s="391"/>
      <c r="AH21" s="427">
        <f ca="1">IF(TYPE(VLOOKUP(H21,Centrum!$A$3:$E$130,5,0))&lt;4,VLOOKUP(H21,Centrum!$A$3:$E$130,5,0),0)</f>
        <v>29</v>
      </c>
      <c r="AI21" s="387">
        <f ca="1">IF(N($AH21)&gt;0,VLOOKUP($AH21,Body!$A$4:$F$259,5,0),"")</f>
        <v>45.514722656250001</v>
      </c>
      <c r="AJ21" s="388">
        <f ca="1">IF(N($AH21)&gt;0,VLOOKUP($AH21,Body!$A$4:$F$259,6,0),"")</f>
        <v>0</v>
      </c>
      <c r="AK21" s="387">
        <f ca="1">IF(N($AH21)&gt;0,VLOOKUP($AH21,Body!$A$4:$F$259,2,0),"")</f>
        <v>1.1875</v>
      </c>
      <c r="AL21" s="389" t="str">
        <f t="shared" ca="1" si="14"/>
        <v>11 Petank Club Praha - Klouda Aleš</v>
      </c>
      <c r="AM21" s="390">
        <f t="shared" ca="1" si="15"/>
        <v>30.625</v>
      </c>
      <c r="AN21" s="319">
        <f ca="1">IF(OR(TYPE(I21)&gt;1,TYPE(MATCH(I21,I22:I$139,0))&gt;1),0,MATCH(I21,I22:I$139,0))+IF(OR(TYPE(I21)&gt;1,TYPE(MATCH(I21,O$11:O$139,0))&gt;1),0,MATCH(I21,O$11:O$139,0))+IF(OR(TYPE(I21)&gt;1,TYPE(MATCH(I21,U$11:U$139,0))&gt;1),0,MATCH(I21,U$11:U$139,0))+IF(OR(TYPE(I21)&gt;1,TYPE(MATCH(I21,AA$11:AA$139,0))&gt;1),0,MATCH(I21,AA$11:AA$139,0))</f>
        <v>0</v>
      </c>
      <c r="AO21" s="319">
        <f ca="1">IF(OR(TYPE(O21)&gt;1,TYPE(MATCH(O21,I$11:I$139,0))&gt;1),0,MATCH(O21,I$11:I$139,0))+IF(OR(TYPE(O21)&gt;1,TYPE(MATCH(O21,O22:O$139,0))&gt;1),0,MATCH(O21,O22:O$139,0))+IF(OR(TYPE(O21)&gt;1,TYPE(MATCH(O21,U$11:U$139,0))&gt;1),0,MATCH(O21,U$11:U$139,0))+IF(OR(TYPE(O21)&gt;1,TYPE(MATCH(O21,AA$11:AA$139,0))&gt;1),0,MATCH(O21,AA$11:AA$139,0))</f>
        <v>0</v>
      </c>
      <c r="AP21" s="319">
        <f ca="1">IF(OR(TYPE(U21)&gt;1,TYPE(MATCH(U21,I$11:I$139,0))&gt;1),0,MATCH(U21,I$11:I$139,0))+IF(OR(TYPE(U21)&gt;1,TYPE(MATCH(U21,O$11:O$139,0))&gt;1),0,MATCH(U21,O$11:O$139,0))+IF(OR(TYPE(U21)&gt;1,TYPE(MATCH(U21,U22:U$139,0))&gt;1),0,MATCH(U21,U22:U$139,0))+IF(OR(TYPE(U21)&gt;1,TYPE(MATCH(U21,AA$11:AA$139,0))&gt;1),0,MATCH(U21,AA$11:AA$139,0))</f>
        <v>0</v>
      </c>
      <c r="AQ21" s="319">
        <f ca="1">IF(OR(TYPE(AA21)&gt;1,TYPE(MATCH(AA21,I$11:I$139,0))&gt;1),0,MATCH(AA21,I$11:I$139,0))+IF(OR(TYPE(AA21)&gt;1,TYPE(MATCH(AA21,O$11:O$139,0))&gt;1),0,MATCH(AA21,O$11:O$139,0))+IF(OR(TYPE(AA21)&gt;1,TYPE(MATCH(AA21,U$11:U$139,0))&gt;1),0,MATCH(U21,U$11:U$139,0))+IF(OR(TYPE(AA21)&gt;1,TYPE(MATCH(AA21,AA22:AA$139,0))&gt;1),0,MATCH(AA21,AA22:AA$139,0))</f>
        <v>0</v>
      </c>
      <c r="AR21" s="319">
        <f t="shared" ca="1" si="18"/>
        <v>0</v>
      </c>
      <c r="AT21" s="318">
        <f t="shared" ca="1" si="16"/>
        <v>0</v>
      </c>
      <c r="AU21" s="318">
        <f ca="1">IF(AND(N(I21)&gt;0,TYPE(VLOOKUP(I21,Hraci!$A$5:$A$800,1,0))&gt;3),1,0) + IF(AND(N(O21)&gt;0,TYPE(VLOOKUP(O21,Hraci!$A$5:$A$800,1,0))&gt;3),1,0) + IF(AND(N(U21)&gt;0,TYPE(VLOOKUP(U21,Hraci!$A$5:$A$800,1,0))&gt;3),1,0)</f>
        <v>0</v>
      </c>
      <c r="BF21" s="319">
        <f t="shared" si="17"/>
        <v>11</v>
      </c>
    </row>
    <row r="22" spans="1:58" ht="12.9" x14ac:dyDescent="0.45">
      <c r="A22" s="302">
        <f t="shared" ca="1" si="2"/>
        <v>1</v>
      </c>
      <c r="B22" s="302">
        <f t="shared" ca="1" si="3"/>
        <v>1</v>
      </c>
      <c r="C22" s="302">
        <f t="shared" ca="1" si="4"/>
        <v>30.375</v>
      </c>
      <c r="D22" s="302">
        <f t="shared" ca="1" si="5"/>
        <v>20108</v>
      </c>
      <c r="E22" s="302">
        <f t="shared" ca="1" si="6"/>
        <v>110</v>
      </c>
      <c r="F22" s="343" t="str">
        <f t="shared" ca="1" si="7"/>
        <v>91030375979891999889654364</v>
      </c>
      <c r="G22" s="381" t="b">
        <f t="shared" ca="1" si="8"/>
        <v>0</v>
      </c>
      <c r="H22" s="382">
        <f t="shared" si="9"/>
        <v>12</v>
      </c>
      <c r="I22" s="383">
        <f t="shared" ca="1" si="10"/>
        <v>14079</v>
      </c>
      <c r="J22" s="384" t="str">
        <f ca="1">IF(N(I22)&gt;0,VLOOKUP(I22,Hraci!$A$1:$I$1500,2,0),IF(TYPE(INDIRECT(ADDRESS(ROW() + $A$9-9 + (ROW()-11)*4,2,1,1,"Internet")))&gt;1,INDIRECT(ADDRESS(ROW() + $A$9-9 + (ROW()-11)*4,2,1,1,"Internet"))," "))</f>
        <v>Heller</v>
      </c>
      <c r="K22" s="385" t="str">
        <f ca="1">IF(N(I22)&gt;0,VLOOKUP(I22,Hraci!$A$1:$I$1500,3,0)," ")</f>
        <v>Jan</v>
      </c>
      <c r="L22" s="385" t="str">
        <f ca="1">IF(N(I22)&gt;0,VLOOKUP(I22,Hraci!$A$1:$I$1500,5,0),IF(TYPE(INDIRECT(ADDRESS(ROW() + $A$9-9 + (ROW()-11)*4,3,1,1,"Internet")))&gt;1,INDIRECT(ADDRESS(ROW() + $A$9-9 + (ROW()-11)*4,3,1,1,"Internet"))," "))</f>
        <v>PC Mimo Done</v>
      </c>
      <c r="M22" s="319">
        <f ca="1">IF(N(I22)=0,9999,VLOOKUP(I22,Hraci!$A$1:$I$1500,8,0))</f>
        <v>110</v>
      </c>
      <c r="N22" s="386">
        <f ca="1">IF(N(I22)=0,0,VLOOKUP(I22,Hraci!$A$1:$I$1500,9,0))</f>
        <v>30.375</v>
      </c>
      <c r="O22" s="383" t="str">
        <f t="shared" ca="1" si="11"/>
        <v/>
      </c>
      <c r="P22" s="384" t="str">
        <f ca="1">IF(N(O22)&gt;0,VLOOKUP(O22,Hraci!$A$1:$I$1500,2,0),IF(TYPE(INDIRECT(ADDRESS(ROW() + $A$9-8 + (ROW()-11)*4,2,1,1,"Internet")))&gt;1,INDIRECT(ADDRESS(ROW() + $A$9-8 + (ROW()-11)*4,2,1,1,"Internet"))," "))</f>
        <v xml:space="preserve"> </v>
      </c>
      <c r="Q22" s="385" t="str">
        <f ca="1">IF(N(O22)&gt;0,VLOOKUP(O22,Hraci!$A$1:$I$1500,3,0)," ")</f>
        <v xml:space="preserve"> </v>
      </c>
      <c r="R22" s="385" t="str">
        <f ca="1">IF(N(O22)&gt;0,VLOOKUP(O22,Hraci!$A$1:$I$1500,5,0),IF(TYPE(INDIRECT(ADDRESS(ROW() + $A$9-8 + (ROW()-11)*4,3,1,1,"Internet")))&gt;1,INDIRECT(ADDRESS(ROW() + $A$9-8 + (ROW()-11)*4,3,1,1,"Internet"))," "))</f>
        <v xml:space="preserve"> </v>
      </c>
      <c r="S22" s="319">
        <f ca="1">IF(N(O22)=0,9999,VLOOKUP(O22,Hraci!$A$1:$I$1500,8,0))</f>
        <v>9999</v>
      </c>
      <c r="T22" s="386">
        <f ca="1">IF(N(O22)=0,0,VLOOKUP(O22,Hraci!$A$1:$I$1500,9,0))</f>
        <v>0</v>
      </c>
      <c r="U22" s="383" t="str">
        <f t="shared" ca="1" si="12"/>
        <v/>
      </c>
      <c r="V22" s="384" t="str">
        <f ca="1">IF(N(U22)&gt;0,VLOOKUP(U22,Hraci!$A$1:$I$1500,2,0),IF(TYPE(INDIRECT(ADDRESS(ROW() + $A$9-7 + (ROW()-11)*4,2,1,1,"Internet")))&gt;1,INDIRECT(ADDRESS(ROW() + $A$9-7 + (ROW()-11)*4,2,1,1,"Internet"))," "))</f>
        <v xml:space="preserve"> </v>
      </c>
      <c r="W22" s="385" t="str">
        <f ca="1">IF(N(U22)&gt;0,VLOOKUP(U22,Hraci!$A$1:$I$1500,3,0)," ")</f>
        <v xml:space="preserve"> </v>
      </c>
      <c r="X22" s="385" t="str">
        <f ca="1">IF(N(U22)&gt;0,VLOOKUP(U22,Hraci!$A$1:$I$1500,5,0),IF(TYPE(INDIRECT(ADDRESS(ROW() + $A$9-7 + (ROW()-11)*4,3,1,1,"Internet")))&gt;1,INDIRECT(ADDRESS(ROW() + $A$9-7 + (ROW()-11)*4,3,1,1,"Internet"))," "))</f>
        <v xml:space="preserve"> </v>
      </c>
      <c r="Y22" s="319">
        <f ca="1">IF(N(U22)=0,9999,VLOOKUP(U22,Hraci!$A$1:$I$1500,8,0))</f>
        <v>9999</v>
      </c>
      <c r="Z22" s="386">
        <f ca="1">IF(N(U22)=0,0,VLOOKUP(U22,Hraci!$A$1:$I$1500,9,0))</f>
        <v>0</v>
      </c>
      <c r="AA22" s="383" t="str">
        <f t="shared" ca="1" si="13"/>
        <v/>
      </c>
      <c r="AB22" s="384" t="str">
        <f ca="1">IF(N(AA22)&gt;0,VLOOKUP(AA22,Hraci!$A$1:$I$1500,2,0)," ")</f>
        <v xml:space="preserve"> </v>
      </c>
      <c r="AC22" s="385" t="str">
        <f ca="1">IF(N(AA22)&gt;0,VLOOKUP(AA22,Hraci!$A$1:$I$1500,3,0)," ")</f>
        <v xml:space="preserve"> </v>
      </c>
      <c r="AD22" s="385" t="str">
        <f ca="1">IF(N(AA22)&gt;0,VLOOKUP(AA22,Hraci!$A$1:$I$1500,5,0)," ")</f>
        <v xml:space="preserve"> </v>
      </c>
      <c r="AE22" s="319">
        <f ca="1">IF(N(AA22)=0,9999,VLOOKUP(AA22,Hraci!$A$1:$I$1500,8,0))</f>
        <v>9999</v>
      </c>
      <c r="AF22" s="386">
        <f ca="1">IF(N(AA22)=0,0,VLOOKUP(AA22,Hraci!$A$1:$I$1500,9,0))</f>
        <v>0</v>
      </c>
      <c r="AG22" s="391"/>
      <c r="AH22" s="427">
        <f ca="1">IF(TYPE(VLOOKUP(H22,Centrum!$A$3:$E$130,5,0))&lt;4,VLOOKUP(H22,Centrum!$A$3:$E$130,5,0),0)</f>
        <v>16</v>
      </c>
      <c r="AI22" s="387">
        <f ca="1">IF(N($AH22)&gt;0,VLOOKUP($AH22,Body!$A$4:$F$259,5,0),"")</f>
        <v>76.656374999999997</v>
      </c>
      <c r="AJ22" s="388">
        <f ca="1">IF(N($AH22)&gt;0,VLOOKUP($AH22,Body!$A$4:$F$259,6,0),"")</f>
        <v>0</v>
      </c>
      <c r="AK22" s="387">
        <f ca="1">IF(N($AH22)&gt;0,VLOOKUP($AH22,Body!$A$4:$F$259,2,0),"")</f>
        <v>2</v>
      </c>
      <c r="AL22" s="389" t="str">
        <f t="shared" ca="1" si="14"/>
        <v>12 PC Mimo Done - Heller Jan</v>
      </c>
      <c r="AM22" s="390">
        <f t="shared" ca="1" si="15"/>
        <v>30.375</v>
      </c>
      <c r="AN22" s="319">
        <f ca="1">IF(OR(TYPE(I22)&gt;1,TYPE(MATCH(I22,I23:I$139,0))&gt;1),0,MATCH(I22,I23:I$139,0))+IF(OR(TYPE(I22)&gt;1,TYPE(MATCH(I22,O$11:O$139,0))&gt;1),0,MATCH(I22,O$11:O$139,0))+IF(OR(TYPE(I22)&gt;1,TYPE(MATCH(I22,U$11:U$139,0))&gt;1),0,MATCH(I22,U$11:U$139,0))+IF(OR(TYPE(I22)&gt;1,TYPE(MATCH(I22,AA$11:AA$139,0))&gt;1),0,MATCH(I22,AA$11:AA$139,0))</f>
        <v>0</v>
      </c>
      <c r="AO22" s="319">
        <f ca="1">IF(OR(TYPE(O22)&gt;1,TYPE(MATCH(O22,I$11:I$139,0))&gt;1),0,MATCH(O22,I$11:I$139,0))+IF(OR(TYPE(O22)&gt;1,TYPE(MATCH(O22,O23:O$139,0))&gt;1),0,MATCH(O22,O23:O$139,0))+IF(OR(TYPE(O22)&gt;1,TYPE(MATCH(O22,U$11:U$139,0))&gt;1),0,MATCH(O22,U$11:U$139,0))+IF(OR(TYPE(O22)&gt;1,TYPE(MATCH(O22,AA$11:AA$139,0))&gt;1),0,MATCH(O22,AA$11:AA$139,0))</f>
        <v>0</v>
      </c>
      <c r="AP22" s="319">
        <f ca="1">IF(OR(TYPE(U22)&gt;1,TYPE(MATCH(U22,I$11:I$139,0))&gt;1),0,MATCH(U22,I$11:I$139,0))+IF(OR(TYPE(U22)&gt;1,TYPE(MATCH(U22,O$11:O$139,0))&gt;1),0,MATCH(U22,O$11:O$139,0))+IF(OR(TYPE(U22)&gt;1,TYPE(MATCH(U22,U23:U$139,0))&gt;1),0,MATCH(U22,U23:U$139,0))+IF(OR(TYPE(U22)&gt;1,TYPE(MATCH(U22,AA$11:AA$139,0))&gt;1),0,MATCH(U22,AA$11:AA$139,0))</f>
        <v>0</v>
      </c>
      <c r="AQ22" s="319">
        <f ca="1">IF(OR(TYPE(AA22)&gt;1,TYPE(MATCH(AA22,I$11:I$139,0))&gt;1),0,MATCH(AA22,I$11:I$139,0))+IF(OR(TYPE(AA22)&gt;1,TYPE(MATCH(AA22,O$11:O$139,0))&gt;1),0,MATCH(AA22,O$11:O$139,0))+IF(OR(TYPE(AA22)&gt;1,TYPE(MATCH(AA22,U$11:U$139,0))&gt;1),0,MATCH(U22,U$11:U$139,0))+IF(OR(TYPE(AA22)&gt;1,TYPE(MATCH(AA22,AA23:AA$139,0))&gt;1),0,MATCH(AA22,AA23:AA$139,0))</f>
        <v>0</v>
      </c>
      <c r="AR22" s="319">
        <f t="shared" ca="1" si="18"/>
        <v>0</v>
      </c>
      <c r="AT22" s="318">
        <f t="shared" ca="1" si="16"/>
        <v>0</v>
      </c>
      <c r="AU22" s="318">
        <f ca="1">IF(AND(N(I22)&gt;0,TYPE(VLOOKUP(I22,Hraci!$A$5:$A$800,1,0))&gt;3),1,0) + IF(AND(N(O22)&gt;0,TYPE(VLOOKUP(O22,Hraci!$A$5:$A$800,1,0))&gt;3),1,0) + IF(AND(N(U22)&gt;0,TYPE(VLOOKUP(U22,Hraci!$A$5:$A$800,1,0))&gt;3),1,0)</f>
        <v>0</v>
      </c>
      <c r="BF22" s="319">
        <f t="shared" si="17"/>
        <v>12</v>
      </c>
    </row>
    <row r="23" spans="1:58" ht="12.9" x14ac:dyDescent="0.45">
      <c r="A23" s="302">
        <f t="shared" ca="1" si="2"/>
        <v>1</v>
      </c>
      <c r="B23" s="302">
        <f t="shared" ca="1" si="3"/>
        <v>1</v>
      </c>
      <c r="C23" s="302">
        <f t="shared" ca="1" si="4"/>
        <v>30.312999999999999</v>
      </c>
      <c r="D23" s="302">
        <f t="shared" ca="1" si="5"/>
        <v>20058</v>
      </c>
      <c r="E23" s="302">
        <f t="shared" ca="1" si="6"/>
        <v>60</v>
      </c>
      <c r="F23" s="343" t="str">
        <f t="shared" ca="1" si="7"/>
        <v>91030313979941999939762125</v>
      </c>
      <c r="G23" s="381" t="b">
        <f t="shared" ca="1" si="8"/>
        <v>0</v>
      </c>
      <c r="H23" s="382">
        <f t="shared" si="9"/>
        <v>13</v>
      </c>
      <c r="I23" s="383">
        <f t="shared" ca="1" si="10"/>
        <v>14074</v>
      </c>
      <c r="J23" s="384" t="str">
        <f ca="1">IF(N(I23)&gt;0,VLOOKUP(I23,Hraci!$A$1:$I$1500,2,0),IF(TYPE(INDIRECT(ADDRESS(ROW() + $A$9-9 + (ROW()-11)*4,2,1,1,"Internet")))&gt;1,INDIRECT(ADDRESS(ROW() + $A$9-9 + (ROW()-11)*4,2,1,1,"Internet"))," "))</f>
        <v>Froňková</v>
      </c>
      <c r="K23" s="385" t="str">
        <f ca="1">IF(N(I23)&gt;0,VLOOKUP(I23,Hraci!$A$1:$I$1500,3,0)," ")</f>
        <v>Blanka</v>
      </c>
      <c r="L23" s="385" t="str">
        <f ca="1">IF(N(I23)&gt;0,VLOOKUP(I23,Hraci!$A$1:$I$1500,5,0),IF(TYPE(INDIRECT(ADDRESS(ROW() + $A$9-9 + (ROW()-11)*4,3,1,1,"Internet")))&gt;1,INDIRECT(ADDRESS(ROW() + $A$9-9 + (ROW()-11)*4,3,1,1,"Internet"))," "))</f>
        <v>PC Sokol Lipník</v>
      </c>
      <c r="M23" s="319">
        <f ca="1">IF(N(I23)=0,9999,VLOOKUP(I23,Hraci!$A$1:$I$1500,8,0))</f>
        <v>60</v>
      </c>
      <c r="N23" s="386">
        <f ca="1">IF(N(I23)=0,0,VLOOKUP(I23,Hraci!$A$1:$I$1500,9,0))</f>
        <v>30.312999999999999</v>
      </c>
      <c r="O23" s="383" t="str">
        <f t="shared" ca="1" si="11"/>
        <v/>
      </c>
      <c r="P23" s="384" t="str">
        <f ca="1">IF(N(O23)&gt;0,VLOOKUP(O23,Hraci!$A$1:$I$1500,2,0),IF(TYPE(INDIRECT(ADDRESS(ROW() + $A$9-8 + (ROW()-11)*4,2,1,1,"Internet")))&gt;1,INDIRECT(ADDRESS(ROW() + $A$9-8 + (ROW()-11)*4,2,1,1,"Internet"))," "))</f>
        <v xml:space="preserve"> </v>
      </c>
      <c r="Q23" s="385" t="str">
        <f ca="1">IF(N(O23)&gt;0,VLOOKUP(O23,Hraci!$A$1:$I$1500,3,0)," ")</f>
        <v xml:space="preserve"> </v>
      </c>
      <c r="R23" s="385" t="str">
        <f ca="1">IF(N(O23)&gt;0,VLOOKUP(O23,Hraci!$A$1:$I$1500,5,0),IF(TYPE(INDIRECT(ADDRESS(ROW() + $A$9-8 + (ROW()-11)*4,3,1,1,"Internet")))&gt;1,INDIRECT(ADDRESS(ROW() + $A$9-8 + (ROW()-11)*4,3,1,1,"Internet"))," "))</f>
        <v xml:space="preserve"> </v>
      </c>
      <c r="S23" s="319">
        <f ca="1">IF(N(O23)=0,9999,VLOOKUP(O23,Hraci!$A$1:$I$1500,8,0))</f>
        <v>9999</v>
      </c>
      <c r="T23" s="386">
        <f ca="1">IF(N(O23)=0,0,VLOOKUP(O23,Hraci!$A$1:$I$1500,9,0))</f>
        <v>0</v>
      </c>
      <c r="U23" s="383" t="str">
        <f t="shared" ca="1" si="12"/>
        <v/>
      </c>
      <c r="V23" s="384" t="str">
        <f ca="1">IF(N(U23)&gt;0,VLOOKUP(U23,Hraci!$A$1:$I$1500,2,0),IF(TYPE(INDIRECT(ADDRESS(ROW() + $A$9-7 + (ROW()-11)*4,2,1,1,"Internet")))&gt;1,INDIRECT(ADDRESS(ROW() + $A$9-7 + (ROW()-11)*4,2,1,1,"Internet"))," "))</f>
        <v xml:space="preserve"> </v>
      </c>
      <c r="W23" s="385" t="str">
        <f ca="1">IF(N(U23)&gt;0,VLOOKUP(U23,Hraci!$A$1:$I$1500,3,0)," ")</f>
        <v xml:space="preserve"> </v>
      </c>
      <c r="X23" s="385" t="str">
        <f ca="1">IF(N(U23)&gt;0,VLOOKUP(U23,Hraci!$A$1:$I$1500,5,0),IF(TYPE(INDIRECT(ADDRESS(ROW() + $A$9-7 + (ROW()-11)*4,3,1,1,"Internet")))&gt;1,INDIRECT(ADDRESS(ROW() + $A$9-7 + (ROW()-11)*4,3,1,1,"Internet"))," "))</f>
        <v xml:space="preserve"> </v>
      </c>
      <c r="Y23" s="319">
        <f ca="1">IF(N(U23)=0,9999,VLOOKUP(U23,Hraci!$A$1:$I$1500,8,0))</f>
        <v>9999</v>
      </c>
      <c r="Z23" s="386">
        <f ca="1">IF(N(U23)=0,0,VLOOKUP(U23,Hraci!$A$1:$I$1500,9,0))</f>
        <v>0</v>
      </c>
      <c r="AA23" s="383" t="str">
        <f t="shared" ca="1" si="13"/>
        <v/>
      </c>
      <c r="AB23" s="384" t="str">
        <f ca="1">IF(N(AA23)&gt;0,VLOOKUP(AA23,Hraci!$A$1:$I$1500,2,0)," ")</f>
        <v xml:space="preserve"> </v>
      </c>
      <c r="AC23" s="385" t="str">
        <f ca="1">IF(N(AA23)&gt;0,VLOOKUP(AA23,Hraci!$A$1:$I$1500,3,0)," ")</f>
        <v xml:space="preserve"> </v>
      </c>
      <c r="AD23" s="385" t="str">
        <f ca="1">IF(N(AA23)&gt;0,VLOOKUP(AA23,Hraci!$A$1:$I$1500,5,0)," ")</f>
        <v xml:space="preserve"> </v>
      </c>
      <c r="AE23" s="319">
        <f ca="1">IF(N(AA23)=0,9999,VLOOKUP(AA23,Hraci!$A$1:$I$1500,8,0))</f>
        <v>9999</v>
      </c>
      <c r="AF23" s="386">
        <f ca="1">IF(N(AA23)=0,0,VLOOKUP(AA23,Hraci!$A$1:$I$1500,9,0))</f>
        <v>0</v>
      </c>
      <c r="AG23" s="391"/>
      <c r="AH23" s="427">
        <f ca="1">IF(TYPE(VLOOKUP(H23,Centrum!$A$3:$E$130,5,0))&lt;4,VLOOKUP(H23,Centrum!$A$3:$E$130,5,0),0)</f>
        <v>41</v>
      </c>
      <c r="AI23" s="387">
        <f ca="1">IF(N($AH23)&gt;0,VLOOKUP($AH23,Body!$A$4:$F$259,5,0),"")</f>
        <v>27.548384765624998</v>
      </c>
      <c r="AJ23" s="388">
        <f ca="1">IF(N($AH23)&gt;0,VLOOKUP($AH23,Body!$A$4:$F$259,6,0),"")</f>
        <v>0</v>
      </c>
      <c r="AK23" s="387">
        <f ca="1">IF(N($AH23)&gt;0,VLOOKUP($AH23,Body!$A$4:$F$259,2,0),"")</f>
        <v>0.71875</v>
      </c>
      <c r="AL23" s="389" t="str">
        <f t="shared" ca="1" si="14"/>
        <v>13 PC Sokol Lipník - Froňková Blanka</v>
      </c>
      <c r="AM23" s="390">
        <f t="shared" ca="1" si="15"/>
        <v>30.312999999999999</v>
      </c>
      <c r="AN23" s="319">
        <f ca="1">IF(OR(TYPE(I23)&gt;1,TYPE(MATCH(I23,I24:I$139,0))&gt;1),0,MATCH(I23,I24:I$139,0))+IF(OR(TYPE(I23)&gt;1,TYPE(MATCH(I23,O$11:O$139,0))&gt;1),0,MATCH(I23,O$11:O$139,0))+IF(OR(TYPE(I23)&gt;1,TYPE(MATCH(I23,U$11:U$139,0))&gt;1),0,MATCH(I23,U$11:U$139,0))+IF(OR(TYPE(I23)&gt;1,TYPE(MATCH(I23,AA$11:AA$139,0))&gt;1),0,MATCH(I23,AA$11:AA$139,0))</f>
        <v>0</v>
      </c>
      <c r="AO23" s="319">
        <f ca="1">IF(OR(TYPE(O23)&gt;1,TYPE(MATCH(O23,I$11:I$139,0))&gt;1),0,MATCH(O23,I$11:I$139,0))+IF(OR(TYPE(O23)&gt;1,TYPE(MATCH(O23,O24:O$139,0))&gt;1),0,MATCH(O23,O24:O$139,0))+IF(OR(TYPE(O23)&gt;1,TYPE(MATCH(O23,U$11:U$139,0))&gt;1),0,MATCH(O23,U$11:U$139,0))+IF(OR(TYPE(O23)&gt;1,TYPE(MATCH(O23,AA$11:AA$139,0))&gt;1),0,MATCH(O23,AA$11:AA$139,0))</f>
        <v>0</v>
      </c>
      <c r="AP23" s="319">
        <f ca="1">IF(OR(TYPE(U23)&gt;1,TYPE(MATCH(U23,I$11:I$139,0))&gt;1),0,MATCH(U23,I$11:I$139,0))+IF(OR(TYPE(U23)&gt;1,TYPE(MATCH(U23,O$11:O$139,0))&gt;1),0,MATCH(U23,O$11:O$139,0))+IF(OR(TYPE(U23)&gt;1,TYPE(MATCH(U23,U24:U$139,0))&gt;1),0,MATCH(U23,U24:U$139,0))+IF(OR(TYPE(U23)&gt;1,TYPE(MATCH(U23,AA$11:AA$139,0))&gt;1),0,MATCH(U23,AA$11:AA$139,0))</f>
        <v>0</v>
      </c>
      <c r="AQ23" s="319">
        <f ca="1">IF(OR(TYPE(AA23)&gt;1,TYPE(MATCH(AA23,I$11:I$139,0))&gt;1),0,MATCH(AA23,I$11:I$139,0))+IF(OR(TYPE(AA23)&gt;1,TYPE(MATCH(AA23,O$11:O$139,0))&gt;1),0,MATCH(AA23,O$11:O$139,0))+IF(OR(TYPE(AA23)&gt;1,TYPE(MATCH(AA23,U$11:U$139,0))&gt;1),0,MATCH(U23,U$11:U$139,0))+IF(OR(TYPE(AA23)&gt;1,TYPE(MATCH(AA23,AA24:AA$139,0))&gt;1),0,MATCH(AA23,AA24:AA$139,0))</f>
        <v>0</v>
      </c>
      <c r="AR23" s="319">
        <f t="shared" ca="1" si="18"/>
        <v>0</v>
      </c>
      <c r="AT23" s="318">
        <f t="shared" ca="1" si="16"/>
        <v>0</v>
      </c>
      <c r="AU23" s="318">
        <f ca="1">IF(AND(N(I23)&gt;0,TYPE(VLOOKUP(I23,Hraci!$A$5:$A$800,1,0))&gt;3),1,0) + IF(AND(N(O23)&gt;0,TYPE(VLOOKUP(O23,Hraci!$A$5:$A$800,1,0))&gt;3),1,0) + IF(AND(N(U23)&gt;0,TYPE(VLOOKUP(U23,Hraci!$A$5:$A$800,1,0))&gt;3),1,0)</f>
        <v>0</v>
      </c>
      <c r="BF23" s="319">
        <f t="shared" si="17"/>
        <v>13</v>
      </c>
    </row>
    <row r="24" spans="1:58" ht="12.9" x14ac:dyDescent="0.45">
      <c r="A24" s="302">
        <f t="shared" ca="1" si="2"/>
        <v>1</v>
      </c>
      <c r="B24" s="302">
        <f t="shared" ca="1" si="3"/>
        <v>1</v>
      </c>
      <c r="C24" s="302">
        <f t="shared" ca="1" si="4"/>
        <v>29.875</v>
      </c>
      <c r="D24" s="302">
        <f t="shared" ca="1" si="5"/>
        <v>20112</v>
      </c>
      <c r="E24" s="302">
        <f t="shared" ca="1" si="6"/>
        <v>114</v>
      </c>
      <c r="F24" s="343" t="str">
        <f t="shared" ca="1" si="7"/>
        <v>91029875979887999885212070</v>
      </c>
      <c r="G24" s="381" t="b">
        <f t="shared" ca="1" si="8"/>
        <v>0</v>
      </c>
      <c r="H24" s="382">
        <f t="shared" si="9"/>
        <v>14</v>
      </c>
      <c r="I24" s="383">
        <f t="shared" ca="1" si="10"/>
        <v>98446</v>
      </c>
      <c r="J24" s="384" t="str">
        <f ca="1">IF(N(I24)&gt;0,VLOOKUP(I24,Hraci!$A$1:$I$1500,2,0),IF(TYPE(INDIRECT(ADDRESS(ROW() + $A$9-9 + (ROW()-11)*4,2,1,1,"Internet")))&gt;1,INDIRECT(ADDRESS(ROW() + $A$9-9 + (ROW()-11)*4,2,1,1,"Internet"))," "))</f>
        <v>Morávek</v>
      </c>
      <c r="K24" s="385" t="str">
        <f ca="1">IF(N(I24)&gt;0,VLOOKUP(I24,Hraci!$A$1:$I$1500,3,0)," ")</f>
        <v>Petr</v>
      </c>
      <c r="L24" s="385" t="str">
        <f ca="1">IF(N(I24)&gt;0,VLOOKUP(I24,Hraci!$A$1:$I$1500,5,0),IF(TYPE(INDIRECT(ADDRESS(ROW() + $A$9-9 + (ROW()-11)*4,3,1,1,"Internet")))&gt;1,INDIRECT(ADDRESS(ROW() + $A$9-9 + (ROW()-11)*4,3,1,1,"Internet"))," "))</f>
        <v>PC Sokol Lipník</v>
      </c>
      <c r="M24" s="319">
        <f ca="1">IF(N(I24)=0,9999,VLOOKUP(I24,Hraci!$A$1:$I$1500,8,0))</f>
        <v>114</v>
      </c>
      <c r="N24" s="386">
        <f ca="1">IF(N(I24)=0,0,VLOOKUP(I24,Hraci!$A$1:$I$1500,9,0))</f>
        <v>29.875</v>
      </c>
      <c r="O24" s="383" t="str">
        <f t="shared" ca="1" si="11"/>
        <v/>
      </c>
      <c r="P24" s="384" t="str">
        <f ca="1">IF(N(O24)&gt;0,VLOOKUP(O24,Hraci!$A$1:$I$1500,2,0),IF(TYPE(INDIRECT(ADDRESS(ROW() + $A$9-8 + (ROW()-11)*4,2,1,1,"Internet")))&gt;1,INDIRECT(ADDRESS(ROW() + $A$9-8 + (ROW()-11)*4,2,1,1,"Internet"))," "))</f>
        <v xml:space="preserve"> </v>
      </c>
      <c r="Q24" s="385" t="str">
        <f ca="1">IF(N(O24)&gt;0,VLOOKUP(O24,Hraci!$A$1:$I$1500,3,0)," ")</f>
        <v xml:space="preserve"> </v>
      </c>
      <c r="R24" s="385" t="str">
        <f ca="1">IF(N(O24)&gt;0,VLOOKUP(O24,Hraci!$A$1:$I$1500,5,0),IF(TYPE(INDIRECT(ADDRESS(ROW() + $A$9-8 + (ROW()-11)*4,3,1,1,"Internet")))&gt;1,INDIRECT(ADDRESS(ROW() + $A$9-8 + (ROW()-11)*4,3,1,1,"Internet"))," "))</f>
        <v xml:space="preserve"> </v>
      </c>
      <c r="S24" s="319">
        <f ca="1">IF(N(O24)=0,9999,VLOOKUP(O24,Hraci!$A$1:$I$1500,8,0))</f>
        <v>9999</v>
      </c>
      <c r="T24" s="386">
        <f ca="1">IF(N(O24)=0,0,VLOOKUP(O24,Hraci!$A$1:$I$1500,9,0))</f>
        <v>0</v>
      </c>
      <c r="U24" s="383" t="str">
        <f t="shared" ca="1" si="12"/>
        <v/>
      </c>
      <c r="V24" s="384" t="str">
        <f ca="1">IF(N(U24)&gt;0,VLOOKUP(U24,Hraci!$A$1:$I$1500,2,0),IF(TYPE(INDIRECT(ADDRESS(ROW() + $A$9-7 + (ROW()-11)*4,2,1,1,"Internet")))&gt;1,INDIRECT(ADDRESS(ROW() + $A$9-7 + (ROW()-11)*4,2,1,1,"Internet"))," "))</f>
        <v xml:space="preserve"> </v>
      </c>
      <c r="W24" s="385" t="str">
        <f ca="1">IF(N(U24)&gt;0,VLOOKUP(U24,Hraci!$A$1:$I$1500,3,0)," ")</f>
        <v xml:space="preserve"> </v>
      </c>
      <c r="X24" s="385" t="str">
        <f ca="1">IF(N(U24)&gt;0,VLOOKUP(U24,Hraci!$A$1:$I$1500,5,0),IF(TYPE(INDIRECT(ADDRESS(ROW() + $A$9-7 + (ROW()-11)*4,3,1,1,"Internet")))&gt;1,INDIRECT(ADDRESS(ROW() + $A$9-7 + (ROW()-11)*4,3,1,1,"Internet"))," "))</f>
        <v xml:space="preserve"> </v>
      </c>
      <c r="Y24" s="319">
        <f ca="1">IF(N(U24)=0,9999,VLOOKUP(U24,Hraci!$A$1:$I$1500,8,0))</f>
        <v>9999</v>
      </c>
      <c r="Z24" s="386">
        <f ca="1">IF(N(U24)=0,0,VLOOKUP(U24,Hraci!$A$1:$I$1500,9,0))</f>
        <v>0</v>
      </c>
      <c r="AA24" s="383" t="str">
        <f t="shared" ca="1" si="13"/>
        <v/>
      </c>
      <c r="AB24" s="384" t="str">
        <f ca="1">IF(N(AA24)&gt;0,VLOOKUP(AA24,Hraci!$A$1:$I$1500,2,0)," ")</f>
        <v xml:space="preserve"> </v>
      </c>
      <c r="AC24" s="385" t="str">
        <f ca="1">IF(N(AA24)&gt;0,VLOOKUP(AA24,Hraci!$A$1:$I$1500,3,0)," ")</f>
        <v xml:space="preserve"> </v>
      </c>
      <c r="AD24" s="385" t="str">
        <f ca="1">IF(N(AA24)&gt;0,VLOOKUP(AA24,Hraci!$A$1:$I$1500,5,0)," ")</f>
        <v xml:space="preserve"> </v>
      </c>
      <c r="AE24" s="319">
        <f ca="1">IF(N(AA24)=0,9999,VLOOKUP(AA24,Hraci!$A$1:$I$1500,8,0))</f>
        <v>9999</v>
      </c>
      <c r="AF24" s="386">
        <f ca="1">IF(N(AA24)=0,0,VLOOKUP(AA24,Hraci!$A$1:$I$1500,9,0))</f>
        <v>0</v>
      </c>
      <c r="AG24" s="391"/>
      <c r="AH24" s="427">
        <f ca="1">IF(TYPE(VLOOKUP(H24,Centrum!$A$3:$E$130,5,0))&lt;4,VLOOKUP(H24,Centrum!$A$3:$E$130,5,0),0)</f>
        <v>2</v>
      </c>
      <c r="AI24" s="387">
        <f ca="1">IF(N($AH24)&gt;0,VLOOKUP($AH24,Body!$A$4:$F$259,5,0),"")</f>
        <v>191.64093750000001</v>
      </c>
      <c r="AJ24" s="388">
        <f ca="1">IF(N($AH24)&gt;0,VLOOKUP($AH24,Body!$A$4:$F$259,6,0),"")</f>
        <v>0</v>
      </c>
      <c r="AK24" s="387">
        <f ca="1">IF(N($AH24)&gt;0,VLOOKUP($AH24,Body!$A$4:$F$259,2,0),"")</f>
        <v>5</v>
      </c>
      <c r="AL24" s="389" t="str">
        <f t="shared" ca="1" si="14"/>
        <v>14 PC Sokol Lipník - Morávek Petr</v>
      </c>
      <c r="AM24" s="390">
        <f t="shared" ca="1" si="15"/>
        <v>29.875</v>
      </c>
      <c r="AN24" s="319">
        <f ca="1">IF(OR(TYPE(I24)&gt;1,TYPE(MATCH(I24,I25:I$139,0))&gt;1),0,MATCH(I24,I25:I$139,0))+IF(OR(TYPE(I24)&gt;1,TYPE(MATCH(I24,O$11:O$139,0))&gt;1),0,MATCH(I24,O$11:O$139,0))+IF(OR(TYPE(I24)&gt;1,TYPE(MATCH(I24,U$11:U$139,0))&gt;1),0,MATCH(I24,U$11:U$139,0))+IF(OR(TYPE(I24)&gt;1,TYPE(MATCH(I24,AA$11:AA$139,0))&gt;1),0,MATCH(I24,AA$11:AA$139,0))</f>
        <v>0</v>
      </c>
      <c r="AO24" s="319">
        <f ca="1">IF(OR(TYPE(O24)&gt;1,TYPE(MATCH(O24,I$11:I$139,0))&gt;1),0,MATCH(O24,I$11:I$139,0))+IF(OR(TYPE(O24)&gt;1,TYPE(MATCH(O24,O25:O$139,0))&gt;1),0,MATCH(O24,O25:O$139,0))+IF(OR(TYPE(O24)&gt;1,TYPE(MATCH(O24,U$11:U$139,0))&gt;1),0,MATCH(O24,U$11:U$139,0))+IF(OR(TYPE(O24)&gt;1,TYPE(MATCH(O24,AA$11:AA$139,0))&gt;1),0,MATCH(O24,AA$11:AA$139,0))</f>
        <v>0</v>
      </c>
      <c r="AP24" s="319">
        <f ca="1">IF(OR(TYPE(U24)&gt;1,TYPE(MATCH(U24,I$11:I$139,0))&gt;1),0,MATCH(U24,I$11:I$139,0))+IF(OR(TYPE(U24)&gt;1,TYPE(MATCH(U24,O$11:O$139,0))&gt;1),0,MATCH(U24,O$11:O$139,0))+IF(OR(TYPE(U24)&gt;1,TYPE(MATCH(U24,U25:U$139,0))&gt;1),0,MATCH(U24,U25:U$139,0))+IF(OR(TYPE(U24)&gt;1,TYPE(MATCH(U24,AA$11:AA$139,0))&gt;1),0,MATCH(U24,AA$11:AA$139,0))</f>
        <v>0</v>
      </c>
      <c r="AQ24" s="319">
        <f ca="1">IF(OR(TYPE(AA24)&gt;1,TYPE(MATCH(AA24,I$11:I$139,0))&gt;1),0,MATCH(AA24,I$11:I$139,0))+IF(OR(TYPE(AA24)&gt;1,TYPE(MATCH(AA24,O$11:O$139,0))&gt;1),0,MATCH(AA24,O$11:O$139,0))+IF(OR(TYPE(AA24)&gt;1,TYPE(MATCH(AA24,U$11:U$139,0))&gt;1),0,MATCH(U24,U$11:U$139,0))+IF(OR(TYPE(AA24)&gt;1,TYPE(MATCH(AA24,AA25:AA$139,0))&gt;1),0,MATCH(AA24,AA25:AA$139,0))</f>
        <v>0</v>
      </c>
      <c r="AR24" s="319">
        <f t="shared" ca="1" si="18"/>
        <v>0</v>
      </c>
      <c r="AT24" s="318">
        <f t="shared" ca="1" si="16"/>
        <v>0</v>
      </c>
      <c r="AU24" s="318">
        <f ca="1">IF(AND(N(I24)&gt;0,TYPE(VLOOKUP(I24,Hraci!$A$5:$A$800,1,0))&gt;3),1,0) + IF(AND(N(O24)&gt;0,TYPE(VLOOKUP(O24,Hraci!$A$5:$A$800,1,0))&gt;3),1,0) + IF(AND(N(U24)&gt;0,TYPE(VLOOKUP(U24,Hraci!$A$5:$A$800,1,0))&gt;3),1,0)</f>
        <v>0</v>
      </c>
      <c r="BF24" s="319">
        <f t="shared" si="17"/>
        <v>14</v>
      </c>
    </row>
    <row r="25" spans="1:58" ht="12.9" x14ac:dyDescent="0.45">
      <c r="A25" s="302">
        <f t="shared" ca="1" si="2"/>
        <v>1</v>
      </c>
      <c r="B25" s="302">
        <f t="shared" ca="1" si="3"/>
        <v>1</v>
      </c>
      <c r="C25" s="302">
        <f t="shared" ca="1" si="4"/>
        <v>29.687999999999999</v>
      </c>
      <c r="D25" s="302">
        <f t="shared" ca="1" si="5"/>
        <v>20064</v>
      </c>
      <c r="E25" s="302">
        <f t="shared" ca="1" si="6"/>
        <v>66</v>
      </c>
      <c r="F25" s="343" t="str">
        <f t="shared" ca="1" si="7"/>
        <v>91029688979935999933980321</v>
      </c>
      <c r="G25" s="381" t="b">
        <f t="shared" ca="1" si="8"/>
        <v>0</v>
      </c>
      <c r="H25" s="382">
        <f t="shared" si="9"/>
        <v>15</v>
      </c>
      <c r="I25" s="383">
        <f t="shared" ca="1" si="10"/>
        <v>19001</v>
      </c>
      <c r="J25" s="384" t="str">
        <f ca="1">IF(N(I25)&gt;0,VLOOKUP(I25,Hraci!$A$1:$I$1500,2,0),IF(TYPE(INDIRECT(ADDRESS(ROW() + $A$9-9 + (ROW()-11)*4,2,1,1,"Internet")))&gt;1,INDIRECT(ADDRESS(ROW() + $A$9-9 + (ROW()-11)*4,2,1,1,"Internet"))," "))</f>
        <v>Vlach</v>
      </c>
      <c r="K25" s="385" t="str">
        <f ca="1">IF(N(I25)&gt;0,VLOOKUP(I25,Hraci!$A$1:$I$1500,3,0)," ")</f>
        <v>Jaromír</v>
      </c>
      <c r="L25" s="385" t="str">
        <f ca="1">IF(N(I25)&gt;0,VLOOKUP(I25,Hraci!$A$1:$I$1500,5,0),IF(TYPE(INDIRECT(ADDRESS(ROW() + $A$9-9 + (ROW()-11)*4,3,1,1,"Internet")))&gt;1,INDIRECT(ADDRESS(ROW() + $A$9-9 + (ROW()-11)*4,3,1,1,"Internet"))," "))</f>
        <v>Sokol Kostomlaty</v>
      </c>
      <c r="M25" s="319">
        <f ca="1">IF(N(I25)=0,9999,VLOOKUP(I25,Hraci!$A$1:$I$1500,8,0))</f>
        <v>66</v>
      </c>
      <c r="N25" s="386">
        <f ca="1">IF(N(I25)=0,0,VLOOKUP(I25,Hraci!$A$1:$I$1500,9,0))</f>
        <v>29.687999999999999</v>
      </c>
      <c r="O25" s="383" t="str">
        <f t="shared" ca="1" si="11"/>
        <v/>
      </c>
      <c r="P25" s="384" t="str">
        <f ca="1">IF(N(O25)&gt;0,VLOOKUP(O25,Hraci!$A$1:$I$1500,2,0),IF(TYPE(INDIRECT(ADDRESS(ROW() + $A$9-8 + (ROW()-11)*4,2,1,1,"Internet")))&gt;1,INDIRECT(ADDRESS(ROW() + $A$9-8 + (ROW()-11)*4,2,1,1,"Internet"))," "))</f>
        <v xml:space="preserve"> </v>
      </c>
      <c r="Q25" s="385" t="str">
        <f ca="1">IF(N(O25)&gt;0,VLOOKUP(O25,Hraci!$A$1:$I$1500,3,0)," ")</f>
        <v xml:space="preserve"> </v>
      </c>
      <c r="R25" s="385" t="str">
        <f ca="1">IF(N(O25)&gt;0,VLOOKUP(O25,Hraci!$A$1:$I$1500,5,0),IF(TYPE(INDIRECT(ADDRESS(ROW() + $A$9-8 + (ROW()-11)*4,3,1,1,"Internet")))&gt;1,INDIRECT(ADDRESS(ROW() + $A$9-8 + (ROW()-11)*4,3,1,1,"Internet"))," "))</f>
        <v xml:space="preserve"> </v>
      </c>
      <c r="S25" s="319">
        <f ca="1">IF(N(O25)=0,9999,VLOOKUP(O25,Hraci!$A$1:$I$1500,8,0))</f>
        <v>9999</v>
      </c>
      <c r="T25" s="386">
        <f ca="1">IF(N(O25)=0,0,VLOOKUP(O25,Hraci!$A$1:$I$1500,9,0))</f>
        <v>0</v>
      </c>
      <c r="U25" s="383" t="str">
        <f t="shared" ca="1" si="12"/>
        <v/>
      </c>
      <c r="V25" s="384" t="str">
        <f ca="1">IF(N(U25)&gt;0,VLOOKUP(U25,Hraci!$A$1:$I$1500,2,0),IF(TYPE(INDIRECT(ADDRESS(ROW() + $A$9-7 + (ROW()-11)*4,2,1,1,"Internet")))&gt;1,INDIRECT(ADDRESS(ROW() + $A$9-7 + (ROW()-11)*4,2,1,1,"Internet"))," "))</f>
        <v xml:space="preserve"> </v>
      </c>
      <c r="W25" s="385" t="str">
        <f ca="1">IF(N(U25)&gt;0,VLOOKUP(U25,Hraci!$A$1:$I$1500,3,0)," ")</f>
        <v xml:space="preserve"> </v>
      </c>
      <c r="X25" s="385" t="str">
        <f ca="1">IF(N(U25)&gt;0,VLOOKUP(U25,Hraci!$A$1:$I$1500,5,0),IF(TYPE(INDIRECT(ADDRESS(ROW() + $A$9-7 + (ROW()-11)*4,3,1,1,"Internet")))&gt;1,INDIRECT(ADDRESS(ROW() + $A$9-7 + (ROW()-11)*4,3,1,1,"Internet"))," "))</f>
        <v xml:space="preserve"> </v>
      </c>
      <c r="Y25" s="319">
        <f ca="1">IF(N(U25)=0,9999,VLOOKUP(U25,Hraci!$A$1:$I$1500,8,0))</f>
        <v>9999</v>
      </c>
      <c r="Z25" s="386">
        <f ca="1">IF(N(U25)=0,0,VLOOKUP(U25,Hraci!$A$1:$I$1500,9,0))</f>
        <v>0</v>
      </c>
      <c r="AA25" s="383" t="str">
        <f t="shared" ca="1" si="13"/>
        <v/>
      </c>
      <c r="AB25" s="384" t="str">
        <f ca="1">IF(N(AA25)&gt;0,VLOOKUP(AA25,Hraci!$A$1:$I$1500,2,0)," ")</f>
        <v xml:space="preserve"> </v>
      </c>
      <c r="AC25" s="385" t="str">
        <f ca="1">IF(N(AA25)&gt;0,VLOOKUP(AA25,Hraci!$A$1:$I$1500,3,0)," ")</f>
        <v xml:space="preserve"> </v>
      </c>
      <c r="AD25" s="385" t="str">
        <f ca="1">IF(N(AA25)&gt;0,VLOOKUP(AA25,Hraci!$A$1:$I$1500,5,0)," ")</f>
        <v xml:space="preserve"> </v>
      </c>
      <c r="AE25" s="319">
        <f ca="1">IF(N(AA25)=0,9999,VLOOKUP(AA25,Hraci!$A$1:$I$1500,8,0))</f>
        <v>9999</v>
      </c>
      <c r="AF25" s="386">
        <f ca="1">IF(N(AA25)=0,0,VLOOKUP(AA25,Hraci!$A$1:$I$1500,9,0))</f>
        <v>0</v>
      </c>
      <c r="AG25" s="391"/>
      <c r="AH25" s="427">
        <f ca="1">IF(TYPE(VLOOKUP(H25,Centrum!$A$3:$E$130,5,0))&lt;4,VLOOKUP(H25,Centrum!$A$3:$E$130,5,0),0)</f>
        <v>17</v>
      </c>
      <c r="AI25" s="387">
        <f ca="1">IF(N($AH25)&gt;0,VLOOKUP($AH25,Body!$A$4:$F$259,5,0),"")</f>
        <v>74.260863281249996</v>
      </c>
      <c r="AJ25" s="388">
        <f ca="1">IF(N($AH25)&gt;0,VLOOKUP($AH25,Body!$A$4:$F$259,6,0),"")</f>
        <v>0</v>
      </c>
      <c r="AK25" s="387">
        <f ca="1">IF(N($AH25)&gt;0,VLOOKUP($AH25,Body!$A$4:$F$259,2,0),"")</f>
        <v>1.9375</v>
      </c>
      <c r="AL25" s="389" t="str">
        <f t="shared" ca="1" si="14"/>
        <v>15 Sokol Kostomlaty - Vlach Jaromír</v>
      </c>
      <c r="AM25" s="390">
        <f t="shared" ca="1" si="15"/>
        <v>29.687999999999999</v>
      </c>
      <c r="AN25" s="319">
        <f ca="1">IF(OR(TYPE(I25)&gt;1,TYPE(MATCH(I25,I26:I$139,0))&gt;1),0,MATCH(I25,I26:I$139,0))+IF(OR(TYPE(I25)&gt;1,TYPE(MATCH(I25,O$11:O$139,0))&gt;1),0,MATCH(I25,O$11:O$139,0))+IF(OR(TYPE(I25)&gt;1,TYPE(MATCH(I25,U$11:U$139,0))&gt;1),0,MATCH(I25,U$11:U$139,0))+IF(OR(TYPE(I25)&gt;1,TYPE(MATCH(I25,AA$11:AA$139,0))&gt;1),0,MATCH(I25,AA$11:AA$139,0))</f>
        <v>0</v>
      </c>
      <c r="AO25" s="319">
        <f ca="1">IF(OR(TYPE(O25)&gt;1,TYPE(MATCH(O25,I$11:I$139,0))&gt;1),0,MATCH(O25,I$11:I$139,0))+IF(OR(TYPE(O25)&gt;1,TYPE(MATCH(O25,O26:O$139,0))&gt;1),0,MATCH(O25,O26:O$139,0))+IF(OR(TYPE(O25)&gt;1,TYPE(MATCH(O25,U$11:U$139,0))&gt;1),0,MATCH(O25,U$11:U$139,0))+IF(OR(TYPE(O25)&gt;1,TYPE(MATCH(O25,AA$11:AA$139,0))&gt;1),0,MATCH(O25,AA$11:AA$139,0))</f>
        <v>0</v>
      </c>
      <c r="AP25" s="319">
        <f ca="1">IF(OR(TYPE(U25)&gt;1,TYPE(MATCH(U25,I$11:I$139,0))&gt;1),0,MATCH(U25,I$11:I$139,0))+IF(OR(TYPE(U25)&gt;1,TYPE(MATCH(U25,O$11:O$139,0))&gt;1),0,MATCH(U25,O$11:O$139,0))+IF(OR(TYPE(U25)&gt;1,TYPE(MATCH(U25,U26:U$139,0))&gt;1),0,MATCH(U25,U26:U$139,0))+IF(OR(TYPE(U25)&gt;1,TYPE(MATCH(U25,AA$11:AA$139,0))&gt;1),0,MATCH(U25,AA$11:AA$139,0))</f>
        <v>0</v>
      </c>
      <c r="AQ25" s="319">
        <f ca="1">IF(OR(TYPE(AA25)&gt;1,TYPE(MATCH(AA25,I$11:I$139,0))&gt;1),0,MATCH(AA25,I$11:I$139,0))+IF(OR(TYPE(AA25)&gt;1,TYPE(MATCH(AA25,O$11:O$139,0))&gt;1),0,MATCH(AA25,O$11:O$139,0))+IF(OR(TYPE(AA25)&gt;1,TYPE(MATCH(AA25,U$11:U$139,0))&gt;1),0,MATCH(U25,U$11:U$139,0))+IF(OR(TYPE(AA25)&gt;1,TYPE(MATCH(AA25,AA26:AA$139,0))&gt;1),0,MATCH(AA25,AA26:AA$139,0))</f>
        <v>0</v>
      </c>
      <c r="AR25" s="319">
        <f t="shared" ca="1" si="18"/>
        <v>0</v>
      </c>
      <c r="AT25" s="318">
        <f t="shared" ca="1" si="16"/>
        <v>0</v>
      </c>
      <c r="AU25" s="318">
        <f ca="1">IF(AND(N(I25)&gt;0,TYPE(VLOOKUP(I25,Hraci!$A$5:$A$800,1,0))&gt;3),1,0) + IF(AND(N(O25)&gt;0,TYPE(VLOOKUP(O25,Hraci!$A$5:$A$800,1,0))&gt;3),1,0) + IF(AND(N(U25)&gt;0,TYPE(VLOOKUP(U25,Hraci!$A$5:$A$800,1,0))&gt;3),1,0)</f>
        <v>0</v>
      </c>
      <c r="BF25" s="319">
        <f t="shared" si="17"/>
        <v>15</v>
      </c>
    </row>
    <row r="26" spans="1:58" ht="12.9" x14ac:dyDescent="0.45">
      <c r="A26" s="302">
        <f t="shared" ca="1" si="2"/>
        <v>1</v>
      </c>
      <c r="B26" s="302">
        <f t="shared" ca="1" si="3"/>
        <v>1</v>
      </c>
      <c r="C26" s="302">
        <f t="shared" ca="1" si="4"/>
        <v>29.125</v>
      </c>
      <c r="D26" s="302">
        <f t="shared" ca="1" si="5"/>
        <v>20049</v>
      </c>
      <c r="E26" s="302">
        <f t="shared" ca="1" si="6"/>
        <v>51</v>
      </c>
      <c r="F26" s="343" t="str">
        <f t="shared" ca="1" si="7"/>
        <v>91029125979950999948982829</v>
      </c>
      <c r="G26" s="381" t="b">
        <f t="shared" ca="1" si="8"/>
        <v>0</v>
      </c>
      <c r="H26" s="382">
        <f t="shared" si="9"/>
        <v>16</v>
      </c>
      <c r="I26" s="383">
        <f t="shared" ca="1" si="10"/>
        <v>15067</v>
      </c>
      <c r="J26" s="384" t="str">
        <f ca="1">IF(N(I26)&gt;0,VLOOKUP(I26,Hraci!$A$1:$I$1500,2,0),IF(TYPE(INDIRECT(ADDRESS(ROW() + $A$9-9 + (ROW()-11)*4,2,1,1,"Internet")))&gt;1,INDIRECT(ADDRESS(ROW() + $A$9-9 + (ROW()-11)*4,2,1,1,"Internet"))," "))</f>
        <v>Vyoral</v>
      </c>
      <c r="K26" s="385" t="str">
        <f ca="1">IF(N(I26)&gt;0,VLOOKUP(I26,Hraci!$A$1:$I$1500,3,0)," ")</f>
        <v>Hynek</v>
      </c>
      <c r="L26" s="385" t="str">
        <f ca="1">IF(N(I26)&gt;0,VLOOKUP(I26,Hraci!$A$1:$I$1500,5,0),IF(TYPE(INDIRECT(ADDRESS(ROW() + $A$9-9 + (ROW()-11)*4,3,1,1,"Internet")))&gt;1,INDIRECT(ADDRESS(ROW() + $A$9-9 + (ROW()-11)*4,3,1,1,"Internet"))," "))</f>
        <v>PC Sokol Lipník</v>
      </c>
      <c r="M26" s="319">
        <f ca="1">IF(N(I26)=0,9999,VLOOKUP(I26,Hraci!$A$1:$I$1500,8,0))</f>
        <v>51</v>
      </c>
      <c r="N26" s="386">
        <f ca="1">IF(N(I26)=0,0,VLOOKUP(I26,Hraci!$A$1:$I$1500,9,0))</f>
        <v>29.125</v>
      </c>
      <c r="O26" s="383" t="str">
        <f t="shared" ca="1" si="11"/>
        <v/>
      </c>
      <c r="P26" s="384" t="str">
        <f ca="1">IF(N(O26)&gt;0,VLOOKUP(O26,Hraci!$A$1:$I$1500,2,0),IF(TYPE(INDIRECT(ADDRESS(ROW() + $A$9-8 + (ROW()-11)*4,2,1,1,"Internet")))&gt;1,INDIRECT(ADDRESS(ROW() + $A$9-8 + (ROW()-11)*4,2,1,1,"Internet"))," "))</f>
        <v xml:space="preserve"> </v>
      </c>
      <c r="Q26" s="385" t="str">
        <f ca="1">IF(N(O26)&gt;0,VLOOKUP(O26,Hraci!$A$1:$I$1500,3,0)," ")</f>
        <v xml:space="preserve"> </v>
      </c>
      <c r="R26" s="385" t="str">
        <f ca="1">IF(N(O26)&gt;0,VLOOKUP(O26,Hraci!$A$1:$I$1500,5,0),IF(TYPE(INDIRECT(ADDRESS(ROW() + $A$9-8 + (ROW()-11)*4,3,1,1,"Internet")))&gt;1,INDIRECT(ADDRESS(ROW() + $A$9-8 + (ROW()-11)*4,3,1,1,"Internet"))," "))</f>
        <v xml:space="preserve"> </v>
      </c>
      <c r="S26" s="319">
        <f ca="1">IF(N(O26)=0,9999,VLOOKUP(O26,Hraci!$A$1:$I$1500,8,0))</f>
        <v>9999</v>
      </c>
      <c r="T26" s="386">
        <f ca="1">IF(N(O26)=0,0,VLOOKUP(O26,Hraci!$A$1:$I$1500,9,0))</f>
        <v>0</v>
      </c>
      <c r="U26" s="383" t="str">
        <f t="shared" ca="1" si="12"/>
        <v/>
      </c>
      <c r="V26" s="384" t="str">
        <f ca="1">IF(N(U26)&gt;0,VLOOKUP(U26,Hraci!$A$1:$I$1500,2,0),IF(TYPE(INDIRECT(ADDRESS(ROW() + $A$9-7 + (ROW()-11)*4,2,1,1,"Internet")))&gt;1,INDIRECT(ADDRESS(ROW() + $A$9-7 + (ROW()-11)*4,2,1,1,"Internet"))," "))</f>
        <v xml:space="preserve"> </v>
      </c>
      <c r="W26" s="385" t="str">
        <f ca="1">IF(N(U26)&gt;0,VLOOKUP(U26,Hraci!$A$1:$I$1500,3,0)," ")</f>
        <v xml:space="preserve"> </v>
      </c>
      <c r="X26" s="385" t="str">
        <f ca="1">IF(N(U26)&gt;0,VLOOKUP(U26,Hraci!$A$1:$I$1500,5,0),IF(TYPE(INDIRECT(ADDRESS(ROW() + $A$9-7 + (ROW()-11)*4,3,1,1,"Internet")))&gt;1,INDIRECT(ADDRESS(ROW() + $A$9-7 + (ROW()-11)*4,3,1,1,"Internet"))," "))</f>
        <v xml:space="preserve"> </v>
      </c>
      <c r="Y26" s="319">
        <f ca="1">IF(N(U26)=0,9999,VLOOKUP(U26,Hraci!$A$1:$I$1500,8,0))</f>
        <v>9999</v>
      </c>
      <c r="Z26" s="386">
        <f ca="1">IF(N(U26)=0,0,VLOOKUP(U26,Hraci!$A$1:$I$1500,9,0))</f>
        <v>0</v>
      </c>
      <c r="AA26" s="383" t="str">
        <f t="shared" ca="1" si="13"/>
        <v/>
      </c>
      <c r="AB26" s="384" t="str">
        <f ca="1">IF(N(AA26)&gt;0,VLOOKUP(AA26,Hraci!$A$1:$I$1500,2,0)," ")</f>
        <v xml:space="preserve"> </v>
      </c>
      <c r="AC26" s="385" t="str">
        <f ca="1">IF(N(AA26)&gt;0,VLOOKUP(AA26,Hraci!$A$1:$I$1500,3,0)," ")</f>
        <v xml:space="preserve"> </v>
      </c>
      <c r="AD26" s="385" t="str">
        <f ca="1">IF(N(AA26)&gt;0,VLOOKUP(AA26,Hraci!$A$1:$I$1500,5,0)," ")</f>
        <v xml:space="preserve"> </v>
      </c>
      <c r="AE26" s="319">
        <f ca="1">IF(N(AA26)=0,9999,VLOOKUP(AA26,Hraci!$A$1:$I$1500,8,0))</f>
        <v>9999</v>
      </c>
      <c r="AF26" s="386">
        <f ca="1">IF(N(AA26)=0,0,VLOOKUP(AA26,Hraci!$A$1:$I$1500,9,0))</f>
        <v>0</v>
      </c>
      <c r="AG26" s="391"/>
      <c r="AH26" s="427">
        <f ca="1">IF(TYPE(VLOOKUP(H26,Centrum!$A$3:$E$130,5,0))&lt;4,VLOOKUP(H26,Centrum!$A$3:$E$130,5,0),0)</f>
        <v>46</v>
      </c>
      <c r="AI26" s="387">
        <f ca="1">IF(N($AH26)&gt;0,VLOOKUP($AH26,Body!$A$4:$F$259,5,0),"")</f>
        <v>21.55960546875</v>
      </c>
      <c r="AJ26" s="388">
        <f ca="1">IF(N($AH26)&gt;0,VLOOKUP($AH26,Body!$A$4:$F$259,6,0),"")</f>
        <v>0</v>
      </c>
      <c r="AK26" s="387">
        <f ca="1">IF(N($AH26)&gt;0,VLOOKUP($AH26,Body!$A$4:$F$259,2,0),"")</f>
        <v>0.5625</v>
      </c>
      <c r="AL26" s="389" t="str">
        <f t="shared" ca="1" si="14"/>
        <v>16 PC Sokol Lipník - Vyoral Hynek</v>
      </c>
      <c r="AM26" s="390">
        <f t="shared" ca="1" si="15"/>
        <v>29.125</v>
      </c>
      <c r="AN26" s="319">
        <f ca="1">IF(OR(TYPE(I26)&gt;1,TYPE(MATCH(I26,I27:I$139,0))&gt;1),0,MATCH(I26,I27:I$139,0))+IF(OR(TYPE(I26)&gt;1,TYPE(MATCH(I26,O$11:O$139,0))&gt;1),0,MATCH(I26,O$11:O$139,0))+IF(OR(TYPE(I26)&gt;1,TYPE(MATCH(I26,U$11:U$139,0))&gt;1),0,MATCH(I26,U$11:U$139,0))+IF(OR(TYPE(I26)&gt;1,TYPE(MATCH(I26,AA$11:AA$139,0))&gt;1),0,MATCH(I26,AA$11:AA$139,0))</f>
        <v>0</v>
      </c>
      <c r="AO26" s="319">
        <f ca="1">IF(OR(TYPE(O26)&gt;1,TYPE(MATCH(O26,I$11:I$139,0))&gt;1),0,MATCH(O26,I$11:I$139,0))+IF(OR(TYPE(O26)&gt;1,TYPE(MATCH(O26,O27:O$139,0))&gt;1),0,MATCH(O26,O27:O$139,0))+IF(OR(TYPE(O26)&gt;1,TYPE(MATCH(O26,U$11:U$139,0))&gt;1),0,MATCH(O26,U$11:U$139,0))+IF(OR(TYPE(O26)&gt;1,TYPE(MATCH(O26,AA$11:AA$139,0))&gt;1),0,MATCH(O26,AA$11:AA$139,0))</f>
        <v>0</v>
      </c>
      <c r="AP26" s="319">
        <f ca="1">IF(OR(TYPE(U26)&gt;1,TYPE(MATCH(U26,I$11:I$139,0))&gt;1),0,MATCH(U26,I$11:I$139,0))+IF(OR(TYPE(U26)&gt;1,TYPE(MATCH(U26,O$11:O$139,0))&gt;1),0,MATCH(U26,O$11:O$139,0))+IF(OR(TYPE(U26)&gt;1,TYPE(MATCH(U26,U27:U$139,0))&gt;1),0,MATCH(U26,U27:U$139,0))+IF(OR(TYPE(U26)&gt;1,TYPE(MATCH(U26,AA$11:AA$139,0))&gt;1),0,MATCH(U26,AA$11:AA$139,0))</f>
        <v>0</v>
      </c>
      <c r="AQ26" s="319">
        <f ca="1">IF(OR(TYPE(AA26)&gt;1,TYPE(MATCH(AA26,I$11:I$139,0))&gt;1),0,MATCH(AA26,I$11:I$139,0))+IF(OR(TYPE(AA26)&gt;1,TYPE(MATCH(AA26,O$11:O$139,0))&gt;1),0,MATCH(AA26,O$11:O$139,0))+IF(OR(TYPE(AA26)&gt;1,TYPE(MATCH(AA26,U$11:U$139,0))&gt;1),0,MATCH(U26,U$11:U$139,0))+IF(OR(TYPE(AA26)&gt;1,TYPE(MATCH(AA26,AA27:AA$139,0))&gt;1),0,MATCH(AA26,AA27:AA$139,0))</f>
        <v>0</v>
      </c>
      <c r="AR26" s="319">
        <f t="shared" ca="1" si="18"/>
        <v>0</v>
      </c>
      <c r="AT26" s="318">
        <f t="shared" ca="1" si="16"/>
        <v>0</v>
      </c>
      <c r="AU26" s="318">
        <f ca="1">IF(AND(N(I26)&gt;0,TYPE(VLOOKUP(I26,Hraci!$A$5:$A$800,1,0))&gt;3),1,0) + IF(AND(N(O26)&gt;0,TYPE(VLOOKUP(O26,Hraci!$A$5:$A$800,1,0))&gt;3),1,0) + IF(AND(N(U26)&gt;0,TYPE(VLOOKUP(U26,Hraci!$A$5:$A$800,1,0))&gt;3),1,0)</f>
        <v>0</v>
      </c>
      <c r="BF26" s="319">
        <f t="shared" si="17"/>
        <v>16</v>
      </c>
    </row>
    <row r="27" spans="1:58" ht="12.9" x14ac:dyDescent="0.45">
      <c r="A27" s="302">
        <f t="shared" ca="1" si="2"/>
        <v>1</v>
      </c>
      <c r="B27" s="302">
        <f t="shared" ca="1" si="3"/>
        <v>1</v>
      </c>
      <c r="C27" s="302">
        <f t="shared" ca="1" si="4"/>
        <v>29.125</v>
      </c>
      <c r="D27" s="302">
        <f t="shared" ca="1" si="5"/>
        <v>20089</v>
      </c>
      <c r="E27" s="302">
        <f t="shared" ca="1" si="6"/>
        <v>91</v>
      </c>
      <c r="F27" s="343" t="str">
        <f t="shared" ca="1" si="7"/>
        <v>91029125979910999908782944</v>
      </c>
      <c r="G27" s="381" t="b">
        <f t="shared" ca="1" si="8"/>
        <v>0</v>
      </c>
      <c r="H27" s="382">
        <f t="shared" si="9"/>
        <v>17</v>
      </c>
      <c r="I27" s="383">
        <f t="shared" ca="1" si="10"/>
        <v>22181</v>
      </c>
      <c r="J27" s="384" t="str">
        <f ca="1">IF(N(I27)&gt;0,VLOOKUP(I27,Hraci!$A$1:$I$1500,2,0),IF(TYPE(INDIRECT(ADDRESS(ROW() + $A$9-9 + (ROW()-11)*4,2,1,1,"Internet")))&gt;1,INDIRECT(ADDRESS(ROW() + $A$9-9 + (ROW()-11)*4,2,1,1,"Internet"))," "))</f>
        <v>Brandes</v>
      </c>
      <c r="K27" s="385" t="str">
        <f ca="1">IF(N(I27)&gt;0,VLOOKUP(I27,Hraci!$A$1:$I$1500,3,0)," ")</f>
        <v>Valter</v>
      </c>
      <c r="L27" s="385" t="str">
        <f ca="1">IF(N(I27)&gt;0,VLOOKUP(I27,Hraci!$A$1:$I$1500,5,0),IF(TYPE(INDIRECT(ADDRESS(ROW() + $A$9-9 + (ROW()-11)*4,3,1,1,"Internet")))&gt;1,INDIRECT(ADDRESS(ROW() + $A$9-9 + (ROW()-11)*4,3,1,1,"Internet"))," "))</f>
        <v>PC Damníkov</v>
      </c>
      <c r="M27" s="319">
        <f ca="1">IF(N(I27)=0,9999,VLOOKUP(I27,Hraci!$A$1:$I$1500,8,0))</f>
        <v>91</v>
      </c>
      <c r="N27" s="386">
        <f ca="1">IF(N(I27)=0,0,VLOOKUP(I27,Hraci!$A$1:$I$1500,9,0))</f>
        <v>29.125</v>
      </c>
      <c r="O27" s="383" t="str">
        <f t="shared" ca="1" si="11"/>
        <v/>
      </c>
      <c r="P27" s="384" t="str">
        <f ca="1">IF(N(O27)&gt;0,VLOOKUP(O27,Hraci!$A$1:$I$1500,2,0),IF(TYPE(INDIRECT(ADDRESS(ROW() + $A$9-8 + (ROW()-11)*4,2,1,1,"Internet")))&gt;1,INDIRECT(ADDRESS(ROW() + $A$9-8 + (ROW()-11)*4,2,1,1,"Internet"))," "))</f>
        <v xml:space="preserve"> </v>
      </c>
      <c r="Q27" s="385" t="str">
        <f ca="1">IF(N(O27)&gt;0,VLOOKUP(O27,Hraci!$A$1:$I$1500,3,0)," ")</f>
        <v xml:space="preserve"> </v>
      </c>
      <c r="R27" s="385" t="str">
        <f ca="1">IF(N(O27)&gt;0,VLOOKUP(O27,Hraci!$A$1:$I$1500,5,0),IF(TYPE(INDIRECT(ADDRESS(ROW() + $A$9-8 + (ROW()-11)*4,3,1,1,"Internet")))&gt;1,INDIRECT(ADDRESS(ROW() + $A$9-8 + (ROW()-11)*4,3,1,1,"Internet"))," "))</f>
        <v xml:space="preserve"> </v>
      </c>
      <c r="S27" s="319">
        <f ca="1">IF(N(O27)=0,9999,VLOOKUP(O27,Hraci!$A$1:$I$1500,8,0))</f>
        <v>9999</v>
      </c>
      <c r="T27" s="386">
        <f ca="1">IF(N(O27)=0,0,VLOOKUP(O27,Hraci!$A$1:$I$1500,9,0))</f>
        <v>0</v>
      </c>
      <c r="U27" s="383" t="str">
        <f t="shared" ca="1" si="12"/>
        <v/>
      </c>
      <c r="V27" s="384" t="str">
        <f ca="1">IF(N(U27)&gt;0,VLOOKUP(U27,Hraci!$A$1:$I$1500,2,0),IF(TYPE(INDIRECT(ADDRESS(ROW() + $A$9-7 + (ROW()-11)*4,2,1,1,"Internet")))&gt;1,INDIRECT(ADDRESS(ROW() + $A$9-7 + (ROW()-11)*4,2,1,1,"Internet"))," "))</f>
        <v xml:space="preserve"> </v>
      </c>
      <c r="W27" s="385" t="str">
        <f ca="1">IF(N(U27)&gt;0,VLOOKUP(U27,Hraci!$A$1:$I$1500,3,0)," ")</f>
        <v xml:space="preserve"> </v>
      </c>
      <c r="X27" s="385" t="str">
        <f ca="1">IF(N(U27)&gt;0,VLOOKUP(U27,Hraci!$A$1:$I$1500,5,0),IF(TYPE(INDIRECT(ADDRESS(ROW() + $A$9-7 + (ROW()-11)*4,3,1,1,"Internet")))&gt;1,INDIRECT(ADDRESS(ROW() + $A$9-7 + (ROW()-11)*4,3,1,1,"Internet"))," "))</f>
        <v xml:space="preserve"> </v>
      </c>
      <c r="Y27" s="319">
        <f ca="1">IF(N(U27)=0,9999,VLOOKUP(U27,Hraci!$A$1:$I$1500,8,0))</f>
        <v>9999</v>
      </c>
      <c r="Z27" s="386">
        <f ca="1">IF(N(U27)=0,0,VLOOKUP(U27,Hraci!$A$1:$I$1500,9,0))</f>
        <v>0</v>
      </c>
      <c r="AA27" s="383" t="str">
        <f t="shared" ca="1" si="13"/>
        <v/>
      </c>
      <c r="AB27" s="384" t="str">
        <f ca="1">IF(N(AA27)&gt;0,VLOOKUP(AA27,Hraci!$A$1:$I$1500,2,0)," ")</f>
        <v xml:space="preserve"> </v>
      </c>
      <c r="AC27" s="385" t="str">
        <f ca="1">IF(N(AA27)&gt;0,VLOOKUP(AA27,Hraci!$A$1:$I$1500,3,0)," ")</f>
        <v xml:space="preserve"> </v>
      </c>
      <c r="AD27" s="385" t="str">
        <f ca="1">IF(N(AA27)&gt;0,VLOOKUP(AA27,Hraci!$A$1:$I$1500,5,0)," ")</f>
        <v xml:space="preserve"> </v>
      </c>
      <c r="AE27" s="319">
        <f ca="1">IF(N(AA27)=0,9999,VLOOKUP(AA27,Hraci!$A$1:$I$1500,8,0))</f>
        <v>9999</v>
      </c>
      <c r="AF27" s="386">
        <f ca="1">IF(N(AA27)=0,0,VLOOKUP(AA27,Hraci!$A$1:$I$1500,9,0))</f>
        <v>0</v>
      </c>
      <c r="AG27" s="391"/>
      <c r="AH27" s="427">
        <f ca="1">IF(TYPE(VLOOKUP(H27,Centrum!$A$3:$E$130,5,0))&lt;4,VLOOKUP(H27,Centrum!$A$3:$E$130,5,0),0)</f>
        <v>25</v>
      </c>
      <c r="AI27" s="387">
        <f ca="1">IF(N($AH27)&gt;0,VLOOKUP($AH27,Body!$A$4:$F$259,5,0),"")</f>
        <v>55.096769531249997</v>
      </c>
      <c r="AJ27" s="388">
        <f ca="1">IF(N($AH27)&gt;0,VLOOKUP($AH27,Body!$A$4:$F$259,6,0),"")</f>
        <v>0</v>
      </c>
      <c r="AK27" s="387">
        <f ca="1">IF(N($AH27)&gt;0,VLOOKUP($AH27,Body!$A$4:$F$259,2,0),"")</f>
        <v>1.4375</v>
      </c>
      <c r="AL27" s="389" t="str">
        <f t="shared" ca="1" si="14"/>
        <v>17 PC Damníkov - Brandes Valter</v>
      </c>
      <c r="AM27" s="390">
        <f t="shared" ca="1" si="15"/>
        <v>29.125</v>
      </c>
      <c r="AN27" s="319">
        <f ca="1">IF(OR(TYPE(I27)&gt;1,TYPE(MATCH(I27,I28:I$139,0))&gt;1),0,MATCH(I27,I28:I$139,0))+IF(OR(TYPE(I27)&gt;1,TYPE(MATCH(I27,O$11:O$139,0))&gt;1),0,MATCH(I27,O$11:O$139,0))+IF(OR(TYPE(I27)&gt;1,TYPE(MATCH(I27,U$11:U$139,0))&gt;1),0,MATCH(I27,U$11:U$139,0))+IF(OR(TYPE(I27)&gt;1,TYPE(MATCH(I27,AA$11:AA$139,0))&gt;1),0,MATCH(I27,AA$11:AA$139,0))</f>
        <v>0</v>
      </c>
      <c r="AO27" s="319">
        <f ca="1">IF(OR(TYPE(O27)&gt;1,TYPE(MATCH(O27,I$11:I$139,0))&gt;1),0,MATCH(O27,I$11:I$139,0))+IF(OR(TYPE(O27)&gt;1,TYPE(MATCH(O27,O28:O$139,0))&gt;1),0,MATCH(O27,O28:O$139,0))+IF(OR(TYPE(O27)&gt;1,TYPE(MATCH(O27,U$11:U$139,0))&gt;1),0,MATCH(O27,U$11:U$139,0))+IF(OR(TYPE(O27)&gt;1,TYPE(MATCH(O27,AA$11:AA$139,0))&gt;1),0,MATCH(O27,AA$11:AA$139,0))</f>
        <v>0</v>
      </c>
      <c r="AP27" s="319">
        <f ca="1">IF(OR(TYPE(U27)&gt;1,TYPE(MATCH(U27,I$11:I$139,0))&gt;1),0,MATCH(U27,I$11:I$139,0))+IF(OR(TYPE(U27)&gt;1,TYPE(MATCH(U27,O$11:O$139,0))&gt;1),0,MATCH(U27,O$11:O$139,0))+IF(OR(TYPE(U27)&gt;1,TYPE(MATCH(U27,U28:U$139,0))&gt;1),0,MATCH(U27,U28:U$139,0))+IF(OR(TYPE(U27)&gt;1,TYPE(MATCH(U27,AA$11:AA$139,0))&gt;1),0,MATCH(U27,AA$11:AA$139,0))</f>
        <v>0</v>
      </c>
      <c r="AQ27" s="319">
        <f ca="1">IF(OR(TYPE(AA27)&gt;1,TYPE(MATCH(AA27,I$11:I$139,0))&gt;1),0,MATCH(AA27,I$11:I$139,0))+IF(OR(TYPE(AA27)&gt;1,TYPE(MATCH(AA27,O$11:O$139,0))&gt;1),0,MATCH(AA27,O$11:O$139,0))+IF(OR(TYPE(AA27)&gt;1,TYPE(MATCH(AA27,U$11:U$139,0))&gt;1),0,MATCH(U27,U$11:U$139,0))+IF(OR(TYPE(AA27)&gt;1,TYPE(MATCH(AA27,AA28:AA$139,0))&gt;1),0,MATCH(AA27,AA28:AA$139,0))</f>
        <v>0</v>
      </c>
      <c r="AR27" s="319">
        <f t="shared" ca="1" si="18"/>
        <v>0</v>
      </c>
      <c r="AT27" s="318">
        <f t="shared" ca="1" si="16"/>
        <v>0</v>
      </c>
      <c r="AU27" s="318">
        <f ca="1">IF(AND(N(I27)&gt;0,TYPE(VLOOKUP(I27,Hraci!$A$5:$A$800,1,0))&gt;3),1,0) + IF(AND(N(O27)&gt;0,TYPE(VLOOKUP(O27,Hraci!$A$5:$A$800,1,0))&gt;3),1,0) + IF(AND(N(U27)&gt;0,TYPE(VLOOKUP(U27,Hraci!$A$5:$A$800,1,0))&gt;3),1,0)</f>
        <v>0</v>
      </c>
      <c r="BF27" s="319">
        <f t="shared" si="17"/>
        <v>17</v>
      </c>
    </row>
    <row r="28" spans="1:58" ht="12.9" x14ac:dyDescent="0.45">
      <c r="A28" s="302">
        <f t="shared" ca="1" si="2"/>
        <v>1</v>
      </c>
      <c r="B28" s="302">
        <f t="shared" ca="1" si="3"/>
        <v>1</v>
      </c>
      <c r="C28" s="302">
        <f t="shared" ca="1" si="4"/>
        <v>28.25</v>
      </c>
      <c r="D28" s="302">
        <f t="shared" ca="1" si="5"/>
        <v>20073</v>
      </c>
      <c r="E28" s="302">
        <f t="shared" ca="1" si="6"/>
        <v>75</v>
      </c>
      <c r="F28" s="343" t="str">
        <f t="shared" ca="1" si="7"/>
        <v>91028250979926999924412086</v>
      </c>
      <c r="G28" s="381" t="b">
        <f t="shared" ca="1" si="8"/>
        <v>0</v>
      </c>
      <c r="H28" s="382">
        <f t="shared" si="9"/>
        <v>18</v>
      </c>
      <c r="I28" s="383">
        <f t="shared" ca="1" si="10"/>
        <v>16029</v>
      </c>
      <c r="J28" s="384" t="str">
        <f ca="1">IF(N(I28)&gt;0,VLOOKUP(I28,Hraci!$A$1:$I$1500,2,0),IF(TYPE(INDIRECT(ADDRESS(ROW() + $A$9-9 + (ROW()-11)*4,2,1,1,"Internet")))&gt;1,INDIRECT(ADDRESS(ROW() + $A$9-9 + (ROW()-11)*4,2,1,1,"Internet"))," "))</f>
        <v>Kašparová</v>
      </c>
      <c r="K28" s="385" t="str">
        <f ca="1">IF(N(I28)&gt;0,VLOOKUP(I28,Hraci!$A$1:$I$1500,3,0)," ")</f>
        <v>Barbora</v>
      </c>
      <c r="L28" s="385" t="str">
        <f ca="1">IF(N(I28)&gt;0,VLOOKUP(I28,Hraci!$A$1:$I$1500,5,0),IF(TYPE(INDIRECT(ADDRESS(ROW() + $A$9-9 + (ROW()-11)*4,3,1,1,"Internet")))&gt;1,INDIRECT(ADDRESS(ROW() + $A$9-9 + (ROW()-11)*4,3,1,1,"Internet"))," "))</f>
        <v>Petank Club Praha</v>
      </c>
      <c r="M28" s="319">
        <f ca="1">IF(N(I28)=0,9999,VLOOKUP(I28,Hraci!$A$1:$I$1500,8,0))</f>
        <v>75</v>
      </c>
      <c r="N28" s="386">
        <f ca="1">IF(N(I28)=0,0,VLOOKUP(I28,Hraci!$A$1:$I$1500,9,0))</f>
        <v>28.25</v>
      </c>
      <c r="O28" s="383" t="str">
        <f t="shared" ca="1" si="11"/>
        <v/>
      </c>
      <c r="P28" s="384" t="str">
        <f ca="1">IF(N(O28)&gt;0,VLOOKUP(O28,Hraci!$A$1:$I$1500,2,0),IF(TYPE(INDIRECT(ADDRESS(ROW() + $A$9-8 + (ROW()-11)*4,2,1,1,"Internet")))&gt;1,INDIRECT(ADDRESS(ROW() + $A$9-8 + (ROW()-11)*4,2,1,1,"Internet"))," "))</f>
        <v xml:space="preserve"> </v>
      </c>
      <c r="Q28" s="385" t="str">
        <f ca="1">IF(N(O28)&gt;0,VLOOKUP(O28,Hraci!$A$1:$I$1500,3,0)," ")</f>
        <v xml:space="preserve"> </v>
      </c>
      <c r="R28" s="385" t="str">
        <f ca="1">IF(N(O28)&gt;0,VLOOKUP(O28,Hraci!$A$1:$I$1500,5,0),IF(TYPE(INDIRECT(ADDRESS(ROW() + $A$9-8 + (ROW()-11)*4,3,1,1,"Internet")))&gt;1,INDIRECT(ADDRESS(ROW() + $A$9-8 + (ROW()-11)*4,3,1,1,"Internet"))," "))</f>
        <v xml:space="preserve"> </v>
      </c>
      <c r="S28" s="319">
        <f ca="1">IF(N(O28)=0,9999,VLOOKUP(O28,Hraci!$A$1:$I$1500,8,0))</f>
        <v>9999</v>
      </c>
      <c r="T28" s="386">
        <f ca="1">IF(N(O28)=0,0,VLOOKUP(O28,Hraci!$A$1:$I$1500,9,0))</f>
        <v>0</v>
      </c>
      <c r="U28" s="383" t="str">
        <f t="shared" ca="1" si="12"/>
        <v/>
      </c>
      <c r="V28" s="384" t="str">
        <f ca="1">IF(N(U28)&gt;0,VLOOKUP(U28,Hraci!$A$1:$I$1500,2,0),IF(TYPE(INDIRECT(ADDRESS(ROW() + $A$9-7 + (ROW()-11)*4,2,1,1,"Internet")))&gt;1,INDIRECT(ADDRESS(ROW() + $A$9-7 + (ROW()-11)*4,2,1,1,"Internet"))," "))</f>
        <v xml:space="preserve"> </v>
      </c>
      <c r="W28" s="385" t="str">
        <f ca="1">IF(N(U28)&gt;0,VLOOKUP(U28,Hraci!$A$1:$I$1500,3,0)," ")</f>
        <v xml:space="preserve"> </v>
      </c>
      <c r="X28" s="385" t="str">
        <f ca="1">IF(N(U28)&gt;0,VLOOKUP(U28,Hraci!$A$1:$I$1500,5,0),IF(TYPE(INDIRECT(ADDRESS(ROW() + $A$9-7 + (ROW()-11)*4,3,1,1,"Internet")))&gt;1,INDIRECT(ADDRESS(ROW() + $A$9-7 + (ROW()-11)*4,3,1,1,"Internet"))," "))</f>
        <v xml:space="preserve"> </v>
      </c>
      <c r="Y28" s="319">
        <f ca="1">IF(N(U28)=0,9999,VLOOKUP(U28,Hraci!$A$1:$I$1500,8,0))</f>
        <v>9999</v>
      </c>
      <c r="Z28" s="386">
        <f ca="1">IF(N(U28)=0,0,VLOOKUP(U28,Hraci!$A$1:$I$1500,9,0))</f>
        <v>0</v>
      </c>
      <c r="AA28" s="383" t="str">
        <f t="shared" ca="1" si="13"/>
        <v/>
      </c>
      <c r="AB28" s="384" t="str">
        <f ca="1">IF(N(AA28)&gt;0,VLOOKUP(AA28,Hraci!$A$1:$I$1500,2,0)," ")</f>
        <v xml:space="preserve"> </v>
      </c>
      <c r="AC28" s="385" t="str">
        <f ca="1">IF(N(AA28)&gt;0,VLOOKUP(AA28,Hraci!$A$1:$I$1500,3,0)," ")</f>
        <v xml:space="preserve"> </v>
      </c>
      <c r="AD28" s="385" t="str">
        <f ca="1">IF(N(AA28)&gt;0,VLOOKUP(AA28,Hraci!$A$1:$I$1500,5,0)," ")</f>
        <v xml:space="preserve"> </v>
      </c>
      <c r="AE28" s="319">
        <f ca="1">IF(N(AA28)=0,9999,VLOOKUP(AA28,Hraci!$A$1:$I$1500,8,0))</f>
        <v>9999</v>
      </c>
      <c r="AF28" s="386">
        <f ca="1">IF(N(AA28)=0,0,VLOOKUP(AA28,Hraci!$A$1:$I$1500,9,0))</f>
        <v>0</v>
      </c>
      <c r="AG28" s="391"/>
      <c r="AH28" s="427">
        <f ca="1">IF(TYPE(VLOOKUP(H28,Centrum!$A$3:$E$130,5,0))&lt;4,VLOOKUP(H28,Centrum!$A$3:$E$130,5,0),0)</f>
        <v>37</v>
      </c>
      <c r="AI28" s="387">
        <f ca="1">IF(N($AH28)&gt;0,VLOOKUP($AH28,Body!$A$4:$F$259,5,0),"")</f>
        <v>32.339408203124997</v>
      </c>
      <c r="AJ28" s="388">
        <f ca="1">IF(N($AH28)&gt;0,VLOOKUP($AH28,Body!$A$4:$F$259,6,0),"")</f>
        <v>0</v>
      </c>
      <c r="AK28" s="387">
        <f ca="1">IF(N($AH28)&gt;0,VLOOKUP($AH28,Body!$A$4:$F$259,2,0),"")</f>
        <v>0.84375</v>
      </c>
      <c r="AL28" s="389" t="str">
        <f t="shared" ca="1" si="14"/>
        <v>18 Petank Club Praha - Kašparová Barbora</v>
      </c>
      <c r="AM28" s="390">
        <f t="shared" ca="1" si="15"/>
        <v>28.25</v>
      </c>
      <c r="AN28" s="319">
        <f ca="1">IF(OR(TYPE(I28)&gt;1,TYPE(MATCH(I28,I29:I$139,0))&gt;1),0,MATCH(I28,I29:I$139,0))+IF(OR(TYPE(I28)&gt;1,TYPE(MATCH(I28,O$11:O$139,0))&gt;1),0,MATCH(I28,O$11:O$139,0))+IF(OR(TYPE(I28)&gt;1,TYPE(MATCH(I28,U$11:U$139,0))&gt;1),0,MATCH(I28,U$11:U$139,0))+IF(OR(TYPE(I28)&gt;1,TYPE(MATCH(I28,AA$11:AA$139,0))&gt;1),0,MATCH(I28,AA$11:AA$139,0))</f>
        <v>0</v>
      </c>
      <c r="AO28" s="319">
        <f ca="1">IF(OR(TYPE(O28)&gt;1,TYPE(MATCH(O28,I$11:I$139,0))&gt;1),0,MATCH(O28,I$11:I$139,0))+IF(OR(TYPE(O28)&gt;1,TYPE(MATCH(O28,O29:O$139,0))&gt;1),0,MATCH(O28,O29:O$139,0))+IF(OR(TYPE(O28)&gt;1,TYPE(MATCH(O28,U$11:U$139,0))&gt;1),0,MATCH(O28,U$11:U$139,0))+IF(OR(TYPE(O28)&gt;1,TYPE(MATCH(O28,AA$11:AA$139,0))&gt;1),0,MATCH(O28,AA$11:AA$139,0))</f>
        <v>0</v>
      </c>
      <c r="AP28" s="319">
        <f ca="1">IF(OR(TYPE(U28)&gt;1,TYPE(MATCH(U28,I$11:I$139,0))&gt;1),0,MATCH(U28,I$11:I$139,0))+IF(OR(TYPE(U28)&gt;1,TYPE(MATCH(U28,O$11:O$139,0))&gt;1),0,MATCH(U28,O$11:O$139,0))+IF(OR(TYPE(U28)&gt;1,TYPE(MATCH(U28,U29:U$139,0))&gt;1),0,MATCH(U28,U29:U$139,0))+IF(OR(TYPE(U28)&gt;1,TYPE(MATCH(U28,AA$11:AA$139,0))&gt;1),0,MATCH(U28,AA$11:AA$139,0))</f>
        <v>0</v>
      </c>
      <c r="AQ28" s="319">
        <f ca="1">IF(OR(TYPE(AA28)&gt;1,TYPE(MATCH(AA28,I$11:I$139,0))&gt;1),0,MATCH(AA28,I$11:I$139,0))+IF(OR(TYPE(AA28)&gt;1,TYPE(MATCH(AA28,O$11:O$139,0))&gt;1),0,MATCH(AA28,O$11:O$139,0))+IF(OR(TYPE(AA28)&gt;1,TYPE(MATCH(AA28,U$11:U$139,0))&gt;1),0,MATCH(U28,U$11:U$139,0))+IF(OR(TYPE(AA28)&gt;1,TYPE(MATCH(AA28,AA29:AA$139,0))&gt;1),0,MATCH(AA28,AA29:AA$139,0))</f>
        <v>0</v>
      </c>
      <c r="AR28" s="319">
        <f t="shared" ca="1" si="18"/>
        <v>0</v>
      </c>
      <c r="AT28" s="318">
        <f t="shared" ca="1" si="16"/>
        <v>0</v>
      </c>
      <c r="AU28" s="318">
        <f ca="1">IF(AND(N(I28)&gt;0,TYPE(VLOOKUP(I28,Hraci!$A$5:$A$800,1,0))&gt;3),1,0) + IF(AND(N(O28)&gt;0,TYPE(VLOOKUP(O28,Hraci!$A$5:$A$800,1,0))&gt;3),1,0) + IF(AND(N(U28)&gt;0,TYPE(VLOOKUP(U28,Hraci!$A$5:$A$800,1,0))&gt;3),1,0)</f>
        <v>0</v>
      </c>
      <c r="BF28" s="319">
        <f t="shared" si="17"/>
        <v>18</v>
      </c>
    </row>
    <row r="29" spans="1:58" ht="12.9" x14ac:dyDescent="0.45">
      <c r="A29" s="302">
        <f t="shared" ca="1" si="2"/>
        <v>1</v>
      </c>
      <c r="B29" s="302">
        <f t="shared" ca="1" si="3"/>
        <v>1</v>
      </c>
      <c r="C29" s="302">
        <f t="shared" ca="1" si="4"/>
        <v>24.562999999999999</v>
      </c>
      <c r="D29" s="302">
        <f t="shared" ca="1" si="5"/>
        <v>20132</v>
      </c>
      <c r="E29" s="302">
        <f t="shared" ca="1" si="6"/>
        <v>134</v>
      </c>
      <c r="F29" s="343" t="str">
        <f t="shared" ca="1" si="7"/>
        <v>91024563979867999865515633</v>
      </c>
      <c r="G29" s="381" t="b">
        <f t="shared" ca="1" si="8"/>
        <v>0</v>
      </c>
      <c r="H29" s="382">
        <f t="shared" si="9"/>
        <v>19</v>
      </c>
      <c r="I29" s="383">
        <f t="shared" ca="1" si="10"/>
        <v>20532</v>
      </c>
      <c r="J29" s="384" t="str">
        <f ca="1">IF(N(I29)&gt;0,VLOOKUP(I29,Hraci!$A$1:$I$1500,2,0),IF(TYPE(INDIRECT(ADDRESS(ROW() + $A$9-9 + (ROW()-11)*4,2,1,1,"Internet")))&gt;1,INDIRECT(ADDRESS(ROW() + $A$9-9 + (ROW()-11)*4,2,1,1,"Internet"))," "))</f>
        <v>Křížek</v>
      </c>
      <c r="K29" s="385" t="str">
        <f ca="1">IF(N(I29)&gt;0,VLOOKUP(I29,Hraci!$A$1:$I$1500,3,0)," ")</f>
        <v>Evžen</v>
      </c>
      <c r="L29" s="385" t="str">
        <f ca="1">IF(N(I29)&gt;0,VLOOKUP(I29,Hraci!$A$1:$I$1500,5,0),IF(TYPE(INDIRECT(ADDRESS(ROW() + $A$9-9 + (ROW()-11)*4,3,1,1,"Internet")))&gt;1,INDIRECT(ADDRESS(ROW() + $A$9-9 + (ROW()-11)*4,3,1,1,"Internet"))," "))</f>
        <v>UBU Únětice</v>
      </c>
      <c r="M29" s="319">
        <f ca="1">IF(N(I29)=0,9999,VLOOKUP(I29,Hraci!$A$1:$I$1500,8,0))</f>
        <v>134</v>
      </c>
      <c r="N29" s="386">
        <f ca="1">IF(N(I29)=0,0,VLOOKUP(I29,Hraci!$A$1:$I$1500,9,0))</f>
        <v>24.562999999999999</v>
      </c>
      <c r="O29" s="383" t="str">
        <f t="shared" ca="1" si="11"/>
        <v/>
      </c>
      <c r="P29" s="384" t="str">
        <f ca="1">IF(N(O29)&gt;0,VLOOKUP(O29,Hraci!$A$1:$I$1500,2,0),IF(TYPE(INDIRECT(ADDRESS(ROW() + $A$9-8 + (ROW()-11)*4,2,1,1,"Internet")))&gt;1,INDIRECT(ADDRESS(ROW() + $A$9-8 + (ROW()-11)*4,2,1,1,"Internet"))," "))</f>
        <v xml:space="preserve"> </v>
      </c>
      <c r="Q29" s="385" t="str">
        <f ca="1">IF(N(O29)&gt;0,VLOOKUP(O29,Hraci!$A$1:$I$1500,3,0)," ")</f>
        <v xml:space="preserve"> </v>
      </c>
      <c r="R29" s="385" t="str">
        <f ca="1">IF(N(O29)&gt;0,VLOOKUP(O29,Hraci!$A$1:$I$1500,5,0),IF(TYPE(INDIRECT(ADDRESS(ROW() + $A$9-8 + (ROW()-11)*4,3,1,1,"Internet")))&gt;1,INDIRECT(ADDRESS(ROW() + $A$9-8 + (ROW()-11)*4,3,1,1,"Internet"))," "))</f>
        <v xml:space="preserve"> </v>
      </c>
      <c r="S29" s="319">
        <f ca="1">IF(N(O29)=0,9999,VLOOKUP(O29,Hraci!$A$1:$I$1500,8,0))</f>
        <v>9999</v>
      </c>
      <c r="T29" s="386">
        <f ca="1">IF(N(O29)=0,0,VLOOKUP(O29,Hraci!$A$1:$I$1500,9,0))</f>
        <v>0</v>
      </c>
      <c r="U29" s="383" t="str">
        <f t="shared" ca="1" si="12"/>
        <v/>
      </c>
      <c r="V29" s="384" t="str">
        <f ca="1">IF(N(U29)&gt;0,VLOOKUP(U29,Hraci!$A$1:$I$1500,2,0),IF(TYPE(INDIRECT(ADDRESS(ROW() + $A$9-7 + (ROW()-11)*4,2,1,1,"Internet")))&gt;1,INDIRECT(ADDRESS(ROW() + $A$9-7 + (ROW()-11)*4,2,1,1,"Internet"))," "))</f>
        <v xml:space="preserve"> </v>
      </c>
      <c r="W29" s="385" t="str">
        <f ca="1">IF(N(U29)&gt;0,VLOOKUP(U29,Hraci!$A$1:$I$1500,3,0)," ")</f>
        <v xml:space="preserve"> </v>
      </c>
      <c r="X29" s="385" t="str">
        <f ca="1">IF(N(U29)&gt;0,VLOOKUP(U29,Hraci!$A$1:$I$1500,5,0),IF(TYPE(INDIRECT(ADDRESS(ROW() + $A$9-7 + (ROW()-11)*4,3,1,1,"Internet")))&gt;1,INDIRECT(ADDRESS(ROW() + $A$9-7 + (ROW()-11)*4,3,1,1,"Internet"))," "))</f>
        <v xml:space="preserve"> </v>
      </c>
      <c r="Y29" s="319">
        <f ca="1">IF(N(U29)=0,9999,VLOOKUP(U29,Hraci!$A$1:$I$1500,8,0))</f>
        <v>9999</v>
      </c>
      <c r="Z29" s="386">
        <f ca="1">IF(N(U29)=0,0,VLOOKUP(U29,Hraci!$A$1:$I$1500,9,0))</f>
        <v>0</v>
      </c>
      <c r="AA29" s="383" t="str">
        <f t="shared" ca="1" si="13"/>
        <v/>
      </c>
      <c r="AB29" s="384" t="str">
        <f ca="1">IF(N(AA29)&gt;0,VLOOKUP(AA29,Hraci!$A$1:$I$1500,2,0)," ")</f>
        <v xml:space="preserve"> </v>
      </c>
      <c r="AC29" s="385" t="str">
        <f ca="1">IF(N(AA29)&gt;0,VLOOKUP(AA29,Hraci!$A$1:$I$1500,3,0)," ")</f>
        <v xml:space="preserve"> </v>
      </c>
      <c r="AD29" s="385" t="str">
        <f ca="1">IF(N(AA29)&gt;0,VLOOKUP(AA29,Hraci!$A$1:$I$1500,5,0)," ")</f>
        <v xml:space="preserve"> </v>
      </c>
      <c r="AE29" s="319">
        <f ca="1">IF(N(AA29)=0,9999,VLOOKUP(AA29,Hraci!$A$1:$I$1500,8,0))</f>
        <v>9999</v>
      </c>
      <c r="AF29" s="386">
        <f ca="1">IF(N(AA29)=0,0,VLOOKUP(AA29,Hraci!$A$1:$I$1500,9,0))</f>
        <v>0</v>
      </c>
      <c r="AG29" s="391"/>
      <c r="AH29" s="427">
        <f ca="1">IF(TYPE(VLOOKUP(H29,Centrum!$A$3:$E$130,5,0))&lt;4,VLOOKUP(H29,Centrum!$A$3:$E$130,5,0),0)</f>
        <v>52</v>
      </c>
      <c r="AI29" s="387">
        <f ca="1">IF(N($AH29)&gt;0,VLOOKUP($AH29,Body!$A$4:$F$259,5,0),"")</f>
        <v>14.373070312499999</v>
      </c>
      <c r="AJ29" s="388">
        <f ca="1">IF(N($AH29)&gt;0,VLOOKUP($AH29,Body!$A$4:$F$259,6,0),"")</f>
        <v>0</v>
      </c>
      <c r="AK29" s="387">
        <f ca="1">IF(N($AH29)&gt;0,VLOOKUP($AH29,Body!$A$4:$F$259,2,0),"")</f>
        <v>0.375</v>
      </c>
      <c r="AL29" s="389" t="str">
        <f t="shared" ca="1" si="14"/>
        <v>19 UBU Únětice - Křížek Evžen</v>
      </c>
      <c r="AM29" s="390">
        <f t="shared" ca="1" si="15"/>
        <v>24.562999999999999</v>
      </c>
      <c r="AN29" s="319">
        <f ca="1">IF(OR(TYPE(I29)&gt;1,TYPE(MATCH(I29,I30:I$139,0))&gt;1),0,MATCH(I29,I30:I$139,0))+IF(OR(TYPE(I29)&gt;1,TYPE(MATCH(I29,O$11:O$139,0))&gt;1),0,MATCH(I29,O$11:O$139,0))+IF(OR(TYPE(I29)&gt;1,TYPE(MATCH(I29,U$11:U$139,0))&gt;1),0,MATCH(I29,U$11:U$139,0))+IF(OR(TYPE(I29)&gt;1,TYPE(MATCH(I29,AA$11:AA$139,0))&gt;1),0,MATCH(I29,AA$11:AA$139,0))</f>
        <v>0</v>
      </c>
      <c r="AO29" s="319">
        <f ca="1">IF(OR(TYPE(O29)&gt;1,TYPE(MATCH(O29,I$11:I$139,0))&gt;1),0,MATCH(O29,I$11:I$139,0))+IF(OR(TYPE(O29)&gt;1,TYPE(MATCH(O29,O30:O$139,0))&gt;1),0,MATCH(O29,O30:O$139,0))+IF(OR(TYPE(O29)&gt;1,TYPE(MATCH(O29,U$11:U$139,0))&gt;1),0,MATCH(O29,U$11:U$139,0))+IF(OR(TYPE(O29)&gt;1,TYPE(MATCH(O29,AA$11:AA$139,0))&gt;1),0,MATCH(O29,AA$11:AA$139,0))</f>
        <v>0</v>
      </c>
      <c r="AP29" s="319">
        <f ca="1">IF(OR(TYPE(U29)&gt;1,TYPE(MATCH(U29,I$11:I$139,0))&gt;1),0,MATCH(U29,I$11:I$139,0))+IF(OR(TYPE(U29)&gt;1,TYPE(MATCH(U29,O$11:O$139,0))&gt;1),0,MATCH(U29,O$11:O$139,0))+IF(OR(TYPE(U29)&gt;1,TYPE(MATCH(U29,U30:U$139,0))&gt;1),0,MATCH(U29,U30:U$139,0))+IF(OR(TYPE(U29)&gt;1,TYPE(MATCH(U29,AA$11:AA$139,0))&gt;1),0,MATCH(U29,AA$11:AA$139,0))</f>
        <v>0</v>
      </c>
      <c r="AQ29" s="319">
        <f ca="1">IF(OR(TYPE(AA29)&gt;1,TYPE(MATCH(AA29,I$11:I$139,0))&gt;1),0,MATCH(AA29,I$11:I$139,0))+IF(OR(TYPE(AA29)&gt;1,TYPE(MATCH(AA29,O$11:O$139,0))&gt;1),0,MATCH(AA29,O$11:O$139,0))+IF(OR(TYPE(AA29)&gt;1,TYPE(MATCH(AA29,U$11:U$139,0))&gt;1),0,MATCH(U29,U$11:U$139,0))+IF(OR(TYPE(AA29)&gt;1,TYPE(MATCH(AA29,AA30:AA$139,0))&gt;1),0,MATCH(AA29,AA30:AA$139,0))</f>
        <v>0</v>
      </c>
      <c r="AR29" s="319">
        <f t="shared" ca="1" si="18"/>
        <v>0</v>
      </c>
      <c r="AT29" s="318">
        <f t="shared" ca="1" si="16"/>
        <v>0</v>
      </c>
      <c r="AU29" s="318">
        <f ca="1">IF(AND(N(I29)&gt;0,TYPE(VLOOKUP(I29,Hraci!$A$5:$A$800,1,0))&gt;3),1,0) + IF(AND(N(O29)&gt;0,TYPE(VLOOKUP(O29,Hraci!$A$5:$A$800,1,0))&gt;3),1,0) + IF(AND(N(U29)&gt;0,TYPE(VLOOKUP(U29,Hraci!$A$5:$A$800,1,0))&gt;3),1,0)</f>
        <v>0</v>
      </c>
      <c r="BF29" s="319">
        <f t="shared" si="17"/>
        <v>19</v>
      </c>
    </row>
    <row r="30" spans="1:58" ht="12.9" x14ac:dyDescent="0.45">
      <c r="A30" s="302">
        <f t="shared" ca="1" si="2"/>
        <v>1</v>
      </c>
      <c r="B30" s="302">
        <f t="shared" ca="1" si="3"/>
        <v>1</v>
      </c>
      <c r="C30" s="302">
        <f t="shared" ca="1" si="4"/>
        <v>24.094999999999999</v>
      </c>
      <c r="D30" s="302">
        <f t="shared" ca="1" si="5"/>
        <v>20104</v>
      </c>
      <c r="E30" s="302">
        <f t="shared" ca="1" si="6"/>
        <v>106</v>
      </c>
      <c r="F30" s="343" t="str">
        <f t="shared" ca="1" si="7"/>
        <v>91024095979895999893389261</v>
      </c>
      <c r="G30" s="381" t="b">
        <f t="shared" ca="1" si="8"/>
        <v>0</v>
      </c>
      <c r="H30" s="382">
        <f t="shared" si="9"/>
        <v>20</v>
      </c>
      <c r="I30" s="383">
        <f t="shared" ca="1" si="10"/>
        <v>98482</v>
      </c>
      <c r="J30" s="384" t="str">
        <f ca="1">IF(N(I30)&gt;0,VLOOKUP(I30,Hraci!$A$1:$I$1500,2,0),IF(TYPE(INDIRECT(ADDRESS(ROW() + $A$9-9 + (ROW()-11)*4,2,1,1,"Internet")))&gt;1,INDIRECT(ADDRESS(ROW() + $A$9-9 + (ROW()-11)*4,2,1,1,"Internet"))," "))</f>
        <v>Marcián</v>
      </c>
      <c r="K30" s="385" t="str">
        <f ca="1">IF(N(I30)&gt;0,VLOOKUP(I30,Hraci!$A$1:$I$1500,3,0)," ")</f>
        <v>Vladimír</v>
      </c>
      <c r="L30" s="385" t="str">
        <f ca="1">IF(N(I30)&gt;0,VLOOKUP(I30,Hraci!$A$1:$I$1500,5,0),IF(TYPE(INDIRECT(ADDRESS(ROW() + $A$9-9 + (ROW()-11)*4,3,1,1,"Internet")))&gt;1,INDIRECT(ADDRESS(ROW() + $A$9-9 + (ROW()-11)*4,3,1,1,"Internet"))," "))</f>
        <v>HRODE KRUMSÍN</v>
      </c>
      <c r="M30" s="319">
        <f ca="1">IF(N(I30)=0,9999,VLOOKUP(I30,Hraci!$A$1:$I$1500,8,0))</f>
        <v>106</v>
      </c>
      <c r="N30" s="386">
        <f ca="1">IF(N(I30)=0,0,VLOOKUP(I30,Hraci!$A$1:$I$1500,9,0))</f>
        <v>24.094999999999999</v>
      </c>
      <c r="O30" s="383" t="str">
        <f t="shared" ca="1" si="11"/>
        <v/>
      </c>
      <c r="P30" s="384" t="str">
        <f ca="1">IF(N(O30)&gt;0,VLOOKUP(O30,Hraci!$A$1:$I$1500,2,0),IF(TYPE(INDIRECT(ADDRESS(ROW() + $A$9-8 + (ROW()-11)*4,2,1,1,"Internet")))&gt;1,INDIRECT(ADDRESS(ROW() + $A$9-8 + (ROW()-11)*4,2,1,1,"Internet"))," "))</f>
        <v xml:space="preserve"> </v>
      </c>
      <c r="Q30" s="385" t="str">
        <f ca="1">IF(N(O30)&gt;0,VLOOKUP(O30,Hraci!$A$1:$I$1500,3,0)," ")</f>
        <v xml:space="preserve"> </v>
      </c>
      <c r="R30" s="385" t="str">
        <f ca="1">IF(N(O30)&gt;0,VLOOKUP(O30,Hraci!$A$1:$I$1500,5,0),IF(TYPE(INDIRECT(ADDRESS(ROW() + $A$9-8 + (ROW()-11)*4,3,1,1,"Internet")))&gt;1,INDIRECT(ADDRESS(ROW() + $A$9-8 + (ROW()-11)*4,3,1,1,"Internet"))," "))</f>
        <v xml:space="preserve"> </v>
      </c>
      <c r="S30" s="319">
        <f ca="1">IF(N(O30)=0,9999,VLOOKUP(O30,Hraci!$A$1:$I$1500,8,0))</f>
        <v>9999</v>
      </c>
      <c r="T30" s="386">
        <f ca="1">IF(N(O30)=0,0,VLOOKUP(O30,Hraci!$A$1:$I$1500,9,0))</f>
        <v>0</v>
      </c>
      <c r="U30" s="383" t="str">
        <f t="shared" ca="1" si="12"/>
        <v/>
      </c>
      <c r="V30" s="384" t="str">
        <f ca="1">IF(N(U30)&gt;0,VLOOKUP(U30,Hraci!$A$1:$I$1500,2,0),IF(TYPE(INDIRECT(ADDRESS(ROW() + $A$9-7 + (ROW()-11)*4,2,1,1,"Internet")))&gt;1,INDIRECT(ADDRESS(ROW() + $A$9-7 + (ROW()-11)*4,2,1,1,"Internet"))," "))</f>
        <v xml:space="preserve"> </v>
      </c>
      <c r="W30" s="385" t="str">
        <f ca="1">IF(N(U30)&gt;0,VLOOKUP(U30,Hraci!$A$1:$I$1500,3,0)," ")</f>
        <v xml:space="preserve"> </v>
      </c>
      <c r="X30" s="385" t="str">
        <f ca="1">IF(N(U30)&gt;0,VLOOKUP(U30,Hraci!$A$1:$I$1500,5,0),IF(TYPE(INDIRECT(ADDRESS(ROW() + $A$9-7 + (ROW()-11)*4,3,1,1,"Internet")))&gt;1,INDIRECT(ADDRESS(ROW() + $A$9-7 + (ROW()-11)*4,3,1,1,"Internet"))," "))</f>
        <v xml:space="preserve"> </v>
      </c>
      <c r="Y30" s="319">
        <f ca="1">IF(N(U30)=0,9999,VLOOKUP(U30,Hraci!$A$1:$I$1500,8,0))</f>
        <v>9999</v>
      </c>
      <c r="Z30" s="386">
        <f ca="1">IF(N(U30)=0,0,VLOOKUP(U30,Hraci!$A$1:$I$1500,9,0))</f>
        <v>0</v>
      </c>
      <c r="AA30" s="383" t="str">
        <f t="shared" ca="1" si="13"/>
        <v/>
      </c>
      <c r="AB30" s="384" t="str">
        <f ca="1">IF(N(AA30)&gt;0,VLOOKUP(AA30,Hraci!$A$1:$I$1500,2,0)," ")</f>
        <v xml:space="preserve"> </v>
      </c>
      <c r="AC30" s="385" t="str">
        <f ca="1">IF(N(AA30)&gt;0,VLOOKUP(AA30,Hraci!$A$1:$I$1500,3,0)," ")</f>
        <v xml:space="preserve"> </v>
      </c>
      <c r="AD30" s="385" t="str">
        <f ca="1">IF(N(AA30)&gt;0,VLOOKUP(AA30,Hraci!$A$1:$I$1500,5,0)," ")</f>
        <v xml:space="preserve"> </v>
      </c>
      <c r="AE30" s="319">
        <f ca="1">IF(N(AA30)=0,9999,VLOOKUP(AA30,Hraci!$A$1:$I$1500,8,0))</f>
        <v>9999</v>
      </c>
      <c r="AF30" s="386">
        <f ca="1">IF(N(AA30)=0,0,VLOOKUP(AA30,Hraci!$A$1:$I$1500,9,0))</f>
        <v>0</v>
      </c>
      <c r="AG30" s="391"/>
      <c r="AH30" s="427">
        <f ca="1">IF(TYPE(VLOOKUP(H30,Centrum!$A$3:$E$130,5,0))&lt;4,VLOOKUP(H30,Centrum!$A$3:$E$130,5,0),0)</f>
        <v>40</v>
      </c>
      <c r="AI30" s="387">
        <f ca="1">IF(N($AH30)&gt;0,VLOOKUP($AH30,Body!$A$4:$F$259,5,0),"")</f>
        <v>28.746140624999999</v>
      </c>
      <c r="AJ30" s="388">
        <f ca="1">IF(N($AH30)&gt;0,VLOOKUP($AH30,Body!$A$4:$F$259,6,0),"")</f>
        <v>0</v>
      </c>
      <c r="AK30" s="387">
        <f ca="1">IF(N($AH30)&gt;0,VLOOKUP($AH30,Body!$A$4:$F$259,2,0),"")</f>
        <v>0.75</v>
      </c>
      <c r="AL30" s="389" t="str">
        <f t="shared" ca="1" si="14"/>
        <v>20 HRODE KRUMSÍN - Marcián Vladimír</v>
      </c>
      <c r="AM30" s="390">
        <f t="shared" ca="1" si="15"/>
        <v>24.094999999999999</v>
      </c>
      <c r="AN30" s="319">
        <f ca="1">IF(OR(TYPE(I30)&gt;1,TYPE(MATCH(I30,I31:I$139,0))&gt;1),0,MATCH(I30,I31:I$139,0))+IF(OR(TYPE(I30)&gt;1,TYPE(MATCH(I30,O$11:O$139,0))&gt;1),0,MATCH(I30,O$11:O$139,0))+IF(OR(TYPE(I30)&gt;1,TYPE(MATCH(I30,U$11:U$139,0))&gt;1),0,MATCH(I30,U$11:U$139,0))+IF(OR(TYPE(I30)&gt;1,TYPE(MATCH(I30,AA$11:AA$139,0))&gt;1),0,MATCH(I30,AA$11:AA$139,0))</f>
        <v>0</v>
      </c>
      <c r="AO30" s="319">
        <f ca="1">IF(OR(TYPE(O30)&gt;1,TYPE(MATCH(O30,I$11:I$139,0))&gt;1),0,MATCH(O30,I$11:I$139,0))+IF(OR(TYPE(O30)&gt;1,TYPE(MATCH(O30,O31:O$139,0))&gt;1),0,MATCH(O30,O31:O$139,0))+IF(OR(TYPE(O30)&gt;1,TYPE(MATCH(O30,U$11:U$139,0))&gt;1),0,MATCH(O30,U$11:U$139,0))+IF(OR(TYPE(O30)&gt;1,TYPE(MATCH(O30,AA$11:AA$139,0))&gt;1),0,MATCH(O30,AA$11:AA$139,0))</f>
        <v>0</v>
      </c>
      <c r="AP30" s="319">
        <f ca="1">IF(OR(TYPE(U30)&gt;1,TYPE(MATCH(U30,I$11:I$139,0))&gt;1),0,MATCH(U30,I$11:I$139,0))+IF(OR(TYPE(U30)&gt;1,TYPE(MATCH(U30,O$11:O$139,0))&gt;1),0,MATCH(U30,O$11:O$139,0))+IF(OR(TYPE(U30)&gt;1,TYPE(MATCH(U30,U31:U$139,0))&gt;1),0,MATCH(U30,U31:U$139,0))+IF(OR(TYPE(U30)&gt;1,TYPE(MATCH(U30,AA$11:AA$139,0))&gt;1),0,MATCH(U30,AA$11:AA$139,0))</f>
        <v>0</v>
      </c>
      <c r="AQ30" s="319">
        <f ca="1">IF(OR(TYPE(AA30)&gt;1,TYPE(MATCH(AA30,I$11:I$139,0))&gt;1),0,MATCH(AA30,I$11:I$139,0))+IF(OR(TYPE(AA30)&gt;1,TYPE(MATCH(AA30,O$11:O$139,0))&gt;1),0,MATCH(AA30,O$11:O$139,0))+IF(OR(TYPE(AA30)&gt;1,TYPE(MATCH(AA30,U$11:U$139,0))&gt;1),0,MATCH(U30,U$11:U$139,0))+IF(OR(TYPE(AA30)&gt;1,TYPE(MATCH(AA30,AA31:AA$139,0))&gt;1),0,MATCH(AA30,AA31:AA$139,0))</f>
        <v>0</v>
      </c>
      <c r="AR30" s="319">
        <f t="shared" ca="1" si="18"/>
        <v>0</v>
      </c>
      <c r="AT30" s="318">
        <f t="shared" ca="1" si="16"/>
        <v>0</v>
      </c>
      <c r="AU30" s="318">
        <f ca="1">IF(AND(N(I30)&gt;0,TYPE(VLOOKUP(I30,Hraci!$A$5:$A$800,1,0))&gt;3),1,0) + IF(AND(N(O30)&gt;0,TYPE(VLOOKUP(O30,Hraci!$A$5:$A$800,1,0))&gt;3),1,0) + IF(AND(N(U30)&gt;0,TYPE(VLOOKUP(U30,Hraci!$A$5:$A$800,1,0))&gt;3),1,0)</f>
        <v>0</v>
      </c>
      <c r="BF30" s="319">
        <f t="shared" si="17"/>
        <v>20</v>
      </c>
    </row>
    <row r="31" spans="1:58" ht="12.9" x14ac:dyDescent="0.45">
      <c r="A31" s="302">
        <f t="shared" ca="1" si="2"/>
        <v>1</v>
      </c>
      <c r="B31" s="302">
        <f t="shared" ca="1" si="3"/>
        <v>1</v>
      </c>
      <c r="C31" s="302">
        <f t="shared" ca="1" si="4"/>
        <v>23.876000000000001</v>
      </c>
      <c r="D31" s="302">
        <f t="shared" ca="1" si="5"/>
        <v>20139</v>
      </c>
      <c r="E31" s="302">
        <f t="shared" ca="1" si="6"/>
        <v>141</v>
      </c>
      <c r="F31" s="343" t="str">
        <f t="shared" ca="1" si="7"/>
        <v>91023876979860999858447508</v>
      </c>
      <c r="G31" s="381" t="b">
        <f t="shared" ca="1" si="8"/>
        <v>0</v>
      </c>
      <c r="H31" s="382">
        <f t="shared" si="9"/>
        <v>21</v>
      </c>
      <c r="I31" s="383">
        <f t="shared" ca="1" si="10"/>
        <v>16082</v>
      </c>
      <c r="J31" s="384" t="str">
        <f ca="1">IF(N(I31)&gt;0,VLOOKUP(I31,Hraci!$A$1:$I$1500,2,0),IF(TYPE(INDIRECT(ADDRESS(ROW() + $A$9-9 + (ROW()-11)*4,2,1,1,"Internet")))&gt;1,INDIRECT(ADDRESS(ROW() + $A$9-9 + (ROW()-11)*4,2,1,1,"Internet"))," "))</f>
        <v>Pastorek</v>
      </c>
      <c r="K31" s="385" t="str">
        <f ca="1">IF(N(I31)&gt;0,VLOOKUP(I31,Hraci!$A$1:$I$1500,3,0)," ")</f>
        <v>Jaroslav</v>
      </c>
      <c r="L31" s="385" t="str">
        <f ca="1">IF(N(I31)&gt;0,VLOOKUP(I31,Hraci!$A$1:$I$1500,5,0),IF(TYPE(INDIRECT(ADDRESS(ROW() + $A$9-9 + (ROW()-11)*4,3,1,1,"Internet")))&gt;1,INDIRECT(ADDRESS(ROW() + $A$9-9 + (ROW()-11)*4,3,1,1,"Internet"))," "))</f>
        <v>SK Pétanque Řepy</v>
      </c>
      <c r="M31" s="319">
        <f ca="1">IF(N(I31)=0,9999,VLOOKUP(I31,Hraci!$A$1:$I$1500,8,0))</f>
        <v>141</v>
      </c>
      <c r="N31" s="386">
        <f ca="1">IF(N(I31)=0,0,VLOOKUP(I31,Hraci!$A$1:$I$1500,9,0))</f>
        <v>23.876000000000001</v>
      </c>
      <c r="O31" s="383" t="str">
        <f t="shared" ca="1" si="11"/>
        <v/>
      </c>
      <c r="P31" s="384" t="str">
        <f ca="1">IF(N(O31)&gt;0,VLOOKUP(O31,Hraci!$A$1:$I$1500,2,0),IF(TYPE(INDIRECT(ADDRESS(ROW() + $A$9-8 + (ROW()-11)*4,2,1,1,"Internet")))&gt;1,INDIRECT(ADDRESS(ROW() + $A$9-8 + (ROW()-11)*4,2,1,1,"Internet"))," "))</f>
        <v xml:space="preserve"> </v>
      </c>
      <c r="Q31" s="385" t="str">
        <f ca="1">IF(N(O31)&gt;0,VLOOKUP(O31,Hraci!$A$1:$I$1500,3,0)," ")</f>
        <v xml:space="preserve"> </v>
      </c>
      <c r="R31" s="385" t="str">
        <f ca="1">IF(N(O31)&gt;0,VLOOKUP(O31,Hraci!$A$1:$I$1500,5,0),IF(TYPE(INDIRECT(ADDRESS(ROW() + $A$9-8 + (ROW()-11)*4,3,1,1,"Internet")))&gt;1,INDIRECT(ADDRESS(ROW() + $A$9-8 + (ROW()-11)*4,3,1,1,"Internet"))," "))</f>
        <v xml:space="preserve"> </v>
      </c>
      <c r="S31" s="319">
        <f ca="1">IF(N(O31)=0,9999,VLOOKUP(O31,Hraci!$A$1:$I$1500,8,0))</f>
        <v>9999</v>
      </c>
      <c r="T31" s="386">
        <f ca="1">IF(N(O31)=0,0,VLOOKUP(O31,Hraci!$A$1:$I$1500,9,0))</f>
        <v>0</v>
      </c>
      <c r="U31" s="383" t="str">
        <f t="shared" ca="1" si="12"/>
        <v/>
      </c>
      <c r="V31" s="384" t="str">
        <f ca="1">IF(N(U31)&gt;0,VLOOKUP(U31,Hraci!$A$1:$I$1500,2,0),IF(TYPE(INDIRECT(ADDRESS(ROW() + $A$9-7 + (ROW()-11)*4,2,1,1,"Internet")))&gt;1,INDIRECT(ADDRESS(ROW() + $A$9-7 + (ROW()-11)*4,2,1,1,"Internet"))," "))</f>
        <v xml:space="preserve"> </v>
      </c>
      <c r="W31" s="385" t="str">
        <f ca="1">IF(N(U31)&gt;0,VLOOKUP(U31,Hraci!$A$1:$I$1500,3,0)," ")</f>
        <v xml:space="preserve"> </v>
      </c>
      <c r="X31" s="385" t="str">
        <f ca="1">IF(N(U31)&gt;0,VLOOKUP(U31,Hraci!$A$1:$I$1500,5,0),IF(TYPE(INDIRECT(ADDRESS(ROW() + $A$9-7 + (ROW()-11)*4,3,1,1,"Internet")))&gt;1,INDIRECT(ADDRESS(ROW() + $A$9-7 + (ROW()-11)*4,3,1,1,"Internet"))," "))</f>
        <v xml:space="preserve"> </v>
      </c>
      <c r="Y31" s="319">
        <f ca="1">IF(N(U31)=0,9999,VLOOKUP(U31,Hraci!$A$1:$I$1500,8,0))</f>
        <v>9999</v>
      </c>
      <c r="Z31" s="386">
        <f ca="1">IF(N(U31)=0,0,VLOOKUP(U31,Hraci!$A$1:$I$1500,9,0))</f>
        <v>0</v>
      </c>
      <c r="AA31" s="383" t="str">
        <f t="shared" ca="1" si="13"/>
        <v/>
      </c>
      <c r="AB31" s="384" t="str">
        <f ca="1">IF(N(AA31)&gt;0,VLOOKUP(AA31,Hraci!$A$1:$I$1500,2,0)," ")</f>
        <v xml:space="preserve"> </v>
      </c>
      <c r="AC31" s="385" t="str">
        <f ca="1">IF(N(AA31)&gt;0,VLOOKUP(AA31,Hraci!$A$1:$I$1500,3,0)," ")</f>
        <v xml:space="preserve"> </v>
      </c>
      <c r="AD31" s="385" t="str">
        <f ca="1">IF(N(AA31)&gt;0,VLOOKUP(AA31,Hraci!$A$1:$I$1500,5,0)," ")</f>
        <v xml:space="preserve"> </v>
      </c>
      <c r="AE31" s="319">
        <f ca="1">IF(N(AA31)=0,9999,VLOOKUP(AA31,Hraci!$A$1:$I$1500,8,0))</f>
        <v>9999</v>
      </c>
      <c r="AF31" s="386">
        <f ca="1">IF(N(AA31)=0,0,VLOOKUP(AA31,Hraci!$A$1:$I$1500,9,0))</f>
        <v>0</v>
      </c>
      <c r="AG31" s="391"/>
      <c r="AH31" s="427">
        <f ca="1">IF(TYPE(VLOOKUP(H31,Centrum!$A$3:$E$130,5,0))&lt;4,VLOOKUP(H31,Centrum!$A$3:$E$130,5,0),0)</f>
        <v>16</v>
      </c>
      <c r="AI31" s="387">
        <f ca="1">IF(N($AH31)&gt;0,VLOOKUP($AH31,Body!$A$4:$F$259,5,0),"")</f>
        <v>76.656374999999997</v>
      </c>
      <c r="AJ31" s="388">
        <f ca="1">IF(N($AH31)&gt;0,VLOOKUP($AH31,Body!$A$4:$F$259,6,0),"")</f>
        <v>0</v>
      </c>
      <c r="AK31" s="387">
        <f ca="1">IF(N($AH31)&gt;0,VLOOKUP($AH31,Body!$A$4:$F$259,2,0),"")</f>
        <v>2</v>
      </c>
      <c r="AL31" s="389" t="str">
        <f t="shared" ca="1" si="14"/>
        <v>21 SK Pétanque Řepy - Pastorek Jaroslav</v>
      </c>
      <c r="AM31" s="390">
        <f t="shared" ca="1" si="15"/>
        <v>23.876000000000001</v>
      </c>
      <c r="AN31" s="319">
        <f ca="1">IF(OR(TYPE(I31)&gt;1,TYPE(MATCH(I31,I32:I$139,0))&gt;1),0,MATCH(I31,I32:I$139,0))+IF(OR(TYPE(I31)&gt;1,TYPE(MATCH(I31,O$11:O$139,0))&gt;1),0,MATCH(I31,O$11:O$139,0))+IF(OR(TYPE(I31)&gt;1,TYPE(MATCH(I31,U$11:U$139,0))&gt;1),0,MATCH(I31,U$11:U$139,0))+IF(OR(TYPE(I31)&gt;1,TYPE(MATCH(I31,AA$11:AA$139,0))&gt;1),0,MATCH(I31,AA$11:AA$139,0))</f>
        <v>0</v>
      </c>
      <c r="AO31" s="319">
        <f ca="1">IF(OR(TYPE(O31)&gt;1,TYPE(MATCH(O31,I$11:I$139,0))&gt;1),0,MATCH(O31,I$11:I$139,0))+IF(OR(TYPE(O31)&gt;1,TYPE(MATCH(O31,O32:O$139,0))&gt;1),0,MATCH(O31,O32:O$139,0))+IF(OR(TYPE(O31)&gt;1,TYPE(MATCH(O31,U$11:U$139,0))&gt;1),0,MATCH(O31,U$11:U$139,0))+IF(OR(TYPE(O31)&gt;1,TYPE(MATCH(O31,AA$11:AA$139,0))&gt;1),0,MATCH(O31,AA$11:AA$139,0))</f>
        <v>0</v>
      </c>
      <c r="AP31" s="319">
        <f ca="1">IF(OR(TYPE(U31)&gt;1,TYPE(MATCH(U31,I$11:I$139,0))&gt;1),0,MATCH(U31,I$11:I$139,0))+IF(OR(TYPE(U31)&gt;1,TYPE(MATCH(U31,O$11:O$139,0))&gt;1),0,MATCH(U31,O$11:O$139,0))+IF(OR(TYPE(U31)&gt;1,TYPE(MATCH(U31,U32:U$139,0))&gt;1),0,MATCH(U31,U32:U$139,0))+IF(OR(TYPE(U31)&gt;1,TYPE(MATCH(U31,AA$11:AA$139,0))&gt;1),0,MATCH(U31,AA$11:AA$139,0))</f>
        <v>0</v>
      </c>
      <c r="AQ31" s="319">
        <f ca="1">IF(OR(TYPE(AA31)&gt;1,TYPE(MATCH(AA31,I$11:I$139,0))&gt;1),0,MATCH(AA31,I$11:I$139,0))+IF(OR(TYPE(AA31)&gt;1,TYPE(MATCH(AA31,O$11:O$139,0))&gt;1),0,MATCH(AA31,O$11:O$139,0))+IF(OR(TYPE(AA31)&gt;1,TYPE(MATCH(AA31,U$11:U$139,0))&gt;1),0,MATCH(U31,U$11:U$139,0))+IF(OR(TYPE(AA31)&gt;1,TYPE(MATCH(AA31,AA32:AA$139,0))&gt;1),0,MATCH(AA31,AA32:AA$139,0))</f>
        <v>0</v>
      </c>
      <c r="AR31" s="319">
        <f t="shared" ca="1" si="18"/>
        <v>0</v>
      </c>
      <c r="AT31" s="318">
        <f t="shared" ca="1" si="16"/>
        <v>0</v>
      </c>
      <c r="AU31" s="318">
        <f ca="1">IF(AND(N(I31)&gt;0,TYPE(VLOOKUP(I31,Hraci!$A$5:$A$800,1,0))&gt;3),1,0) + IF(AND(N(O31)&gt;0,TYPE(VLOOKUP(O31,Hraci!$A$5:$A$800,1,0))&gt;3),1,0) + IF(AND(N(U31)&gt;0,TYPE(VLOOKUP(U31,Hraci!$A$5:$A$800,1,0))&gt;3),1,0)</f>
        <v>0</v>
      </c>
      <c r="BF31" s="319">
        <f t="shared" si="17"/>
        <v>21</v>
      </c>
    </row>
    <row r="32" spans="1:58" ht="12.9" x14ac:dyDescent="0.45">
      <c r="A32" s="302">
        <f t="shared" ca="1" si="2"/>
        <v>1</v>
      </c>
      <c r="B32" s="302">
        <f t="shared" ca="1" si="3"/>
        <v>1</v>
      </c>
      <c r="C32" s="302">
        <f t="shared" ca="1" si="4"/>
        <v>23.251000000000001</v>
      </c>
      <c r="D32" s="302">
        <f t="shared" ca="1" si="5"/>
        <v>20153</v>
      </c>
      <c r="E32" s="302">
        <f t="shared" ca="1" si="6"/>
        <v>155</v>
      </c>
      <c r="F32" s="343" t="str">
        <f t="shared" ca="1" si="7"/>
        <v>91023251979846999844421326</v>
      </c>
      <c r="G32" s="381" t="b">
        <f t="shared" ca="1" si="8"/>
        <v>0</v>
      </c>
      <c r="H32" s="382">
        <f t="shared" si="9"/>
        <v>22</v>
      </c>
      <c r="I32" s="383">
        <f t="shared" ca="1" si="10"/>
        <v>12042</v>
      </c>
      <c r="J32" s="384" t="str">
        <f ca="1">IF(N(I32)&gt;0,VLOOKUP(I32,Hraci!$A$1:$I$1500,2,0),IF(TYPE(INDIRECT(ADDRESS(ROW() + $A$9-9 + (ROW()-11)*4,2,1,1,"Internet")))&gt;1,INDIRECT(ADDRESS(ROW() + $A$9-9 + (ROW()-11)*4,2,1,1,"Internet"))," "))</f>
        <v>Pilát</v>
      </c>
      <c r="K32" s="385" t="str">
        <f ca="1">IF(N(I32)&gt;0,VLOOKUP(I32,Hraci!$A$1:$I$1500,3,0)," ")</f>
        <v>Petr</v>
      </c>
      <c r="L32" s="385" t="str">
        <f ca="1">IF(N(I32)&gt;0,VLOOKUP(I32,Hraci!$A$1:$I$1500,5,0),IF(TYPE(INDIRECT(ADDRESS(ROW() + $A$9-9 + (ROW()-11)*4,3,1,1,"Internet")))&gt;1,INDIRECT(ADDRESS(ROW() + $A$9-9 + (ROW()-11)*4,3,1,1,"Internet"))," "))</f>
        <v>SKP Kulová osma</v>
      </c>
      <c r="M32" s="319">
        <f ca="1">IF(N(I32)=0,9999,VLOOKUP(I32,Hraci!$A$1:$I$1500,8,0))</f>
        <v>155</v>
      </c>
      <c r="N32" s="386">
        <f ca="1">IF(N(I32)=0,0,VLOOKUP(I32,Hraci!$A$1:$I$1500,9,0))</f>
        <v>23.251000000000001</v>
      </c>
      <c r="O32" s="383" t="str">
        <f t="shared" ca="1" si="11"/>
        <v/>
      </c>
      <c r="P32" s="384" t="str">
        <f ca="1">IF(N(O32)&gt;0,VLOOKUP(O32,Hraci!$A$1:$I$1500,2,0),IF(TYPE(INDIRECT(ADDRESS(ROW() + $A$9-8 + (ROW()-11)*4,2,1,1,"Internet")))&gt;1,INDIRECT(ADDRESS(ROW() + $A$9-8 + (ROW()-11)*4,2,1,1,"Internet"))," "))</f>
        <v xml:space="preserve"> </v>
      </c>
      <c r="Q32" s="385" t="str">
        <f ca="1">IF(N(O32)&gt;0,VLOOKUP(O32,Hraci!$A$1:$I$1500,3,0)," ")</f>
        <v xml:space="preserve"> </v>
      </c>
      <c r="R32" s="385" t="str">
        <f ca="1">IF(N(O32)&gt;0,VLOOKUP(O32,Hraci!$A$1:$I$1500,5,0),IF(TYPE(INDIRECT(ADDRESS(ROW() + $A$9-8 + (ROW()-11)*4,3,1,1,"Internet")))&gt;1,INDIRECT(ADDRESS(ROW() + $A$9-8 + (ROW()-11)*4,3,1,1,"Internet"))," "))</f>
        <v xml:space="preserve"> </v>
      </c>
      <c r="S32" s="319">
        <f ca="1">IF(N(O32)=0,9999,VLOOKUP(O32,Hraci!$A$1:$I$1500,8,0))</f>
        <v>9999</v>
      </c>
      <c r="T32" s="386">
        <f ca="1">IF(N(O32)=0,0,VLOOKUP(O32,Hraci!$A$1:$I$1500,9,0))</f>
        <v>0</v>
      </c>
      <c r="U32" s="383" t="str">
        <f t="shared" ca="1" si="12"/>
        <v/>
      </c>
      <c r="V32" s="384" t="str">
        <f ca="1">IF(N(U32)&gt;0,VLOOKUP(U32,Hraci!$A$1:$I$1500,2,0),IF(TYPE(INDIRECT(ADDRESS(ROW() + $A$9-7 + (ROW()-11)*4,2,1,1,"Internet")))&gt;1,INDIRECT(ADDRESS(ROW() + $A$9-7 + (ROW()-11)*4,2,1,1,"Internet"))," "))</f>
        <v xml:space="preserve"> </v>
      </c>
      <c r="W32" s="385" t="str">
        <f ca="1">IF(N(U32)&gt;0,VLOOKUP(U32,Hraci!$A$1:$I$1500,3,0)," ")</f>
        <v xml:space="preserve"> </v>
      </c>
      <c r="X32" s="385" t="str">
        <f ca="1">IF(N(U32)&gt;0,VLOOKUP(U32,Hraci!$A$1:$I$1500,5,0),IF(TYPE(INDIRECT(ADDRESS(ROW() + $A$9-7 + (ROW()-11)*4,3,1,1,"Internet")))&gt;1,INDIRECT(ADDRESS(ROW() + $A$9-7 + (ROW()-11)*4,3,1,1,"Internet"))," "))</f>
        <v xml:space="preserve"> </v>
      </c>
      <c r="Y32" s="319">
        <f ca="1">IF(N(U32)=0,9999,VLOOKUP(U32,Hraci!$A$1:$I$1500,8,0))</f>
        <v>9999</v>
      </c>
      <c r="Z32" s="386">
        <f ca="1">IF(N(U32)=0,0,VLOOKUP(U32,Hraci!$A$1:$I$1500,9,0))</f>
        <v>0</v>
      </c>
      <c r="AA32" s="383" t="str">
        <f t="shared" ca="1" si="13"/>
        <v/>
      </c>
      <c r="AB32" s="384" t="str">
        <f ca="1">IF(N(AA32)&gt;0,VLOOKUP(AA32,Hraci!$A$1:$I$1500,2,0)," ")</f>
        <v xml:space="preserve"> </v>
      </c>
      <c r="AC32" s="385" t="str">
        <f ca="1">IF(N(AA32)&gt;0,VLOOKUP(AA32,Hraci!$A$1:$I$1500,3,0)," ")</f>
        <v xml:space="preserve"> </v>
      </c>
      <c r="AD32" s="385" t="str">
        <f ca="1">IF(N(AA32)&gt;0,VLOOKUP(AA32,Hraci!$A$1:$I$1500,5,0)," ")</f>
        <v xml:space="preserve"> </v>
      </c>
      <c r="AE32" s="319">
        <f ca="1">IF(N(AA32)=0,9999,VLOOKUP(AA32,Hraci!$A$1:$I$1500,8,0))</f>
        <v>9999</v>
      </c>
      <c r="AF32" s="386">
        <f ca="1">IF(N(AA32)=0,0,VLOOKUP(AA32,Hraci!$A$1:$I$1500,9,0))</f>
        <v>0</v>
      </c>
      <c r="AG32" s="391"/>
      <c r="AH32" s="427">
        <f ca="1">IF(TYPE(VLOOKUP(H32,Centrum!$A$3:$E$130,5,0))&lt;4,VLOOKUP(H32,Centrum!$A$3:$E$130,5,0),0)</f>
        <v>23</v>
      </c>
      <c r="AI32" s="387">
        <f ca="1">IF(N($AH32)&gt;0,VLOOKUP($AH32,Body!$A$4:$F$259,5,0),"")</f>
        <v>59.887792968749999</v>
      </c>
      <c r="AJ32" s="388">
        <f ca="1">IF(N($AH32)&gt;0,VLOOKUP($AH32,Body!$A$4:$F$259,6,0),"")</f>
        <v>0</v>
      </c>
      <c r="AK32" s="387">
        <f ca="1">IF(N($AH32)&gt;0,VLOOKUP($AH32,Body!$A$4:$F$259,2,0),"")</f>
        <v>1.5625</v>
      </c>
      <c r="AL32" s="389" t="str">
        <f t="shared" ca="1" si="14"/>
        <v>22 SKP Kulová osma - Pilát Petr</v>
      </c>
      <c r="AM32" s="390">
        <f t="shared" ca="1" si="15"/>
        <v>23.251000000000001</v>
      </c>
      <c r="AN32" s="319">
        <f ca="1">IF(OR(TYPE(I32)&gt;1,TYPE(MATCH(I32,I33:I$139,0))&gt;1),0,MATCH(I32,I33:I$139,0))+IF(OR(TYPE(I32)&gt;1,TYPE(MATCH(I32,O$11:O$139,0))&gt;1),0,MATCH(I32,O$11:O$139,0))+IF(OR(TYPE(I32)&gt;1,TYPE(MATCH(I32,U$11:U$139,0))&gt;1),0,MATCH(I32,U$11:U$139,0))+IF(OR(TYPE(I32)&gt;1,TYPE(MATCH(I32,AA$11:AA$139,0))&gt;1),0,MATCH(I32,AA$11:AA$139,0))</f>
        <v>0</v>
      </c>
      <c r="AO32" s="319">
        <f ca="1">IF(OR(TYPE(O32)&gt;1,TYPE(MATCH(O32,I$11:I$139,0))&gt;1),0,MATCH(O32,I$11:I$139,0))+IF(OR(TYPE(O32)&gt;1,TYPE(MATCH(O32,O33:O$139,0))&gt;1),0,MATCH(O32,O33:O$139,0))+IF(OR(TYPE(O32)&gt;1,TYPE(MATCH(O32,U$11:U$139,0))&gt;1),0,MATCH(O32,U$11:U$139,0))+IF(OR(TYPE(O32)&gt;1,TYPE(MATCH(O32,AA$11:AA$139,0))&gt;1),0,MATCH(O32,AA$11:AA$139,0))</f>
        <v>0</v>
      </c>
      <c r="AP32" s="319">
        <f ca="1">IF(OR(TYPE(U32)&gt;1,TYPE(MATCH(U32,I$11:I$139,0))&gt;1),0,MATCH(U32,I$11:I$139,0))+IF(OR(TYPE(U32)&gt;1,TYPE(MATCH(U32,O$11:O$139,0))&gt;1),0,MATCH(U32,O$11:O$139,0))+IF(OR(TYPE(U32)&gt;1,TYPE(MATCH(U32,U33:U$139,0))&gt;1),0,MATCH(U32,U33:U$139,0))+IF(OR(TYPE(U32)&gt;1,TYPE(MATCH(U32,AA$11:AA$139,0))&gt;1),0,MATCH(U32,AA$11:AA$139,0))</f>
        <v>0</v>
      </c>
      <c r="AQ32" s="319">
        <f ca="1">IF(OR(TYPE(AA32)&gt;1,TYPE(MATCH(AA32,I$11:I$139,0))&gt;1),0,MATCH(AA32,I$11:I$139,0))+IF(OR(TYPE(AA32)&gt;1,TYPE(MATCH(AA32,O$11:O$139,0))&gt;1),0,MATCH(AA32,O$11:O$139,0))+IF(OR(TYPE(AA32)&gt;1,TYPE(MATCH(AA32,U$11:U$139,0))&gt;1),0,MATCH(U32,U$11:U$139,0))+IF(OR(TYPE(AA32)&gt;1,TYPE(MATCH(AA32,AA33:AA$139,0))&gt;1),0,MATCH(AA32,AA33:AA$139,0))</f>
        <v>0</v>
      </c>
      <c r="AR32" s="319">
        <f t="shared" ca="1" si="18"/>
        <v>0</v>
      </c>
      <c r="AT32" s="318">
        <f t="shared" ca="1" si="16"/>
        <v>0</v>
      </c>
      <c r="AU32" s="318">
        <f ca="1">IF(AND(N(I32)&gt;0,TYPE(VLOOKUP(I32,Hraci!$A$5:$A$800,1,0))&gt;3),1,0) + IF(AND(N(O32)&gt;0,TYPE(VLOOKUP(O32,Hraci!$A$5:$A$800,1,0))&gt;3),1,0) + IF(AND(N(U32)&gt;0,TYPE(VLOOKUP(U32,Hraci!$A$5:$A$800,1,0))&gt;3),1,0)</f>
        <v>0</v>
      </c>
      <c r="BF32" s="319">
        <f t="shared" si="17"/>
        <v>22</v>
      </c>
    </row>
    <row r="33" spans="1:58" ht="12.9" x14ac:dyDescent="0.45">
      <c r="A33" s="302">
        <f t="shared" ca="1" si="2"/>
        <v>1</v>
      </c>
      <c r="B33" s="302">
        <f t="shared" ca="1" si="3"/>
        <v>1</v>
      </c>
      <c r="C33" s="302">
        <f t="shared" ca="1" si="4"/>
        <v>23.094000000000001</v>
      </c>
      <c r="D33" s="302">
        <f t="shared" ca="1" si="5"/>
        <v>20103</v>
      </c>
      <c r="E33" s="302">
        <f t="shared" ca="1" si="6"/>
        <v>105</v>
      </c>
      <c r="F33" s="343" t="str">
        <f t="shared" ca="1" si="7"/>
        <v>91023094979896999894174514</v>
      </c>
      <c r="G33" s="381" t="b">
        <f t="shared" ca="1" si="8"/>
        <v>0</v>
      </c>
      <c r="H33" s="382">
        <f t="shared" si="9"/>
        <v>23</v>
      </c>
      <c r="I33" s="383">
        <f t="shared" ca="1" si="10"/>
        <v>28051</v>
      </c>
      <c r="J33" s="384" t="str">
        <f ca="1">IF(N(I33)&gt;0,VLOOKUP(I33,Hraci!$A$1:$I$1500,2,0),IF(TYPE(INDIRECT(ADDRESS(ROW() + $A$9-9 + (ROW()-11)*4,2,1,1,"Internet")))&gt;1,INDIRECT(ADDRESS(ROW() + $A$9-9 + (ROW()-11)*4,2,1,1,"Internet"))," "))</f>
        <v>Horáček</v>
      </c>
      <c r="K33" s="385" t="str">
        <f ca="1">IF(N(I33)&gt;0,VLOOKUP(I33,Hraci!$A$1:$I$1500,3,0)," ")</f>
        <v>Jindřich</v>
      </c>
      <c r="L33" s="385" t="str">
        <f ca="1">IF(N(I33)&gt;0,VLOOKUP(I33,Hraci!$A$1:$I$1500,5,0),IF(TYPE(INDIRECT(ADDRESS(ROW() + $A$9-9 + (ROW()-11)*4,3,1,1,"Internet")))&gt;1,INDIRECT(ADDRESS(ROW() + $A$9-9 + (ROW()-11)*4,3,1,1,"Internet"))," "))</f>
        <v>PC Kolová</v>
      </c>
      <c r="M33" s="319">
        <f ca="1">IF(N(I33)=0,9999,VLOOKUP(I33,Hraci!$A$1:$I$1500,8,0))</f>
        <v>105</v>
      </c>
      <c r="N33" s="386">
        <f ca="1">IF(N(I33)=0,0,VLOOKUP(I33,Hraci!$A$1:$I$1500,9,0))</f>
        <v>23.094000000000001</v>
      </c>
      <c r="O33" s="383" t="str">
        <f t="shared" ca="1" si="11"/>
        <v/>
      </c>
      <c r="P33" s="384" t="str">
        <f ca="1">IF(N(O33)&gt;0,VLOOKUP(O33,Hraci!$A$1:$I$1500,2,0),IF(TYPE(INDIRECT(ADDRESS(ROW() + $A$9-8 + (ROW()-11)*4,2,1,1,"Internet")))&gt;1,INDIRECT(ADDRESS(ROW() + $A$9-8 + (ROW()-11)*4,2,1,1,"Internet"))," "))</f>
        <v xml:space="preserve"> </v>
      </c>
      <c r="Q33" s="385" t="str">
        <f ca="1">IF(N(O33)&gt;0,VLOOKUP(O33,Hraci!$A$1:$I$1500,3,0)," ")</f>
        <v xml:space="preserve"> </v>
      </c>
      <c r="R33" s="385" t="str">
        <f ca="1">IF(N(O33)&gt;0,VLOOKUP(O33,Hraci!$A$1:$I$1500,5,0),IF(TYPE(INDIRECT(ADDRESS(ROW() + $A$9-8 + (ROW()-11)*4,3,1,1,"Internet")))&gt;1,INDIRECT(ADDRESS(ROW() + $A$9-8 + (ROW()-11)*4,3,1,1,"Internet"))," "))</f>
        <v xml:space="preserve"> </v>
      </c>
      <c r="S33" s="319">
        <f ca="1">IF(N(O33)=0,9999,VLOOKUP(O33,Hraci!$A$1:$I$1500,8,0))</f>
        <v>9999</v>
      </c>
      <c r="T33" s="386">
        <f ca="1">IF(N(O33)=0,0,VLOOKUP(O33,Hraci!$A$1:$I$1500,9,0))</f>
        <v>0</v>
      </c>
      <c r="U33" s="383" t="str">
        <f t="shared" ca="1" si="12"/>
        <v/>
      </c>
      <c r="V33" s="384" t="str">
        <f ca="1">IF(N(U33)&gt;0,VLOOKUP(U33,Hraci!$A$1:$I$1500,2,0),IF(TYPE(INDIRECT(ADDRESS(ROW() + $A$9-7 + (ROW()-11)*4,2,1,1,"Internet")))&gt;1,INDIRECT(ADDRESS(ROW() + $A$9-7 + (ROW()-11)*4,2,1,1,"Internet"))," "))</f>
        <v xml:space="preserve"> </v>
      </c>
      <c r="W33" s="385" t="str">
        <f ca="1">IF(N(U33)&gt;0,VLOOKUP(U33,Hraci!$A$1:$I$1500,3,0)," ")</f>
        <v xml:space="preserve"> </v>
      </c>
      <c r="X33" s="385" t="str">
        <f ca="1">IF(N(U33)&gt;0,VLOOKUP(U33,Hraci!$A$1:$I$1500,5,0),IF(TYPE(INDIRECT(ADDRESS(ROW() + $A$9-7 + (ROW()-11)*4,3,1,1,"Internet")))&gt;1,INDIRECT(ADDRESS(ROW() + $A$9-7 + (ROW()-11)*4,3,1,1,"Internet"))," "))</f>
        <v xml:space="preserve"> </v>
      </c>
      <c r="Y33" s="319">
        <f ca="1">IF(N(U33)=0,9999,VLOOKUP(U33,Hraci!$A$1:$I$1500,8,0))</f>
        <v>9999</v>
      </c>
      <c r="Z33" s="386">
        <f ca="1">IF(N(U33)=0,0,VLOOKUP(U33,Hraci!$A$1:$I$1500,9,0))</f>
        <v>0</v>
      </c>
      <c r="AA33" s="383" t="str">
        <f t="shared" ca="1" si="13"/>
        <v/>
      </c>
      <c r="AB33" s="384" t="str">
        <f ca="1">IF(N(AA33)&gt;0,VLOOKUP(AA33,Hraci!$A$1:$I$1500,2,0)," ")</f>
        <v xml:space="preserve"> </v>
      </c>
      <c r="AC33" s="385" t="str">
        <f ca="1">IF(N(AA33)&gt;0,VLOOKUP(AA33,Hraci!$A$1:$I$1500,3,0)," ")</f>
        <v xml:space="preserve"> </v>
      </c>
      <c r="AD33" s="385" t="str">
        <f ca="1">IF(N(AA33)&gt;0,VLOOKUP(AA33,Hraci!$A$1:$I$1500,5,0)," ")</f>
        <v xml:space="preserve"> </v>
      </c>
      <c r="AE33" s="319">
        <f ca="1">IF(N(AA33)=0,9999,VLOOKUP(AA33,Hraci!$A$1:$I$1500,8,0))</f>
        <v>9999</v>
      </c>
      <c r="AF33" s="386">
        <f ca="1">IF(N(AA33)=0,0,VLOOKUP(AA33,Hraci!$A$1:$I$1500,9,0))</f>
        <v>0</v>
      </c>
      <c r="AG33" s="391"/>
      <c r="AH33" s="427">
        <f ca="1">IF(TYPE(VLOOKUP(H33,Centrum!$A$3:$E$130,5,0))&lt;4,VLOOKUP(H33,Centrum!$A$3:$E$130,5,0),0)</f>
        <v>16</v>
      </c>
      <c r="AI33" s="387">
        <f ca="1">IF(N($AH33)&gt;0,VLOOKUP($AH33,Body!$A$4:$F$259,5,0),"")</f>
        <v>76.656374999999997</v>
      </c>
      <c r="AJ33" s="388">
        <f ca="1">IF(N($AH33)&gt;0,VLOOKUP($AH33,Body!$A$4:$F$259,6,0),"")</f>
        <v>0</v>
      </c>
      <c r="AK33" s="387">
        <f ca="1">IF(N($AH33)&gt;0,VLOOKUP($AH33,Body!$A$4:$F$259,2,0),"")</f>
        <v>2</v>
      </c>
      <c r="AL33" s="389" t="str">
        <f t="shared" ca="1" si="14"/>
        <v>23 PC Kolová - Horáček Jindřich</v>
      </c>
      <c r="AM33" s="390">
        <f t="shared" ca="1" si="15"/>
        <v>23.094000000000001</v>
      </c>
      <c r="AN33" s="319">
        <f ca="1">IF(OR(TYPE(I33)&gt;1,TYPE(MATCH(I33,I34:I$139,0))&gt;1),0,MATCH(I33,I34:I$139,0))+IF(OR(TYPE(I33)&gt;1,TYPE(MATCH(I33,O$11:O$139,0))&gt;1),0,MATCH(I33,O$11:O$139,0))+IF(OR(TYPE(I33)&gt;1,TYPE(MATCH(I33,U$11:U$139,0))&gt;1),0,MATCH(I33,U$11:U$139,0))+IF(OR(TYPE(I33)&gt;1,TYPE(MATCH(I33,AA$11:AA$139,0))&gt;1),0,MATCH(I33,AA$11:AA$139,0))</f>
        <v>0</v>
      </c>
      <c r="AO33" s="319">
        <f ca="1">IF(OR(TYPE(O33)&gt;1,TYPE(MATCH(O33,I$11:I$139,0))&gt;1),0,MATCH(O33,I$11:I$139,0))+IF(OR(TYPE(O33)&gt;1,TYPE(MATCH(O33,O34:O$139,0))&gt;1),0,MATCH(O33,O34:O$139,0))+IF(OR(TYPE(O33)&gt;1,TYPE(MATCH(O33,U$11:U$139,0))&gt;1),0,MATCH(O33,U$11:U$139,0))+IF(OR(TYPE(O33)&gt;1,TYPE(MATCH(O33,AA$11:AA$139,0))&gt;1),0,MATCH(O33,AA$11:AA$139,0))</f>
        <v>0</v>
      </c>
      <c r="AP33" s="319">
        <f ca="1">IF(OR(TYPE(U33)&gt;1,TYPE(MATCH(U33,I$11:I$139,0))&gt;1),0,MATCH(U33,I$11:I$139,0))+IF(OR(TYPE(U33)&gt;1,TYPE(MATCH(U33,O$11:O$139,0))&gt;1),0,MATCH(U33,O$11:O$139,0))+IF(OR(TYPE(U33)&gt;1,TYPE(MATCH(U33,U34:U$139,0))&gt;1),0,MATCH(U33,U34:U$139,0))+IF(OR(TYPE(U33)&gt;1,TYPE(MATCH(U33,AA$11:AA$139,0))&gt;1),0,MATCH(U33,AA$11:AA$139,0))</f>
        <v>0</v>
      </c>
      <c r="AQ33" s="319">
        <f ca="1">IF(OR(TYPE(AA33)&gt;1,TYPE(MATCH(AA33,I$11:I$139,0))&gt;1),0,MATCH(AA33,I$11:I$139,0))+IF(OR(TYPE(AA33)&gt;1,TYPE(MATCH(AA33,O$11:O$139,0))&gt;1),0,MATCH(AA33,O$11:O$139,0))+IF(OR(TYPE(AA33)&gt;1,TYPE(MATCH(AA33,U$11:U$139,0))&gt;1),0,MATCH(U33,U$11:U$139,0))+IF(OR(TYPE(AA33)&gt;1,TYPE(MATCH(AA33,AA34:AA$139,0))&gt;1),0,MATCH(AA33,AA34:AA$139,0))</f>
        <v>0</v>
      </c>
      <c r="AR33" s="319">
        <f t="shared" ca="1" si="18"/>
        <v>0</v>
      </c>
      <c r="AT33" s="318">
        <f t="shared" ca="1" si="16"/>
        <v>0</v>
      </c>
      <c r="AU33" s="318">
        <f ca="1">IF(AND(N(I33)&gt;0,TYPE(VLOOKUP(I33,Hraci!$A$5:$A$800,1,0))&gt;3),1,0) + IF(AND(N(O33)&gt;0,TYPE(VLOOKUP(O33,Hraci!$A$5:$A$800,1,0))&gt;3),1,0) + IF(AND(N(U33)&gt;0,TYPE(VLOOKUP(U33,Hraci!$A$5:$A$800,1,0))&gt;3),1,0)</f>
        <v>0</v>
      </c>
      <c r="BF33" s="319">
        <f t="shared" si="17"/>
        <v>23</v>
      </c>
    </row>
    <row r="34" spans="1:58" ht="12.9" x14ac:dyDescent="0.45">
      <c r="A34" s="302">
        <f t="shared" ca="1" si="2"/>
        <v>1</v>
      </c>
      <c r="B34" s="302">
        <f t="shared" ca="1" si="3"/>
        <v>1</v>
      </c>
      <c r="C34" s="302">
        <f t="shared" ca="1" si="4"/>
        <v>20.376000000000001</v>
      </c>
      <c r="D34" s="302">
        <f t="shared" ca="1" si="5"/>
        <v>20152</v>
      </c>
      <c r="E34" s="302">
        <f t="shared" ca="1" si="6"/>
        <v>154</v>
      </c>
      <c r="F34" s="343" t="str">
        <f t="shared" ca="1" si="7"/>
        <v>91020376979847999845806618</v>
      </c>
      <c r="G34" s="381" t="b">
        <f t="shared" ca="1" si="8"/>
        <v>0</v>
      </c>
      <c r="H34" s="382">
        <f t="shared" si="9"/>
        <v>24</v>
      </c>
      <c r="I34" s="383">
        <f t="shared" ca="1" si="10"/>
        <v>20534</v>
      </c>
      <c r="J34" s="384" t="str">
        <f ca="1">IF(N(I34)&gt;0,VLOOKUP(I34,Hraci!$A$1:$I$1500,2,0),IF(TYPE(INDIRECT(ADDRESS(ROW() + $A$9-9 + (ROW()-11)*4,2,1,1,"Internet")))&gt;1,INDIRECT(ADDRESS(ROW() + $A$9-9 + (ROW()-11)*4,2,1,1,"Internet"))," "))</f>
        <v>Váňová</v>
      </c>
      <c r="K34" s="385" t="str">
        <f ca="1">IF(N(I34)&gt;0,VLOOKUP(I34,Hraci!$A$1:$I$1500,3,0)," ")</f>
        <v>Věra</v>
      </c>
      <c r="L34" s="385" t="str">
        <f ca="1">IF(N(I34)&gt;0,VLOOKUP(I34,Hraci!$A$1:$I$1500,5,0),IF(TYPE(INDIRECT(ADDRESS(ROW() + $A$9-9 + (ROW()-11)*4,3,1,1,"Internet")))&gt;1,INDIRECT(ADDRESS(ROW() + $A$9-9 + (ROW()-11)*4,3,1,1,"Internet"))," "))</f>
        <v>SK Pétanque Řepy</v>
      </c>
      <c r="M34" s="319">
        <f ca="1">IF(N(I34)=0,9999,VLOOKUP(I34,Hraci!$A$1:$I$1500,8,0))</f>
        <v>154</v>
      </c>
      <c r="N34" s="386">
        <f ca="1">IF(N(I34)=0,0,VLOOKUP(I34,Hraci!$A$1:$I$1500,9,0))</f>
        <v>20.376000000000001</v>
      </c>
      <c r="O34" s="383" t="str">
        <f t="shared" ca="1" si="11"/>
        <v/>
      </c>
      <c r="P34" s="384" t="str">
        <f ca="1">IF(N(O34)&gt;0,VLOOKUP(O34,Hraci!$A$1:$I$1500,2,0),IF(TYPE(INDIRECT(ADDRESS(ROW() + $A$9-8 + (ROW()-11)*4,2,1,1,"Internet")))&gt;1,INDIRECT(ADDRESS(ROW() + $A$9-8 + (ROW()-11)*4,2,1,1,"Internet"))," "))</f>
        <v xml:space="preserve"> </v>
      </c>
      <c r="Q34" s="385" t="str">
        <f ca="1">IF(N(O34)&gt;0,VLOOKUP(O34,Hraci!$A$1:$I$1500,3,0)," ")</f>
        <v xml:space="preserve"> </v>
      </c>
      <c r="R34" s="385" t="str">
        <f ca="1">IF(N(O34)&gt;0,VLOOKUP(O34,Hraci!$A$1:$I$1500,5,0),IF(TYPE(INDIRECT(ADDRESS(ROW() + $A$9-8 + (ROW()-11)*4,3,1,1,"Internet")))&gt;1,INDIRECT(ADDRESS(ROW() + $A$9-8 + (ROW()-11)*4,3,1,1,"Internet"))," "))</f>
        <v xml:space="preserve"> </v>
      </c>
      <c r="S34" s="319">
        <f ca="1">IF(N(O34)=0,9999,VLOOKUP(O34,Hraci!$A$1:$I$1500,8,0))</f>
        <v>9999</v>
      </c>
      <c r="T34" s="386">
        <f ca="1">IF(N(O34)=0,0,VLOOKUP(O34,Hraci!$A$1:$I$1500,9,0))</f>
        <v>0</v>
      </c>
      <c r="U34" s="383" t="str">
        <f t="shared" ca="1" si="12"/>
        <v/>
      </c>
      <c r="V34" s="384" t="str">
        <f ca="1">IF(N(U34)&gt;0,VLOOKUP(U34,Hraci!$A$1:$I$1500,2,0),IF(TYPE(INDIRECT(ADDRESS(ROW() + $A$9-7 + (ROW()-11)*4,2,1,1,"Internet")))&gt;1,INDIRECT(ADDRESS(ROW() + $A$9-7 + (ROW()-11)*4,2,1,1,"Internet"))," "))</f>
        <v xml:space="preserve"> </v>
      </c>
      <c r="W34" s="385" t="str">
        <f ca="1">IF(N(U34)&gt;0,VLOOKUP(U34,Hraci!$A$1:$I$1500,3,0)," ")</f>
        <v xml:space="preserve"> </v>
      </c>
      <c r="X34" s="385" t="str">
        <f ca="1">IF(N(U34)&gt;0,VLOOKUP(U34,Hraci!$A$1:$I$1500,5,0),IF(TYPE(INDIRECT(ADDRESS(ROW() + $A$9-7 + (ROW()-11)*4,3,1,1,"Internet")))&gt;1,INDIRECT(ADDRESS(ROW() + $A$9-7 + (ROW()-11)*4,3,1,1,"Internet"))," "))</f>
        <v xml:space="preserve"> </v>
      </c>
      <c r="Y34" s="319">
        <f ca="1">IF(N(U34)=0,9999,VLOOKUP(U34,Hraci!$A$1:$I$1500,8,0))</f>
        <v>9999</v>
      </c>
      <c r="Z34" s="386">
        <f ca="1">IF(N(U34)=0,0,VLOOKUP(U34,Hraci!$A$1:$I$1500,9,0))</f>
        <v>0</v>
      </c>
      <c r="AA34" s="383" t="str">
        <f t="shared" ca="1" si="13"/>
        <v/>
      </c>
      <c r="AB34" s="384" t="str">
        <f ca="1">IF(N(AA34)&gt;0,VLOOKUP(AA34,Hraci!$A$1:$I$1500,2,0)," ")</f>
        <v xml:space="preserve"> </v>
      </c>
      <c r="AC34" s="385" t="str">
        <f ca="1">IF(N(AA34)&gt;0,VLOOKUP(AA34,Hraci!$A$1:$I$1500,3,0)," ")</f>
        <v xml:space="preserve"> </v>
      </c>
      <c r="AD34" s="385" t="str">
        <f ca="1">IF(N(AA34)&gt;0,VLOOKUP(AA34,Hraci!$A$1:$I$1500,5,0)," ")</f>
        <v xml:space="preserve"> </v>
      </c>
      <c r="AE34" s="319">
        <f ca="1">IF(N(AA34)=0,9999,VLOOKUP(AA34,Hraci!$A$1:$I$1500,8,0))</f>
        <v>9999</v>
      </c>
      <c r="AF34" s="386">
        <f ca="1">IF(N(AA34)=0,0,VLOOKUP(AA34,Hraci!$A$1:$I$1500,9,0))</f>
        <v>0</v>
      </c>
      <c r="AG34" s="391"/>
      <c r="AH34" s="427">
        <f ca="1">IF(TYPE(VLOOKUP(H34,Centrum!$A$3:$E$130,5,0))&lt;4,VLOOKUP(H34,Centrum!$A$3:$E$130,5,0),0)</f>
        <v>16</v>
      </c>
      <c r="AI34" s="387">
        <f ca="1">IF(N($AH34)&gt;0,VLOOKUP($AH34,Body!$A$4:$F$259,5,0),"")</f>
        <v>76.656374999999997</v>
      </c>
      <c r="AJ34" s="388">
        <f ca="1">IF(N($AH34)&gt;0,VLOOKUP($AH34,Body!$A$4:$F$259,6,0),"")</f>
        <v>0</v>
      </c>
      <c r="AK34" s="387">
        <f ca="1">IF(N($AH34)&gt;0,VLOOKUP($AH34,Body!$A$4:$F$259,2,0),"")</f>
        <v>2</v>
      </c>
      <c r="AL34" s="389" t="str">
        <f t="shared" ca="1" si="14"/>
        <v>24 SK Pétanque Řepy - Váňová Věra</v>
      </c>
      <c r="AM34" s="390">
        <f t="shared" ca="1" si="15"/>
        <v>20.376000000000001</v>
      </c>
      <c r="AN34" s="319">
        <f ca="1">IF(OR(TYPE(I34)&gt;1,TYPE(MATCH(I34,I35:I$139,0))&gt;1),0,MATCH(I34,I35:I$139,0))+IF(OR(TYPE(I34)&gt;1,TYPE(MATCH(I34,O$11:O$139,0))&gt;1),0,MATCH(I34,O$11:O$139,0))+IF(OR(TYPE(I34)&gt;1,TYPE(MATCH(I34,U$11:U$139,0))&gt;1),0,MATCH(I34,U$11:U$139,0))+IF(OR(TYPE(I34)&gt;1,TYPE(MATCH(I34,AA$11:AA$139,0))&gt;1),0,MATCH(I34,AA$11:AA$139,0))</f>
        <v>0</v>
      </c>
      <c r="AO34" s="319">
        <f ca="1">IF(OR(TYPE(O34)&gt;1,TYPE(MATCH(O34,I$11:I$139,0))&gt;1),0,MATCH(O34,I$11:I$139,0))+IF(OR(TYPE(O34)&gt;1,TYPE(MATCH(O34,O35:O$139,0))&gt;1),0,MATCH(O34,O35:O$139,0))+IF(OR(TYPE(O34)&gt;1,TYPE(MATCH(O34,U$11:U$139,0))&gt;1),0,MATCH(O34,U$11:U$139,0))+IF(OR(TYPE(O34)&gt;1,TYPE(MATCH(O34,AA$11:AA$139,0))&gt;1),0,MATCH(O34,AA$11:AA$139,0))</f>
        <v>0</v>
      </c>
      <c r="AP34" s="319">
        <f ca="1">IF(OR(TYPE(U34)&gt;1,TYPE(MATCH(U34,I$11:I$139,0))&gt;1),0,MATCH(U34,I$11:I$139,0))+IF(OR(TYPE(U34)&gt;1,TYPE(MATCH(U34,O$11:O$139,0))&gt;1),0,MATCH(U34,O$11:O$139,0))+IF(OR(TYPE(U34)&gt;1,TYPE(MATCH(U34,U35:U$139,0))&gt;1),0,MATCH(U34,U35:U$139,0))+IF(OR(TYPE(U34)&gt;1,TYPE(MATCH(U34,AA$11:AA$139,0))&gt;1),0,MATCH(U34,AA$11:AA$139,0))</f>
        <v>0</v>
      </c>
      <c r="AQ34" s="319">
        <f ca="1">IF(OR(TYPE(AA34)&gt;1,TYPE(MATCH(AA34,I$11:I$139,0))&gt;1),0,MATCH(AA34,I$11:I$139,0))+IF(OR(TYPE(AA34)&gt;1,TYPE(MATCH(AA34,O$11:O$139,0))&gt;1),0,MATCH(AA34,O$11:O$139,0))+IF(OR(TYPE(AA34)&gt;1,TYPE(MATCH(AA34,U$11:U$139,0))&gt;1),0,MATCH(U34,U$11:U$139,0))+IF(OR(TYPE(AA34)&gt;1,TYPE(MATCH(AA34,AA35:AA$139,0))&gt;1),0,MATCH(AA34,AA35:AA$139,0))</f>
        <v>0</v>
      </c>
      <c r="AR34" s="319">
        <f t="shared" ca="1" si="18"/>
        <v>0</v>
      </c>
      <c r="AT34" s="318">
        <f t="shared" ca="1" si="16"/>
        <v>0</v>
      </c>
      <c r="AU34" s="318">
        <f ca="1">IF(AND(N(I34)&gt;0,TYPE(VLOOKUP(I34,Hraci!$A$5:$A$800,1,0))&gt;3),1,0) + IF(AND(N(O34)&gt;0,TYPE(VLOOKUP(O34,Hraci!$A$5:$A$800,1,0))&gt;3),1,0) + IF(AND(N(U34)&gt;0,TYPE(VLOOKUP(U34,Hraci!$A$5:$A$800,1,0))&gt;3),1,0)</f>
        <v>0</v>
      </c>
      <c r="BF34" s="319">
        <f t="shared" si="17"/>
        <v>24</v>
      </c>
    </row>
    <row r="35" spans="1:58" ht="12.9" x14ac:dyDescent="0.45">
      <c r="A35" s="302">
        <f t="shared" ca="1" si="2"/>
        <v>1</v>
      </c>
      <c r="B35" s="302">
        <f t="shared" ca="1" si="3"/>
        <v>1</v>
      </c>
      <c r="C35" s="302">
        <f t="shared" ca="1" si="4"/>
        <v>19.939</v>
      </c>
      <c r="D35" s="302">
        <f t="shared" ca="1" si="5"/>
        <v>20142</v>
      </c>
      <c r="E35" s="302">
        <f t="shared" ca="1" si="6"/>
        <v>144</v>
      </c>
      <c r="F35" s="343" t="str">
        <f t="shared" ca="1" si="7"/>
        <v>91019939979857999855555362</v>
      </c>
      <c r="G35" s="381" t="b">
        <f t="shared" ca="1" si="8"/>
        <v>0</v>
      </c>
      <c r="H35" s="382">
        <f t="shared" si="9"/>
        <v>25</v>
      </c>
      <c r="I35" s="383">
        <f t="shared" ca="1" si="10"/>
        <v>21026</v>
      </c>
      <c r="J35" s="384" t="str">
        <f ca="1">IF(N(I35)&gt;0,VLOOKUP(I35,Hraci!$A$1:$I$1500,2,0),IF(TYPE(INDIRECT(ADDRESS(ROW() + $A$9-9 + (ROW()-11)*4,2,1,1,"Internet")))&gt;1,INDIRECT(ADDRESS(ROW() + $A$9-9 + (ROW()-11)*4,2,1,1,"Internet"))," "))</f>
        <v>Vodehnalová</v>
      </c>
      <c r="K35" s="385" t="str">
        <f ca="1">IF(N(I35)&gt;0,VLOOKUP(I35,Hraci!$A$1:$I$1500,3,0)," ")</f>
        <v>Jindra</v>
      </c>
      <c r="L35" s="385" t="str">
        <f ca="1">IF(N(I35)&gt;0,VLOOKUP(I35,Hraci!$A$1:$I$1500,5,0),IF(TYPE(INDIRECT(ADDRESS(ROW() + $A$9-9 + (ROW()-11)*4,3,1,1,"Internet")))&gt;1,INDIRECT(ADDRESS(ROW() + $A$9-9 + (ROW()-11)*4,3,1,1,"Internet"))," "))</f>
        <v>SK Pétanque Řepy</v>
      </c>
      <c r="M35" s="319">
        <f ca="1">IF(N(I35)=0,9999,VLOOKUP(I35,Hraci!$A$1:$I$1500,8,0))</f>
        <v>144</v>
      </c>
      <c r="N35" s="386">
        <f ca="1">IF(N(I35)=0,0,VLOOKUP(I35,Hraci!$A$1:$I$1500,9,0))</f>
        <v>19.939</v>
      </c>
      <c r="O35" s="383" t="str">
        <f t="shared" ca="1" si="11"/>
        <v/>
      </c>
      <c r="P35" s="384" t="str">
        <f ca="1">IF(N(O35)&gt;0,VLOOKUP(O35,Hraci!$A$1:$I$1500,2,0),IF(TYPE(INDIRECT(ADDRESS(ROW() + $A$9-8 + (ROW()-11)*4,2,1,1,"Internet")))&gt;1,INDIRECT(ADDRESS(ROW() + $A$9-8 + (ROW()-11)*4,2,1,1,"Internet"))," "))</f>
        <v xml:space="preserve"> </v>
      </c>
      <c r="Q35" s="385" t="str">
        <f ca="1">IF(N(O35)&gt;0,VLOOKUP(O35,Hraci!$A$1:$I$1500,3,0)," ")</f>
        <v xml:space="preserve"> </v>
      </c>
      <c r="R35" s="385" t="str">
        <f ca="1">IF(N(O35)&gt;0,VLOOKUP(O35,Hraci!$A$1:$I$1500,5,0),IF(TYPE(INDIRECT(ADDRESS(ROW() + $A$9-8 + (ROW()-11)*4,3,1,1,"Internet")))&gt;1,INDIRECT(ADDRESS(ROW() + $A$9-8 + (ROW()-11)*4,3,1,1,"Internet"))," "))</f>
        <v xml:space="preserve"> </v>
      </c>
      <c r="S35" s="319">
        <f ca="1">IF(N(O35)=0,9999,VLOOKUP(O35,Hraci!$A$1:$I$1500,8,0))</f>
        <v>9999</v>
      </c>
      <c r="T35" s="386">
        <f ca="1">IF(N(O35)=0,0,VLOOKUP(O35,Hraci!$A$1:$I$1500,9,0))</f>
        <v>0</v>
      </c>
      <c r="U35" s="383" t="str">
        <f t="shared" ca="1" si="12"/>
        <v/>
      </c>
      <c r="V35" s="384" t="str">
        <f ca="1">IF(N(U35)&gt;0,VLOOKUP(U35,Hraci!$A$1:$I$1500,2,0),IF(TYPE(INDIRECT(ADDRESS(ROW() + $A$9-7 + (ROW()-11)*4,2,1,1,"Internet")))&gt;1,INDIRECT(ADDRESS(ROW() + $A$9-7 + (ROW()-11)*4,2,1,1,"Internet"))," "))</f>
        <v xml:space="preserve"> </v>
      </c>
      <c r="W35" s="385" t="str">
        <f ca="1">IF(N(U35)&gt;0,VLOOKUP(U35,Hraci!$A$1:$I$1500,3,0)," ")</f>
        <v xml:space="preserve"> </v>
      </c>
      <c r="X35" s="385" t="str">
        <f ca="1">IF(N(U35)&gt;0,VLOOKUP(U35,Hraci!$A$1:$I$1500,5,0),IF(TYPE(INDIRECT(ADDRESS(ROW() + $A$9-7 + (ROW()-11)*4,3,1,1,"Internet")))&gt;1,INDIRECT(ADDRESS(ROW() + $A$9-7 + (ROW()-11)*4,3,1,1,"Internet"))," "))</f>
        <v xml:space="preserve"> </v>
      </c>
      <c r="Y35" s="319">
        <f ca="1">IF(N(U35)=0,9999,VLOOKUP(U35,Hraci!$A$1:$I$1500,8,0))</f>
        <v>9999</v>
      </c>
      <c r="Z35" s="386">
        <f ca="1">IF(N(U35)=0,0,VLOOKUP(U35,Hraci!$A$1:$I$1500,9,0))</f>
        <v>0</v>
      </c>
      <c r="AA35" s="383" t="str">
        <f t="shared" ca="1" si="13"/>
        <v/>
      </c>
      <c r="AB35" s="384" t="str">
        <f ca="1">IF(N(AA35)&gt;0,VLOOKUP(AA35,Hraci!$A$1:$I$1500,2,0)," ")</f>
        <v xml:space="preserve"> </v>
      </c>
      <c r="AC35" s="385" t="str">
        <f ca="1">IF(N(AA35)&gt;0,VLOOKUP(AA35,Hraci!$A$1:$I$1500,3,0)," ")</f>
        <v xml:space="preserve"> </v>
      </c>
      <c r="AD35" s="385" t="str">
        <f ca="1">IF(N(AA35)&gt;0,VLOOKUP(AA35,Hraci!$A$1:$I$1500,5,0)," ")</f>
        <v xml:space="preserve"> </v>
      </c>
      <c r="AE35" s="319">
        <f ca="1">IF(N(AA35)=0,9999,VLOOKUP(AA35,Hraci!$A$1:$I$1500,8,0))</f>
        <v>9999</v>
      </c>
      <c r="AF35" s="386">
        <f ca="1">IF(N(AA35)=0,0,VLOOKUP(AA35,Hraci!$A$1:$I$1500,9,0))</f>
        <v>0</v>
      </c>
      <c r="AG35" s="391"/>
      <c r="AH35" s="427">
        <f ca="1">IF(TYPE(VLOOKUP(H35,Centrum!$A$3:$E$130,5,0))&lt;4,VLOOKUP(H35,Centrum!$A$3:$E$130,5,0),0)</f>
        <v>34</v>
      </c>
      <c r="AI35" s="387">
        <f ca="1">IF(N($AH35)&gt;0,VLOOKUP($AH35,Body!$A$4:$F$259,5,0),"")</f>
        <v>35.932675781249998</v>
      </c>
      <c r="AJ35" s="388">
        <f ca="1">IF(N($AH35)&gt;0,VLOOKUP($AH35,Body!$A$4:$F$259,6,0),"")</f>
        <v>0</v>
      </c>
      <c r="AK35" s="387">
        <f ca="1">IF(N($AH35)&gt;0,VLOOKUP($AH35,Body!$A$4:$F$259,2,0),"")</f>
        <v>0.9375</v>
      </c>
      <c r="AL35" s="389" t="str">
        <f t="shared" ca="1" si="14"/>
        <v>25 SK Pétanque Řepy - Vodehnalová Jindra</v>
      </c>
      <c r="AM35" s="390">
        <f t="shared" ca="1" si="15"/>
        <v>19.939</v>
      </c>
      <c r="AN35" s="319">
        <f ca="1">IF(OR(TYPE(I35)&gt;1,TYPE(MATCH(I35,I36:I$139,0))&gt;1),0,MATCH(I35,I36:I$139,0))+IF(OR(TYPE(I35)&gt;1,TYPE(MATCH(I35,O$11:O$139,0))&gt;1),0,MATCH(I35,O$11:O$139,0))+IF(OR(TYPE(I35)&gt;1,TYPE(MATCH(I35,U$11:U$139,0))&gt;1),0,MATCH(I35,U$11:U$139,0))+IF(OR(TYPE(I35)&gt;1,TYPE(MATCH(I35,AA$11:AA$139,0))&gt;1),0,MATCH(I35,AA$11:AA$139,0))</f>
        <v>0</v>
      </c>
      <c r="AO35" s="319">
        <f ca="1">IF(OR(TYPE(O35)&gt;1,TYPE(MATCH(O35,I$11:I$139,0))&gt;1),0,MATCH(O35,I$11:I$139,0))+IF(OR(TYPE(O35)&gt;1,TYPE(MATCH(O35,O36:O$139,0))&gt;1),0,MATCH(O35,O36:O$139,0))+IF(OR(TYPE(O35)&gt;1,TYPE(MATCH(O35,U$11:U$139,0))&gt;1),0,MATCH(O35,U$11:U$139,0))+IF(OR(TYPE(O35)&gt;1,TYPE(MATCH(O35,AA$11:AA$139,0))&gt;1),0,MATCH(O35,AA$11:AA$139,0))</f>
        <v>0</v>
      </c>
      <c r="AP35" s="319">
        <f ca="1">IF(OR(TYPE(U35)&gt;1,TYPE(MATCH(U35,I$11:I$139,0))&gt;1),0,MATCH(U35,I$11:I$139,0))+IF(OR(TYPE(U35)&gt;1,TYPE(MATCH(U35,O$11:O$139,0))&gt;1),0,MATCH(U35,O$11:O$139,0))+IF(OR(TYPE(U35)&gt;1,TYPE(MATCH(U35,U36:U$139,0))&gt;1),0,MATCH(U35,U36:U$139,0))+IF(OR(TYPE(U35)&gt;1,TYPE(MATCH(U35,AA$11:AA$139,0))&gt;1),0,MATCH(U35,AA$11:AA$139,0))</f>
        <v>0</v>
      </c>
      <c r="AQ35" s="319">
        <f ca="1">IF(OR(TYPE(AA35)&gt;1,TYPE(MATCH(AA35,I$11:I$139,0))&gt;1),0,MATCH(AA35,I$11:I$139,0))+IF(OR(TYPE(AA35)&gt;1,TYPE(MATCH(AA35,O$11:O$139,0))&gt;1),0,MATCH(AA35,O$11:O$139,0))+IF(OR(TYPE(AA35)&gt;1,TYPE(MATCH(AA35,U$11:U$139,0))&gt;1),0,MATCH(U35,U$11:U$139,0))+IF(OR(TYPE(AA35)&gt;1,TYPE(MATCH(AA35,AA36:AA$139,0))&gt;1),0,MATCH(AA35,AA36:AA$139,0))</f>
        <v>0</v>
      </c>
      <c r="AR35" s="319">
        <f t="shared" ca="1" si="18"/>
        <v>0</v>
      </c>
      <c r="AT35" s="318">
        <f t="shared" ca="1" si="16"/>
        <v>0</v>
      </c>
      <c r="AU35" s="318">
        <f ca="1">IF(AND(N(I35)&gt;0,TYPE(VLOOKUP(I35,Hraci!$A$5:$A$800,1,0))&gt;3),1,0) + IF(AND(N(O35)&gt;0,TYPE(VLOOKUP(O35,Hraci!$A$5:$A$800,1,0))&gt;3),1,0) + IF(AND(N(U35)&gt;0,TYPE(VLOOKUP(U35,Hraci!$A$5:$A$800,1,0))&gt;3),1,0)</f>
        <v>0</v>
      </c>
      <c r="BF35" s="319">
        <f t="shared" si="17"/>
        <v>25</v>
      </c>
    </row>
    <row r="36" spans="1:58" ht="12.9" x14ac:dyDescent="0.45">
      <c r="A36" s="302">
        <f t="shared" ca="1" si="2"/>
        <v>1</v>
      </c>
      <c r="B36" s="302">
        <f t="shared" ca="1" si="3"/>
        <v>1</v>
      </c>
      <c r="C36" s="302">
        <f t="shared" ca="1" si="4"/>
        <v>19.689</v>
      </c>
      <c r="D36" s="302">
        <f t="shared" ca="1" si="5"/>
        <v>20116</v>
      </c>
      <c r="E36" s="302">
        <f t="shared" ca="1" si="6"/>
        <v>118</v>
      </c>
      <c r="F36" s="343" t="str">
        <f t="shared" ca="1" si="7"/>
        <v>91019689979883999881611366</v>
      </c>
      <c r="G36" s="381" t="b">
        <f t="shared" ca="1" si="8"/>
        <v>0</v>
      </c>
      <c r="H36" s="382">
        <f t="shared" si="9"/>
        <v>26</v>
      </c>
      <c r="I36" s="383">
        <f t="shared" ca="1" si="10"/>
        <v>14076</v>
      </c>
      <c r="J36" s="384" t="str">
        <f ca="1">IF(N(I36)&gt;0,VLOOKUP(I36,Hraci!$A$1:$I$1500,2,0),IF(TYPE(INDIRECT(ADDRESS(ROW() + $A$9-9 + (ROW()-11)*4,2,1,1,"Internet")))&gt;1,INDIRECT(ADDRESS(ROW() + $A$9-9 + (ROW()-11)*4,2,1,1,"Internet"))," "))</f>
        <v>Klír</v>
      </c>
      <c r="K36" s="385" t="str">
        <f ca="1">IF(N(I36)&gt;0,VLOOKUP(I36,Hraci!$A$1:$I$1500,3,0)," ")</f>
        <v>Tomáš</v>
      </c>
      <c r="L36" s="385" t="str">
        <f ca="1">IF(N(I36)&gt;0,VLOOKUP(I36,Hraci!$A$1:$I$1500,5,0),IF(TYPE(INDIRECT(ADDRESS(ROW() + $A$9-9 + (ROW()-11)*4,3,1,1,"Internet")))&gt;1,INDIRECT(ADDRESS(ROW() + $A$9-9 + (ROW()-11)*4,3,1,1,"Internet"))," "))</f>
        <v>Petank Club Praha</v>
      </c>
      <c r="M36" s="319">
        <f ca="1">IF(N(I36)=0,9999,VLOOKUP(I36,Hraci!$A$1:$I$1500,8,0))</f>
        <v>118</v>
      </c>
      <c r="N36" s="386">
        <f ca="1">IF(N(I36)=0,0,VLOOKUP(I36,Hraci!$A$1:$I$1500,9,0))</f>
        <v>19.689</v>
      </c>
      <c r="O36" s="383" t="str">
        <f t="shared" ca="1" si="11"/>
        <v/>
      </c>
      <c r="P36" s="384" t="str">
        <f ca="1">IF(N(O36)&gt;0,VLOOKUP(O36,Hraci!$A$1:$I$1500,2,0),IF(TYPE(INDIRECT(ADDRESS(ROW() + $A$9-8 + (ROW()-11)*4,2,1,1,"Internet")))&gt;1,INDIRECT(ADDRESS(ROW() + $A$9-8 + (ROW()-11)*4,2,1,1,"Internet"))," "))</f>
        <v xml:space="preserve"> </v>
      </c>
      <c r="Q36" s="385" t="str">
        <f ca="1">IF(N(O36)&gt;0,VLOOKUP(O36,Hraci!$A$1:$I$1500,3,0)," ")</f>
        <v xml:space="preserve"> </v>
      </c>
      <c r="R36" s="385" t="str">
        <f ca="1">IF(N(O36)&gt;0,VLOOKUP(O36,Hraci!$A$1:$I$1500,5,0),IF(TYPE(INDIRECT(ADDRESS(ROW() + $A$9-8 + (ROW()-11)*4,3,1,1,"Internet")))&gt;1,INDIRECT(ADDRESS(ROW() + $A$9-8 + (ROW()-11)*4,3,1,1,"Internet"))," "))</f>
        <v xml:space="preserve"> </v>
      </c>
      <c r="S36" s="319">
        <f ca="1">IF(N(O36)=0,9999,VLOOKUP(O36,Hraci!$A$1:$I$1500,8,0))</f>
        <v>9999</v>
      </c>
      <c r="T36" s="386">
        <f ca="1">IF(N(O36)=0,0,VLOOKUP(O36,Hraci!$A$1:$I$1500,9,0))</f>
        <v>0</v>
      </c>
      <c r="U36" s="383" t="str">
        <f t="shared" ca="1" si="12"/>
        <v/>
      </c>
      <c r="V36" s="384" t="str">
        <f ca="1">IF(N(U36)&gt;0,VLOOKUP(U36,Hraci!$A$1:$I$1500,2,0),IF(TYPE(INDIRECT(ADDRESS(ROW() + $A$9-7 + (ROW()-11)*4,2,1,1,"Internet")))&gt;1,INDIRECT(ADDRESS(ROW() + $A$9-7 + (ROW()-11)*4,2,1,1,"Internet"))," "))</f>
        <v xml:space="preserve"> </v>
      </c>
      <c r="W36" s="385" t="str">
        <f ca="1">IF(N(U36)&gt;0,VLOOKUP(U36,Hraci!$A$1:$I$1500,3,0)," ")</f>
        <v xml:space="preserve"> </v>
      </c>
      <c r="X36" s="385" t="str">
        <f ca="1">IF(N(U36)&gt;0,VLOOKUP(U36,Hraci!$A$1:$I$1500,5,0),IF(TYPE(INDIRECT(ADDRESS(ROW() + $A$9-7 + (ROW()-11)*4,3,1,1,"Internet")))&gt;1,INDIRECT(ADDRESS(ROW() + $A$9-7 + (ROW()-11)*4,3,1,1,"Internet"))," "))</f>
        <v xml:space="preserve"> </v>
      </c>
      <c r="Y36" s="319">
        <f ca="1">IF(N(U36)=0,9999,VLOOKUP(U36,Hraci!$A$1:$I$1500,8,0))</f>
        <v>9999</v>
      </c>
      <c r="Z36" s="386">
        <f ca="1">IF(N(U36)=0,0,VLOOKUP(U36,Hraci!$A$1:$I$1500,9,0))</f>
        <v>0</v>
      </c>
      <c r="AA36" s="383" t="str">
        <f t="shared" ca="1" si="13"/>
        <v/>
      </c>
      <c r="AB36" s="384" t="str">
        <f ca="1">IF(N(AA36)&gt;0,VLOOKUP(AA36,Hraci!$A$1:$I$1500,2,0)," ")</f>
        <v xml:space="preserve"> </v>
      </c>
      <c r="AC36" s="385" t="str">
        <f ca="1">IF(N(AA36)&gt;0,VLOOKUP(AA36,Hraci!$A$1:$I$1500,3,0)," ")</f>
        <v xml:space="preserve"> </v>
      </c>
      <c r="AD36" s="385" t="str">
        <f ca="1">IF(N(AA36)&gt;0,VLOOKUP(AA36,Hraci!$A$1:$I$1500,5,0)," ")</f>
        <v xml:space="preserve"> </v>
      </c>
      <c r="AE36" s="319">
        <f ca="1">IF(N(AA36)=0,9999,VLOOKUP(AA36,Hraci!$A$1:$I$1500,8,0))</f>
        <v>9999</v>
      </c>
      <c r="AF36" s="386">
        <f ca="1">IF(N(AA36)=0,0,VLOOKUP(AA36,Hraci!$A$1:$I$1500,9,0))</f>
        <v>0</v>
      </c>
      <c r="AG36" s="391"/>
      <c r="AH36" s="427">
        <f ca="1">IF(TYPE(VLOOKUP(H36,Centrum!$A$3:$E$130,5,0))&lt;4,VLOOKUP(H36,Centrum!$A$3:$E$130,5,0),0)</f>
        <v>53</v>
      </c>
      <c r="AI36" s="387">
        <f ca="1">IF(N($AH36)&gt;0,VLOOKUP($AH36,Body!$A$4:$F$259,5,0),"")</f>
        <v>13.175314453124999</v>
      </c>
      <c r="AJ36" s="388">
        <f ca="1">IF(N($AH36)&gt;0,VLOOKUP($AH36,Body!$A$4:$F$259,6,0),"")</f>
        <v>0</v>
      </c>
      <c r="AK36" s="387">
        <f ca="1">IF(N($AH36)&gt;0,VLOOKUP($AH36,Body!$A$4:$F$259,2,0),"")</f>
        <v>0.34375</v>
      </c>
      <c r="AL36" s="389" t="str">
        <f t="shared" ca="1" si="14"/>
        <v>26 Petank Club Praha - Klír Tomáš</v>
      </c>
      <c r="AM36" s="390">
        <f t="shared" ca="1" si="15"/>
        <v>19.689</v>
      </c>
      <c r="AN36" s="319">
        <f ca="1">IF(OR(TYPE(I36)&gt;1,TYPE(MATCH(I36,I37:I$139,0))&gt;1),0,MATCH(I36,I37:I$139,0))+IF(OR(TYPE(I36)&gt;1,TYPE(MATCH(I36,O$11:O$139,0))&gt;1),0,MATCH(I36,O$11:O$139,0))+IF(OR(TYPE(I36)&gt;1,TYPE(MATCH(I36,U$11:U$139,0))&gt;1),0,MATCH(I36,U$11:U$139,0))+IF(OR(TYPE(I36)&gt;1,TYPE(MATCH(I36,AA$11:AA$139,0))&gt;1),0,MATCH(I36,AA$11:AA$139,0))</f>
        <v>0</v>
      </c>
      <c r="AO36" s="319">
        <f ca="1">IF(OR(TYPE(O36)&gt;1,TYPE(MATCH(O36,I$11:I$139,0))&gt;1),0,MATCH(O36,I$11:I$139,0))+IF(OR(TYPE(O36)&gt;1,TYPE(MATCH(O36,O37:O$139,0))&gt;1),0,MATCH(O36,O37:O$139,0))+IF(OR(TYPE(O36)&gt;1,TYPE(MATCH(O36,U$11:U$139,0))&gt;1),0,MATCH(O36,U$11:U$139,0))+IF(OR(TYPE(O36)&gt;1,TYPE(MATCH(O36,AA$11:AA$139,0))&gt;1),0,MATCH(O36,AA$11:AA$139,0))</f>
        <v>0</v>
      </c>
      <c r="AP36" s="319">
        <f ca="1">IF(OR(TYPE(U36)&gt;1,TYPE(MATCH(U36,I$11:I$139,0))&gt;1),0,MATCH(U36,I$11:I$139,0))+IF(OR(TYPE(U36)&gt;1,TYPE(MATCH(U36,O$11:O$139,0))&gt;1),0,MATCH(U36,O$11:O$139,0))+IF(OR(TYPE(U36)&gt;1,TYPE(MATCH(U36,U37:U$139,0))&gt;1),0,MATCH(U36,U37:U$139,0))+IF(OR(TYPE(U36)&gt;1,TYPE(MATCH(U36,AA$11:AA$139,0))&gt;1),0,MATCH(U36,AA$11:AA$139,0))</f>
        <v>0</v>
      </c>
      <c r="AQ36" s="319">
        <f ca="1">IF(OR(TYPE(AA36)&gt;1,TYPE(MATCH(AA36,I$11:I$139,0))&gt;1),0,MATCH(AA36,I$11:I$139,0))+IF(OR(TYPE(AA36)&gt;1,TYPE(MATCH(AA36,O$11:O$139,0))&gt;1),0,MATCH(AA36,O$11:O$139,0))+IF(OR(TYPE(AA36)&gt;1,TYPE(MATCH(AA36,U$11:U$139,0))&gt;1),0,MATCH(U36,U$11:U$139,0))+IF(OR(TYPE(AA36)&gt;1,TYPE(MATCH(AA36,AA37:AA$139,0))&gt;1),0,MATCH(AA36,AA37:AA$139,0))</f>
        <v>0</v>
      </c>
      <c r="AR36" s="319">
        <f t="shared" ca="1" si="18"/>
        <v>0</v>
      </c>
      <c r="AT36" s="318">
        <f t="shared" ca="1" si="16"/>
        <v>0</v>
      </c>
      <c r="AU36" s="318">
        <f ca="1">IF(AND(N(I36)&gt;0,TYPE(VLOOKUP(I36,Hraci!$A$5:$A$800,1,0))&gt;3),1,0) + IF(AND(N(O36)&gt;0,TYPE(VLOOKUP(O36,Hraci!$A$5:$A$800,1,0))&gt;3),1,0) + IF(AND(N(U36)&gt;0,TYPE(VLOOKUP(U36,Hraci!$A$5:$A$800,1,0))&gt;3),1,0)</f>
        <v>0</v>
      </c>
      <c r="BF36" s="319">
        <f t="shared" si="17"/>
        <v>26</v>
      </c>
    </row>
    <row r="37" spans="1:58" ht="12.9" x14ac:dyDescent="0.45">
      <c r="A37" s="302">
        <f t="shared" ca="1" si="2"/>
        <v>1</v>
      </c>
      <c r="B37" s="302">
        <f t="shared" ca="1" si="3"/>
        <v>1</v>
      </c>
      <c r="C37" s="302">
        <f t="shared" ca="1" si="4"/>
        <v>19.439</v>
      </c>
      <c r="D37" s="302">
        <f t="shared" ca="1" si="5"/>
        <v>20143</v>
      </c>
      <c r="E37" s="302">
        <f t="shared" ca="1" si="6"/>
        <v>145</v>
      </c>
      <c r="F37" s="343" t="str">
        <f t="shared" ca="1" si="7"/>
        <v>91019439979856999854862650</v>
      </c>
      <c r="G37" s="381" t="b">
        <f t="shared" ca="1" si="8"/>
        <v>0</v>
      </c>
      <c r="H37" s="382">
        <f t="shared" si="9"/>
        <v>27</v>
      </c>
      <c r="I37" s="383">
        <f t="shared" ca="1" si="10"/>
        <v>16075</v>
      </c>
      <c r="J37" s="384" t="str">
        <f ca="1">IF(N(I37)&gt;0,VLOOKUP(I37,Hraci!$A$1:$I$1500,2,0),IF(TYPE(INDIRECT(ADDRESS(ROW() + $A$9-9 + (ROW()-11)*4,2,1,1,"Internet")))&gt;1,INDIRECT(ADDRESS(ROW() + $A$9-9 + (ROW()-11)*4,2,1,1,"Internet"))," "))</f>
        <v>Hladík</v>
      </c>
      <c r="K37" s="385" t="str">
        <f ca="1">IF(N(I37)&gt;0,VLOOKUP(I37,Hraci!$A$1:$I$1500,3,0)," ")</f>
        <v>Jaroslav</v>
      </c>
      <c r="L37" s="385" t="str">
        <f ca="1">IF(N(I37)&gt;0,VLOOKUP(I37,Hraci!$A$1:$I$1500,5,0),IF(TYPE(INDIRECT(ADDRESS(ROW() + $A$9-9 + (ROW()-11)*4,3,1,1,"Internet")))&gt;1,INDIRECT(ADDRESS(ROW() + $A$9-9 + (ROW()-11)*4,3,1,1,"Internet"))," "))</f>
        <v>SK Pétanque Řepy</v>
      </c>
      <c r="M37" s="319">
        <f ca="1">IF(N(I37)=0,9999,VLOOKUP(I37,Hraci!$A$1:$I$1500,8,0))</f>
        <v>145</v>
      </c>
      <c r="N37" s="386">
        <f ca="1">IF(N(I37)=0,0,VLOOKUP(I37,Hraci!$A$1:$I$1500,9,0))</f>
        <v>19.439</v>
      </c>
      <c r="O37" s="383" t="str">
        <f t="shared" ca="1" si="11"/>
        <v/>
      </c>
      <c r="P37" s="384" t="str">
        <f ca="1">IF(N(O37)&gt;0,VLOOKUP(O37,Hraci!$A$1:$I$1500,2,0),IF(TYPE(INDIRECT(ADDRESS(ROW() + $A$9-8 + (ROW()-11)*4,2,1,1,"Internet")))&gt;1,INDIRECT(ADDRESS(ROW() + $A$9-8 + (ROW()-11)*4,2,1,1,"Internet"))," "))</f>
        <v xml:space="preserve"> </v>
      </c>
      <c r="Q37" s="385" t="str">
        <f ca="1">IF(N(O37)&gt;0,VLOOKUP(O37,Hraci!$A$1:$I$1500,3,0)," ")</f>
        <v xml:space="preserve"> </v>
      </c>
      <c r="R37" s="385" t="str">
        <f ca="1">IF(N(O37)&gt;0,VLOOKUP(O37,Hraci!$A$1:$I$1500,5,0),IF(TYPE(INDIRECT(ADDRESS(ROW() + $A$9-8 + (ROW()-11)*4,3,1,1,"Internet")))&gt;1,INDIRECT(ADDRESS(ROW() + $A$9-8 + (ROW()-11)*4,3,1,1,"Internet"))," "))</f>
        <v xml:space="preserve"> </v>
      </c>
      <c r="S37" s="319">
        <f ca="1">IF(N(O37)=0,9999,VLOOKUP(O37,Hraci!$A$1:$I$1500,8,0))</f>
        <v>9999</v>
      </c>
      <c r="T37" s="386">
        <f ca="1">IF(N(O37)=0,0,VLOOKUP(O37,Hraci!$A$1:$I$1500,9,0))</f>
        <v>0</v>
      </c>
      <c r="U37" s="383" t="str">
        <f t="shared" ca="1" si="12"/>
        <v/>
      </c>
      <c r="V37" s="384" t="str">
        <f ca="1">IF(N(U37)&gt;0,VLOOKUP(U37,Hraci!$A$1:$I$1500,2,0),IF(TYPE(INDIRECT(ADDRESS(ROW() + $A$9-7 + (ROW()-11)*4,2,1,1,"Internet")))&gt;1,INDIRECT(ADDRESS(ROW() + $A$9-7 + (ROW()-11)*4,2,1,1,"Internet"))," "))</f>
        <v xml:space="preserve"> </v>
      </c>
      <c r="W37" s="385" t="str">
        <f ca="1">IF(N(U37)&gt;0,VLOOKUP(U37,Hraci!$A$1:$I$1500,3,0)," ")</f>
        <v xml:space="preserve"> </v>
      </c>
      <c r="X37" s="385" t="str">
        <f ca="1">IF(N(U37)&gt;0,VLOOKUP(U37,Hraci!$A$1:$I$1500,5,0),IF(TYPE(INDIRECT(ADDRESS(ROW() + $A$9-7 + (ROW()-11)*4,3,1,1,"Internet")))&gt;1,INDIRECT(ADDRESS(ROW() + $A$9-7 + (ROW()-11)*4,3,1,1,"Internet"))," "))</f>
        <v xml:space="preserve"> </v>
      </c>
      <c r="Y37" s="319">
        <f ca="1">IF(N(U37)=0,9999,VLOOKUP(U37,Hraci!$A$1:$I$1500,8,0))</f>
        <v>9999</v>
      </c>
      <c r="Z37" s="386">
        <f ca="1">IF(N(U37)=0,0,VLOOKUP(U37,Hraci!$A$1:$I$1500,9,0))</f>
        <v>0</v>
      </c>
      <c r="AA37" s="383" t="str">
        <f t="shared" ca="1" si="13"/>
        <v/>
      </c>
      <c r="AB37" s="384" t="str">
        <f ca="1">IF(N(AA37)&gt;0,VLOOKUP(AA37,Hraci!$A$1:$I$1500,2,0)," ")</f>
        <v xml:space="preserve"> </v>
      </c>
      <c r="AC37" s="385" t="str">
        <f ca="1">IF(N(AA37)&gt;0,VLOOKUP(AA37,Hraci!$A$1:$I$1500,3,0)," ")</f>
        <v xml:space="preserve"> </v>
      </c>
      <c r="AD37" s="385" t="str">
        <f ca="1">IF(N(AA37)&gt;0,VLOOKUP(AA37,Hraci!$A$1:$I$1500,5,0)," ")</f>
        <v xml:space="preserve"> </v>
      </c>
      <c r="AE37" s="319">
        <f ca="1">IF(N(AA37)=0,9999,VLOOKUP(AA37,Hraci!$A$1:$I$1500,8,0))</f>
        <v>9999</v>
      </c>
      <c r="AF37" s="386">
        <f ca="1">IF(N(AA37)=0,0,VLOOKUP(AA37,Hraci!$A$1:$I$1500,9,0))</f>
        <v>0</v>
      </c>
      <c r="AG37" s="391"/>
      <c r="AH37" s="427">
        <f ca="1">IF(TYPE(VLOOKUP(H37,Centrum!$A$3:$E$130,5,0))&lt;4,VLOOKUP(H37,Centrum!$A$3:$E$130,5,0),0)</f>
        <v>21</v>
      </c>
      <c r="AI37" s="387">
        <f ca="1">IF(N($AH37)&gt;0,VLOOKUP($AH37,Body!$A$4:$F$259,5,0),"")</f>
        <v>64.678816406249993</v>
      </c>
      <c r="AJ37" s="388">
        <f ca="1">IF(N($AH37)&gt;0,VLOOKUP($AH37,Body!$A$4:$F$259,6,0),"")</f>
        <v>0</v>
      </c>
      <c r="AK37" s="387">
        <f ca="1">IF(N($AH37)&gt;0,VLOOKUP($AH37,Body!$A$4:$F$259,2,0),"")</f>
        <v>1.6875</v>
      </c>
      <c r="AL37" s="389" t="str">
        <f t="shared" ca="1" si="14"/>
        <v>27 SK Pétanque Řepy - Hladík Jaroslav</v>
      </c>
      <c r="AM37" s="390">
        <f t="shared" ca="1" si="15"/>
        <v>19.439</v>
      </c>
      <c r="AN37" s="319">
        <f ca="1">IF(OR(TYPE(I37)&gt;1,TYPE(MATCH(I37,I38:I$139,0))&gt;1),0,MATCH(I37,I38:I$139,0))+IF(OR(TYPE(I37)&gt;1,TYPE(MATCH(I37,O$11:O$139,0))&gt;1),0,MATCH(I37,O$11:O$139,0))+IF(OR(TYPE(I37)&gt;1,TYPE(MATCH(I37,U$11:U$139,0))&gt;1),0,MATCH(I37,U$11:U$139,0))+IF(OR(TYPE(I37)&gt;1,TYPE(MATCH(I37,AA$11:AA$139,0))&gt;1),0,MATCH(I37,AA$11:AA$139,0))</f>
        <v>0</v>
      </c>
      <c r="AO37" s="319">
        <f ca="1">IF(OR(TYPE(O37)&gt;1,TYPE(MATCH(O37,I$11:I$139,0))&gt;1),0,MATCH(O37,I$11:I$139,0))+IF(OR(TYPE(O37)&gt;1,TYPE(MATCH(O37,O38:O$139,0))&gt;1),0,MATCH(O37,O38:O$139,0))+IF(OR(TYPE(O37)&gt;1,TYPE(MATCH(O37,U$11:U$139,0))&gt;1),0,MATCH(O37,U$11:U$139,0))+IF(OR(TYPE(O37)&gt;1,TYPE(MATCH(O37,AA$11:AA$139,0))&gt;1),0,MATCH(O37,AA$11:AA$139,0))</f>
        <v>0</v>
      </c>
      <c r="AP37" s="319">
        <f ca="1">IF(OR(TYPE(U37)&gt;1,TYPE(MATCH(U37,I$11:I$139,0))&gt;1),0,MATCH(U37,I$11:I$139,0))+IF(OR(TYPE(U37)&gt;1,TYPE(MATCH(U37,O$11:O$139,0))&gt;1),0,MATCH(U37,O$11:O$139,0))+IF(OR(TYPE(U37)&gt;1,TYPE(MATCH(U37,U38:U$139,0))&gt;1),0,MATCH(U37,U38:U$139,0))+IF(OR(TYPE(U37)&gt;1,TYPE(MATCH(U37,AA$11:AA$139,0))&gt;1),0,MATCH(U37,AA$11:AA$139,0))</f>
        <v>0</v>
      </c>
      <c r="AQ37" s="319">
        <f ca="1">IF(OR(TYPE(AA37)&gt;1,TYPE(MATCH(AA37,I$11:I$139,0))&gt;1),0,MATCH(AA37,I$11:I$139,0))+IF(OR(TYPE(AA37)&gt;1,TYPE(MATCH(AA37,O$11:O$139,0))&gt;1),0,MATCH(AA37,O$11:O$139,0))+IF(OR(TYPE(AA37)&gt;1,TYPE(MATCH(AA37,U$11:U$139,0))&gt;1),0,MATCH(U37,U$11:U$139,0))+IF(OR(TYPE(AA37)&gt;1,TYPE(MATCH(AA37,AA38:AA$139,0))&gt;1),0,MATCH(AA37,AA38:AA$139,0))</f>
        <v>0</v>
      </c>
      <c r="AR37" s="319">
        <f t="shared" ca="1" si="18"/>
        <v>0</v>
      </c>
      <c r="AT37" s="318">
        <f t="shared" ca="1" si="16"/>
        <v>0</v>
      </c>
      <c r="AU37" s="318">
        <f ca="1">IF(AND(N(I37)&gt;0,TYPE(VLOOKUP(I37,Hraci!$A$5:$A$800,1,0))&gt;3),1,0) + IF(AND(N(O37)&gt;0,TYPE(VLOOKUP(O37,Hraci!$A$5:$A$800,1,0))&gt;3),1,0) + IF(AND(N(U37)&gt;0,TYPE(VLOOKUP(U37,Hraci!$A$5:$A$800,1,0))&gt;3),1,0)</f>
        <v>0</v>
      </c>
      <c r="BF37" s="319">
        <f t="shared" si="17"/>
        <v>27</v>
      </c>
    </row>
    <row r="38" spans="1:58" ht="12.9" x14ac:dyDescent="0.45">
      <c r="A38" s="302">
        <f t="shared" ca="1" si="2"/>
        <v>1</v>
      </c>
      <c r="B38" s="302">
        <f t="shared" ca="1" si="3"/>
        <v>1</v>
      </c>
      <c r="C38" s="302">
        <f t="shared" ca="1" si="4"/>
        <v>18.439</v>
      </c>
      <c r="D38" s="302">
        <f t="shared" ca="1" si="5"/>
        <v>20195</v>
      </c>
      <c r="E38" s="302">
        <f t="shared" ca="1" si="6"/>
        <v>197</v>
      </c>
      <c r="F38" s="343" t="str">
        <f t="shared" ca="1" si="7"/>
        <v>91018439979804999802130017</v>
      </c>
      <c r="G38" s="381" t="b">
        <f t="shared" ca="1" si="8"/>
        <v>0</v>
      </c>
      <c r="H38" s="382">
        <f t="shared" si="9"/>
        <v>28</v>
      </c>
      <c r="I38" s="383">
        <f t="shared" ca="1" si="10"/>
        <v>20513</v>
      </c>
      <c r="J38" s="384" t="str">
        <f ca="1">IF(N(I38)&gt;0,VLOOKUP(I38,Hraci!$A$1:$I$1500,2,0),IF(TYPE(INDIRECT(ADDRESS(ROW() + $A$9-9 + (ROW()-11)*4,2,1,1,"Internet")))&gt;1,INDIRECT(ADDRESS(ROW() + $A$9-9 + (ROW()-11)*4,2,1,1,"Internet"))," "))</f>
        <v>Hochmann</v>
      </c>
      <c r="K38" s="385" t="str">
        <f ca="1">IF(N(I38)&gt;0,VLOOKUP(I38,Hraci!$A$1:$I$1500,3,0)," ")</f>
        <v>Lukáš</v>
      </c>
      <c r="L38" s="385" t="str">
        <f ca="1">IF(N(I38)&gt;0,VLOOKUP(I38,Hraci!$A$1:$I$1500,5,0),IF(TYPE(INDIRECT(ADDRESS(ROW() + $A$9-9 + (ROW()-11)*4,3,1,1,"Internet")))&gt;1,INDIRECT(ADDRESS(ROW() + $A$9-9 + (ROW()-11)*4,3,1,1,"Internet"))," "))</f>
        <v>PC Sokol PP Hr. Králové</v>
      </c>
      <c r="M38" s="319">
        <f ca="1">IF(N(I38)=0,9999,VLOOKUP(I38,Hraci!$A$1:$I$1500,8,0))</f>
        <v>197</v>
      </c>
      <c r="N38" s="386">
        <f ca="1">IF(N(I38)=0,0,VLOOKUP(I38,Hraci!$A$1:$I$1500,9,0))</f>
        <v>18.439</v>
      </c>
      <c r="O38" s="383" t="str">
        <f t="shared" ca="1" si="11"/>
        <v/>
      </c>
      <c r="P38" s="384" t="str">
        <f ca="1">IF(N(O38)&gt;0,VLOOKUP(O38,Hraci!$A$1:$I$1500,2,0),IF(TYPE(INDIRECT(ADDRESS(ROW() + $A$9-8 + (ROW()-11)*4,2,1,1,"Internet")))&gt;1,INDIRECT(ADDRESS(ROW() + $A$9-8 + (ROW()-11)*4,2,1,1,"Internet"))," "))</f>
        <v xml:space="preserve"> </v>
      </c>
      <c r="Q38" s="385" t="str">
        <f ca="1">IF(N(O38)&gt;0,VLOOKUP(O38,Hraci!$A$1:$I$1500,3,0)," ")</f>
        <v xml:space="preserve"> </v>
      </c>
      <c r="R38" s="385" t="str">
        <f ca="1">IF(N(O38)&gt;0,VLOOKUP(O38,Hraci!$A$1:$I$1500,5,0),IF(TYPE(INDIRECT(ADDRESS(ROW() + $A$9-8 + (ROW()-11)*4,3,1,1,"Internet")))&gt;1,INDIRECT(ADDRESS(ROW() + $A$9-8 + (ROW()-11)*4,3,1,1,"Internet"))," "))</f>
        <v xml:space="preserve"> </v>
      </c>
      <c r="S38" s="319">
        <f ca="1">IF(N(O38)=0,9999,VLOOKUP(O38,Hraci!$A$1:$I$1500,8,0))</f>
        <v>9999</v>
      </c>
      <c r="T38" s="386">
        <f ca="1">IF(N(O38)=0,0,VLOOKUP(O38,Hraci!$A$1:$I$1500,9,0))</f>
        <v>0</v>
      </c>
      <c r="U38" s="383" t="str">
        <f t="shared" ca="1" si="12"/>
        <v/>
      </c>
      <c r="V38" s="384" t="str">
        <f ca="1">IF(N(U38)&gt;0,VLOOKUP(U38,Hraci!$A$1:$I$1500,2,0),IF(TYPE(INDIRECT(ADDRESS(ROW() + $A$9-7 + (ROW()-11)*4,2,1,1,"Internet")))&gt;1,INDIRECT(ADDRESS(ROW() + $A$9-7 + (ROW()-11)*4,2,1,1,"Internet"))," "))</f>
        <v xml:space="preserve"> </v>
      </c>
      <c r="W38" s="385" t="str">
        <f ca="1">IF(N(U38)&gt;0,VLOOKUP(U38,Hraci!$A$1:$I$1500,3,0)," ")</f>
        <v xml:space="preserve"> </v>
      </c>
      <c r="X38" s="385" t="str">
        <f ca="1">IF(N(U38)&gt;0,VLOOKUP(U38,Hraci!$A$1:$I$1500,5,0),IF(TYPE(INDIRECT(ADDRESS(ROW() + $A$9-7 + (ROW()-11)*4,3,1,1,"Internet")))&gt;1,INDIRECT(ADDRESS(ROW() + $A$9-7 + (ROW()-11)*4,3,1,1,"Internet"))," "))</f>
        <v xml:space="preserve"> </v>
      </c>
      <c r="Y38" s="319">
        <f ca="1">IF(N(U38)=0,9999,VLOOKUP(U38,Hraci!$A$1:$I$1500,8,0))</f>
        <v>9999</v>
      </c>
      <c r="Z38" s="386">
        <f ca="1">IF(N(U38)=0,0,VLOOKUP(U38,Hraci!$A$1:$I$1500,9,0))</f>
        <v>0</v>
      </c>
      <c r="AA38" s="383" t="str">
        <f t="shared" ca="1" si="13"/>
        <v/>
      </c>
      <c r="AB38" s="384" t="str">
        <f ca="1">IF(N(AA38)&gt;0,VLOOKUP(AA38,Hraci!$A$1:$I$1500,2,0)," ")</f>
        <v xml:space="preserve"> </v>
      </c>
      <c r="AC38" s="385" t="str">
        <f ca="1">IF(N(AA38)&gt;0,VLOOKUP(AA38,Hraci!$A$1:$I$1500,3,0)," ")</f>
        <v xml:space="preserve"> </v>
      </c>
      <c r="AD38" s="385" t="str">
        <f ca="1">IF(N(AA38)&gt;0,VLOOKUP(AA38,Hraci!$A$1:$I$1500,5,0)," ")</f>
        <v xml:space="preserve"> </v>
      </c>
      <c r="AE38" s="319">
        <f ca="1">IF(N(AA38)=0,9999,VLOOKUP(AA38,Hraci!$A$1:$I$1500,8,0))</f>
        <v>9999</v>
      </c>
      <c r="AF38" s="386">
        <f ca="1">IF(N(AA38)=0,0,VLOOKUP(AA38,Hraci!$A$1:$I$1500,9,0))</f>
        <v>0</v>
      </c>
      <c r="AG38" s="391"/>
      <c r="AH38" s="427">
        <f ca="1">IF(TYPE(VLOOKUP(H38,Centrum!$A$3:$E$130,5,0))&lt;4,VLOOKUP(H38,Centrum!$A$3:$E$130,5,0),0)</f>
        <v>8</v>
      </c>
      <c r="AI38" s="387">
        <f ca="1">IF(N($AH38)&gt;0,VLOOKUP($AH38,Body!$A$4:$F$259,5,0),"")</f>
        <v>114.9845625</v>
      </c>
      <c r="AJ38" s="388">
        <f ca="1">IF(N($AH38)&gt;0,VLOOKUP($AH38,Body!$A$4:$F$259,6,0),"")</f>
        <v>0</v>
      </c>
      <c r="AK38" s="387">
        <f ca="1">IF(N($AH38)&gt;0,VLOOKUP($AH38,Body!$A$4:$F$259,2,0),"")</f>
        <v>3</v>
      </c>
      <c r="AL38" s="389" t="str">
        <f t="shared" ca="1" si="14"/>
        <v>28 PC Sokol PP Hr. Králové - Hochmann Lukáš</v>
      </c>
      <c r="AM38" s="390">
        <f t="shared" ca="1" si="15"/>
        <v>18.439</v>
      </c>
      <c r="AN38" s="319">
        <f ca="1">IF(OR(TYPE(I38)&gt;1,TYPE(MATCH(I38,I39:I$139,0))&gt;1),0,MATCH(I38,I39:I$139,0))+IF(OR(TYPE(I38)&gt;1,TYPE(MATCH(I38,O$11:O$139,0))&gt;1),0,MATCH(I38,O$11:O$139,0))+IF(OR(TYPE(I38)&gt;1,TYPE(MATCH(I38,U$11:U$139,0))&gt;1),0,MATCH(I38,U$11:U$139,0))+IF(OR(TYPE(I38)&gt;1,TYPE(MATCH(I38,AA$11:AA$139,0))&gt;1),0,MATCH(I38,AA$11:AA$139,0))</f>
        <v>0</v>
      </c>
      <c r="AO38" s="319">
        <f ca="1">IF(OR(TYPE(O38)&gt;1,TYPE(MATCH(O38,I$11:I$139,0))&gt;1),0,MATCH(O38,I$11:I$139,0))+IF(OR(TYPE(O38)&gt;1,TYPE(MATCH(O38,O39:O$139,0))&gt;1),0,MATCH(O38,O39:O$139,0))+IF(OR(TYPE(O38)&gt;1,TYPE(MATCH(O38,U$11:U$139,0))&gt;1),0,MATCH(O38,U$11:U$139,0))+IF(OR(TYPE(O38)&gt;1,TYPE(MATCH(O38,AA$11:AA$139,0))&gt;1),0,MATCH(O38,AA$11:AA$139,0))</f>
        <v>0</v>
      </c>
      <c r="AP38" s="319">
        <f ca="1">IF(OR(TYPE(U38)&gt;1,TYPE(MATCH(U38,I$11:I$139,0))&gt;1),0,MATCH(U38,I$11:I$139,0))+IF(OR(TYPE(U38)&gt;1,TYPE(MATCH(U38,O$11:O$139,0))&gt;1),0,MATCH(U38,O$11:O$139,0))+IF(OR(TYPE(U38)&gt;1,TYPE(MATCH(U38,U39:U$139,0))&gt;1),0,MATCH(U38,U39:U$139,0))+IF(OR(TYPE(U38)&gt;1,TYPE(MATCH(U38,AA$11:AA$139,0))&gt;1),0,MATCH(U38,AA$11:AA$139,0))</f>
        <v>0</v>
      </c>
      <c r="AQ38" s="319">
        <f ca="1">IF(OR(TYPE(AA38)&gt;1,TYPE(MATCH(AA38,I$11:I$139,0))&gt;1),0,MATCH(AA38,I$11:I$139,0))+IF(OR(TYPE(AA38)&gt;1,TYPE(MATCH(AA38,O$11:O$139,0))&gt;1),0,MATCH(AA38,O$11:O$139,0))+IF(OR(TYPE(AA38)&gt;1,TYPE(MATCH(AA38,U$11:U$139,0))&gt;1),0,MATCH(U38,U$11:U$139,0))+IF(OR(TYPE(AA38)&gt;1,TYPE(MATCH(AA38,AA39:AA$139,0))&gt;1),0,MATCH(AA38,AA39:AA$139,0))</f>
        <v>0</v>
      </c>
      <c r="AR38" s="319">
        <f t="shared" ca="1" si="18"/>
        <v>0</v>
      </c>
      <c r="AT38" s="318">
        <f t="shared" ca="1" si="16"/>
        <v>0</v>
      </c>
      <c r="AU38" s="318">
        <f ca="1">IF(AND(N(I38)&gt;0,TYPE(VLOOKUP(I38,Hraci!$A$5:$A$800,1,0))&gt;3),1,0) + IF(AND(N(O38)&gt;0,TYPE(VLOOKUP(O38,Hraci!$A$5:$A$800,1,0))&gt;3),1,0) + IF(AND(N(U38)&gt;0,TYPE(VLOOKUP(U38,Hraci!$A$5:$A$800,1,0))&gt;3),1,0)</f>
        <v>0</v>
      </c>
      <c r="BF38" s="319">
        <f t="shared" si="17"/>
        <v>28</v>
      </c>
    </row>
    <row r="39" spans="1:58" ht="12.9" x14ac:dyDescent="0.45">
      <c r="A39" s="302">
        <f t="shared" ca="1" si="2"/>
        <v>1</v>
      </c>
      <c r="B39" s="302">
        <f t="shared" ca="1" si="3"/>
        <v>1</v>
      </c>
      <c r="C39" s="302">
        <f t="shared" ca="1" si="4"/>
        <v>18.062999999999999</v>
      </c>
      <c r="D39" s="302">
        <f t="shared" ca="1" si="5"/>
        <v>20190</v>
      </c>
      <c r="E39" s="302">
        <f t="shared" ca="1" si="6"/>
        <v>192</v>
      </c>
      <c r="F39" s="343" t="str">
        <f t="shared" ca="1" si="7"/>
        <v>91018063979809999807930726</v>
      </c>
      <c r="G39" s="381" t="b">
        <f t="shared" ca="1" si="8"/>
        <v>0</v>
      </c>
      <c r="H39" s="382">
        <f t="shared" si="9"/>
        <v>29</v>
      </c>
      <c r="I39" s="383">
        <f t="shared" ca="1" si="10"/>
        <v>17052</v>
      </c>
      <c r="J39" s="384" t="str">
        <f ca="1">IF(N(I39)&gt;0,VLOOKUP(I39,Hraci!$A$1:$I$1500,2,0),IF(TYPE(INDIRECT(ADDRESS(ROW() + $A$9-9 + (ROW()-11)*4,2,1,1,"Internet")))&gt;1,INDIRECT(ADDRESS(ROW() + $A$9-9 + (ROW()-11)*4,2,1,1,"Internet"))," "))</f>
        <v>Zikmunda</v>
      </c>
      <c r="K39" s="385" t="str">
        <f ca="1">IF(N(I39)&gt;0,VLOOKUP(I39,Hraci!$A$1:$I$1500,3,0)," ")</f>
        <v>Martin</v>
      </c>
      <c r="L39" s="385" t="str">
        <f ca="1">IF(N(I39)&gt;0,VLOOKUP(I39,Hraci!$A$1:$I$1500,5,0),IF(TYPE(INDIRECT(ADDRESS(ROW() + $A$9-9 + (ROW()-11)*4,3,1,1,"Internet")))&gt;1,INDIRECT(ADDRESS(ROW() + $A$9-9 + (ROW()-11)*4,3,1,1,"Internet"))," "))</f>
        <v>PC Mimo Done</v>
      </c>
      <c r="M39" s="319">
        <f ca="1">IF(N(I39)=0,9999,VLOOKUP(I39,Hraci!$A$1:$I$1500,8,0))</f>
        <v>192</v>
      </c>
      <c r="N39" s="386">
        <f ca="1">IF(N(I39)=0,0,VLOOKUP(I39,Hraci!$A$1:$I$1500,9,0))</f>
        <v>18.062999999999999</v>
      </c>
      <c r="O39" s="383" t="str">
        <f t="shared" ca="1" si="11"/>
        <v/>
      </c>
      <c r="P39" s="384" t="str">
        <f ca="1">IF(N(O39)&gt;0,VLOOKUP(O39,Hraci!$A$1:$I$1500,2,0),IF(TYPE(INDIRECT(ADDRESS(ROW() + $A$9-8 + (ROW()-11)*4,2,1,1,"Internet")))&gt;1,INDIRECT(ADDRESS(ROW() + $A$9-8 + (ROW()-11)*4,2,1,1,"Internet"))," "))</f>
        <v xml:space="preserve"> </v>
      </c>
      <c r="Q39" s="385" t="str">
        <f ca="1">IF(N(O39)&gt;0,VLOOKUP(O39,Hraci!$A$1:$I$1500,3,0)," ")</f>
        <v xml:space="preserve"> </v>
      </c>
      <c r="R39" s="385" t="str">
        <f ca="1">IF(N(O39)&gt;0,VLOOKUP(O39,Hraci!$A$1:$I$1500,5,0),IF(TYPE(INDIRECT(ADDRESS(ROW() + $A$9-8 + (ROW()-11)*4,3,1,1,"Internet")))&gt;1,INDIRECT(ADDRESS(ROW() + $A$9-8 + (ROW()-11)*4,3,1,1,"Internet"))," "))</f>
        <v xml:space="preserve"> </v>
      </c>
      <c r="S39" s="319">
        <f ca="1">IF(N(O39)=0,9999,VLOOKUP(O39,Hraci!$A$1:$I$1500,8,0))</f>
        <v>9999</v>
      </c>
      <c r="T39" s="386">
        <f ca="1">IF(N(O39)=0,0,VLOOKUP(O39,Hraci!$A$1:$I$1500,9,0))</f>
        <v>0</v>
      </c>
      <c r="U39" s="383" t="str">
        <f t="shared" ca="1" si="12"/>
        <v/>
      </c>
      <c r="V39" s="384" t="str">
        <f ca="1">IF(N(U39)&gt;0,VLOOKUP(U39,Hraci!$A$1:$I$1500,2,0),IF(TYPE(INDIRECT(ADDRESS(ROW() + $A$9-7 + (ROW()-11)*4,2,1,1,"Internet")))&gt;1,INDIRECT(ADDRESS(ROW() + $A$9-7 + (ROW()-11)*4,2,1,1,"Internet"))," "))</f>
        <v xml:space="preserve"> </v>
      </c>
      <c r="W39" s="385" t="str">
        <f ca="1">IF(N(U39)&gt;0,VLOOKUP(U39,Hraci!$A$1:$I$1500,3,0)," ")</f>
        <v xml:space="preserve"> </v>
      </c>
      <c r="X39" s="385" t="str">
        <f ca="1">IF(N(U39)&gt;0,VLOOKUP(U39,Hraci!$A$1:$I$1500,5,0),IF(TYPE(INDIRECT(ADDRESS(ROW() + $A$9-7 + (ROW()-11)*4,3,1,1,"Internet")))&gt;1,INDIRECT(ADDRESS(ROW() + $A$9-7 + (ROW()-11)*4,3,1,1,"Internet"))," "))</f>
        <v xml:space="preserve"> </v>
      </c>
      <c r="Y39" s="319">
        <f ca="1">IF(N(U39)=0,9999,VLOOKUP(U39,Hraci!$A$1:$I$1500,8,0))</f>
        <v>9999</v>
      </c>
      <c r="Z39" s="386">
        <f ca="1">IF(N(U39)=0,0,VLOOKUP(U39,Hraci!$A$1:$I$1500,9,0))</f>
        <v>0</v>
      </c>
      <c r="AA39" s="383" t="str">
        <f t="shared" ca="1" si="13"/>
        <v/>
      </c>
      <c r="AB39" s="384" t="str">
        <f ca="1">IF(N(AA39)&gt;0,VLOOKUP(AA39,Hraci!$A$1:$I$1500,2,0)," ")</f>
        <v xml:space="preserve"> </v>
      </c>
      <c r="AC39" s="385" t="str">
        <f ca="1">IF(N(AA39)&gt;0,VLOOKUP(AA39,Hraci!$A$1:$I$1500,3,0)," ")</f>
        <v xml:space="preserve"> </v>
      </c>
      <c r="AD39" s="385" t="str">
        <f ca="1">IF(N(AA39)&gt;0,VLOOKUP(AA39,Hraci!$A$1:$I$1500,5,0)," ")</f>
        <v xml:space="preserve"> </v>
      </c>
      <c r="AE39" s="319">
        <f ca="1">IF(N(AA39)=0,9999,VLOOKUP(AA39,Hraci!$A$1:$I$1500,8,0))</f>
        <v>9999</v>
      </c>
      <c r="AF39" s="386">
        <f ca="1">IF(N(AA39)=0,0,VLOOKUP(AA39,Hraci!$A$1:$I$1500,9,0))</f>
        <v>0</v>
      </c>
      <c r="AG39" s="391"/>
      <c r="AH39" s="427">
        <f ca="1">IF(TYPE(VLOOKUP(H39,Centrum!$A$3:$E$130,5,0))&lt;4,VLOOKUP(H39,Centrum!$A$3:$E$130,5,0),0)</f>
        <v>28</v>
      </c>
      <c r="AI39" s="387">
        <f ca="1">IF(N($AH39)&gt;0,VLOOKUP($AH39,Body!$A$4:$F$259,5,0),"")</f>
        <v>47.910234375000002</v>
      </c>
      <c r="AJ39" s="388">
        <f ca="1">IF(N($AH39)&gt;0,VLOOKUP($AH39,Body!$A$4:$F$259,6,0),"")</f>
        <v>0</v>
      </c>
      <c r="AK39" s="387">
        <f ca="1">IF(N($AH39)&gt;0,VLOOKUP($AH39,Body!$A$4:$F$259,2,0),"")</f>
        <v>1.25</v>
      </c>
      <c r="AL39" s="389" t="str">
        <f t="shared" ca="1" si="14"/>
        <v>29 PC Mimo Done - Zikmunda Martin</v>
      </c>
      <c r="AM39" s="390">
        <f t="shared" ca="1" si="15"/>
        <v>18.062999999999999</v>
      </c>
      <c r="AN39" s="319">
        <f ca="1">IF(OR(TYPE(I39)&gt;1,TYPE(MATCH(I39,I40:I$139,0))&gt;1),0,MATCH(I39,I40:I$139,0))+IF(OR(TYPE(I39)&gt;1,TYPE(MATCH(I39,O$11:O$139,0))&gt;1),0,MATCH(I39,O$11:O$139,0))+IF(OR(TYPE(I39)&gt;1,TYPE(MATCH(I39,U$11:U$139,0))&gt;1),0,MATCH(I39,U$11:U$139,0))+IF(OR(TYPE(I39)&gt;1,TYPE(MATCH(I39,AA$11:AA$139,0))&gt;1),0,MATCH(I39,AA$11:AA$139,0))</f>
        <v>0</v>
      </c>
      <c r="AO39" s="319">
        <f ca="1">IF(OR(TYPE(O39)&gt;1,TYPE(MATCH(O39,I$11:I$139,0))&gt;1),0,MATCH(O39,I$11:I$139,0))+IF(OR(TYPE(O39)&gt;1,TYPE(MATCH(O39,O40:O$139,0))&gt;1),0,MATCH(O39,O40:O$139,0))+IF(OR(TYPE(O39)&gt;1,TYPE(MATCH(O39,U$11:U$139,0))&gt;1),0,MATCH(O39,U$11:U$139,0))+IF(OR(TYPE(O39)&gt;1,TYPE(MATCH(O39,AA$11:AA$139,0))&gt;1),0,MATCH(O39,AA$11:AA$139,0))</f>
        <v>0</v>
      </c>
      <c r="AP39" s="319">
        <f ca="1">IF(OR(TYPE(U39)&gt;1,TYPE(MATCH(U39,I$11:I$139,0))&gt;1),0,MATCH(U39,I$11:I$139,0))+IF(OR(TYPE(U39)&gt;1,TYPE(MATCH(U39,O$11:O$139,0))&gt;1),0,MATCH(U39,O$11:O$139,0))+IF(OR(TYPE(U39)&gt;1,TYPE(MATCH(U39,U40:U$139,0))&gt;1),0,MATCH(U39,U40:U$139,0))+IF(OR(TYPE(U39)&gt;1,TYPE(MATCH(U39,AA$11:AA$139,0))&gt;1),0,MATCH(U39,AA$11:AA$139,0))</f>
        <v>0</v>
      </c>
      <c r="AQ39" s="319">
        <f ca="1">IF(OR(TYPE(AA39)&gt;1,TYPE(MATCH(AA39,I$11:I$139,0))&gt;1),0,MATCH(AA39,I$11:I$139,0))+IF(OR(TYPE(AA39)&gt;1,TYPE(MATCH(AA39,O$11:O$139,0))&gt;1),0,MATCH(AA39,O$11:O$139,0))+IF(OR(TYPE(AA39)&gt;1,TYPE(MATCH(AA39,U$11:U$139,0))&gt;1),0,MATCH(U39,U$11:U$139,0))+IF(OR(TYPE(AA39)&gt;1,TYPE(MATCH(AA39,AA40:AA$139,0))&gt;1),0,MATCH(AA39,AA40:AA$139,0))</f>
        <v>0</v>
      </c>
      <c r="AR39" s="319">
        <f t="shared" ca="1" si="18"/>
        <v>0</v>
      </c>
      <c r="AT39" s="318">
        <f t="shared" ca="1" si="16"/>
        <v>0</v>
      </c>
      <c r="AU39" s="318">
        <f ca="1">IF(AND(N(I39)&gt;0,TYPE(VLOOKUP(I39,Hraci!$A$5:$A$800,1,0))&gt;3),1,0) + IF(AND(N(O39)&gt;0,TYPE(VLOOKUP(O39,Hraci!$A$5:$A$800,1,0))&gt;3),1,0) + IF(AND(N(U39)&gt;0,TYPE(VLOOKUP(U39,Hraci!$A$5:$A$800,1,0))&gt;3),1,0)</f>
        <v>0</v>
      </c>
      <c r="BF39" s="319">
        <f t="shared" si="17"/>
        <v>29</v>
      </c>
    </row>
    <row r="40" spans="1:58" ht="12.9" x14ac:dyDescent="0.45">
      <c r="A40" s="302">
        <f t="shared" ca="1" si="2"/>
        <v>1</v>
      </c>
      <c r="B40" s="302">
        <f t="shared" ca="1" si="3"/>
        <v>1</v>
      </c>
      <c r="C40" s="302">
        <f t="shared" ca="1" si="4"/>
        <v>18.001000000000001</v>
      </c>
      <c r="D40" s="302">
        <f t="shared" ca="1" si="5"/>
        <v>20155</v>
      </c>
      <c r="E40" s="302">
        <f t="shared" ca="1" si="6"/>
        <v>157</v>
      </c>
      <c r="F40" s="343" t="str">
        <f t="shared" ca="1" si="7"/>
        <v>01000000000000000000246621</v>
      </c>
      <c r="G40" s="381" t="b">
        <f t="shared" ca="1" si="8"/>
        <v>0</v>
      </c>
      <c r="H40" s="382">
        <f t="shared" si="9"/>
        <v>30</v>
      </c>
      <c r="I40" s="383">
        <f t="shared" ca="1" si="10"/>
        <v>23217</v>
      </c>
      <c r="J40" s="384" t="str">
        <f ca="1">IF(N(I40)&gt;0,VLOOKUP(I40,Hraci!$A$1:$I$1500,2,0),IF(TYPE(INDIRECT(ADDRESS(ROW() + $A$9-9 + (ROW()-11)*4,2,1,1,"Internet")))&gt;1,INDIRECT(ADDRESS(ROW() + $A$9-9 + (ROW()-11)*4,2,1,1,"Internet"))," "))</f>
        <v>Blaščák</v>
      </c>
      <c r="K40" s="385" t="str">
        <f ca="1">IF(N(I40)&gt;0,VLOOKUP(I40,Hraci!$A$1:$I$1500,3,0)," ")</f>
        <v>Ondřej</v>
      </c>
      <c r="L40" s="385" t="str">
        <f ca="1">IF(N(I40)&gt;0,VLOOKUP(I40,Hraci!$A$1:$I$1500,5,0),IF(TYPE(INDIRECT(ADDRESS(ROW() + $A$9-9 + (ROW()-11)*4,3,1,1,"Internet")))&gt;1,INDIRECT(ADDRESS(ROW() + $A$9-9 + (ROW()-11)*4,3,1,1,"Internet"))," "))</f>
        <v>PC Přítkov</v>
      </c>
      <c r="M40" s="319">
        <f ca="1">IF(N(I40)=0,9999,VLOOKUP(I40,Hraci!$A$1:$I$1500,8,0))</f>
        <v>157</v>
      </c>
      <c r="N40" s="386">
        <f ca="1">IF(N(I40)=0,0,VLOOKUP(I40,Hraci!$A$1:$I$1500,9,0))</f>
        <v>18.001000000000001</v>
      </c>
      <c r="O40" s="383" t="str">
        <f t="shared" ca="1" si="11"/>
        <v/>
      </c>
      <c r="P40" s="384" t="str">
        <f ca="1">IF(N(O40)&gt;0,VLOOKUP(O40,Hraci!$A$1:$I$1500,2,0),IF(TYPE(INDIRECT(ADDRESS(ROW() + $A$9-8 + (ROW()-11)*4,2,1,1,"Internet")))&gt;1,INDIRECT(ADDRESS(ROW() + $A$9-8 + (ROW()-11)*4,2,1,1,"Internet"))," "))</f>
        <v xml:space="preserve"> </v>
      </c>
      <c r="Q40" s="385" t="str">
        <f ca="1">IF(N(O40)&gt;0,VLOOKUP(O40,Hraci!$A$1:$I$1500,3,0)," ")</f>
        <v xml:space="preserve"> </v>
      </c>
      <c r="R40" s="385" t="str">
        <f ca="1">IF(N(O40)&gt;0,VLOOKUP(O40,Hraci!$A$1:$I$1500,5,0),IF(TYPE(INDIRECT(ADDRESS(ROW() + $A$9-8 + (ROW()-11)*4,3,1,1,"Internet")))&gt;1,INDIRECT(ADDRESS(ROW() + $A$9-8 + (ROW()-11)*4,3,1,1,"Internet"))," "))</f>
        <v xml:space="preserve"> </v>
      </c>
      <c r="S40" s="319">
        <f ca="1">IF(N(O40)=0,9999,VLOOKUP(O40,Hraci!$A$1:$I$1500,8,0))</f>
        <v>9999</v>
      </c>
      <c r="T40" s="386">
        <f ca="1">IF(N(O40)=0,0,VLOOKUP(O40,Hraci!$A$1:$I$1500,9,0))</f>
        <v>0</v>
      </c>
      <c r="U40" s="383" t="str">
        <f t="shared" ca="1" si="12"/>
        <v/>
      </c>
      <c r="V40" s="384" t="str">
        <f ca="1">IF(N(U40)&gt;0,VLOOKUP(U40,Hraci!$A$1:$I$1500,2,0),IF(TYPE(INDIRECT(ADDRESS(ROW() + $A$9-7 + (ROW()-11)*4,2,1,1,"Internet")))&gt;1,INDIRECT(ADDRESS(ROW() + $A$9-7 + (ROW()-11)*4,2,1,1,"Internet"))," "))</f>
        <v xml:space="preserve"> </v>
      </c>
      <c r="W40" s="385" t="str">
        <f ca="1">IF(N(U40)&gt;0,VLOOKUP(U40,Hraci!$A$1:$I$1500,3,0)," ")</f>
        <v xml:space="preserve"> </v>
      </c>
      <c r="X40" s="385" t="str">
        <f ca="1">IF(N(U40)&gt;0,VLOOKUP(U40,Hraci!$A$1:$I$1500,5,0),IF(TYPE(INDIRECT(ADDRESS(ROW() + $A$9-7 + (ROW()-11)*4,3,1,1,"Internet")))&gt;1,INDIRECT(ADDRESS(ROW() + $A$9-7 + (ROW()-11)*4,3,1,1,"Internet"))," "))</f>
        <v xml:space="preserve"> </v>
      </c>
      <c r="Y40" s="319">
        <f ca="1">IF(N(U40)=0,9999,VLOOKUP(U40,Hraci!$A$1:$I$1500,8,0))</f>
        <v>9999</v>
      </c>
      <c r="Z40" s="386">
        <f ca="1">IF(N(U40)=0,0,VLOOKUP(U40,Hraci!$A$1:$I$1500,9,0))</f>
        <v>0</v>
      </c>
      <c r="AA40" s="383" t="str">
        <f t="shared" ca="1" si="13"/>
        <v/>
      </c>
      <c r="AB40" s="384" t="str">
        <f ca="1">IF(N(AA40)&gt;0,VLOOKUP(AA40,Hraci!$A$1:$I$1500,2,0)," ")</f>
        <v xml:space="preserve"> </v>
      </c>
      <c r="AC40" s="385" t="str">
        <f ca="1">IF(N(AA40)&gt;0,VLOOKUP(AA40,Hraci!$A$1:$I$1500,3,0)," ")</f>
        <v xml:space="preserve"> </v>
      </c>
      <c r="AD40" s="385" t="str">
        <f ca="1">IF(N(AA40)&gt;0,VLOOKUP(AA40,Hraci!$A$1:$I$1500,5,0)," ")</f>
        <v xml:space="preserve"> </v>
      </c>
      <c r="AE40" s="319">
        <f ca="1">IF(N(AA40)=0,9999,VLOOKUP(AA40,Hraci!$A$1:$I$1500,8,0))</f>
        <v>9999</v>
      </c>
      <c r="AF40" s="386">
        <f ca="1">IF(N(AA40)=0,0,VLOOKUP(AA40,Hraci!$A$1:$I$1500,9,0))</f>
        <v>0</v>
      </c>
      <c r="AG40" s="391"/>
      <c r="AH40" s="427">
        <f ca="1">IF(TYPE(VLOOKUP(H40,Centrum!$A$3:$E$130,5,0))&lt;4,VLOOKUP(H40,Centrum!$A$3:$E$130,5,0),0)</f>
        <v>55</v>
      </c>
      <c r="AI40" s="387">
        <f ca="1">IF(N($AH40)&gt;0,VLOOKUP($AH40,Body!$A$4:$F$259,5,0),"")</f>
        <v>10.779802734375</v>
      </c>
      <c r="AJ40" s="388">
        <f ca="1">IF(N($AH40)&gt;0,VLOOKUP($AH40,Body!$A$4:$F$259,6,0),"")</f>
        <v>0</v>
      </c>
      <c r="AK40" s="387">
        <f ca="1">IF(N($AH40)&gt;0,VLOOKUP($AH40,Body!$A$4:$F$259,2,0),"")</f>
        <v>0.28125</v>
      </c>
      <c r="AL40" s="389" t="str">
        <f t="shared" ca="1" si="14"/>
        <v>30 PC Přítkov - Blaščák Ondřej</v>
      </c>
      <c r="AM40" s="390">
        <f t="shared" ca="1" si="15"/>
        <v>18.001000000000001</v>
      </c>
      <c r="AN40" s="319">
        <f ca="1">IF(OR(TYPE(I40)&gt;1,TYPE(MATCH(I40,I41:I$139,0))&gt;1),0,MATCH(I40,I41:I$139,0))+IF(OR(TYPE(I40)&gt;1,TYPE(MATCH(I40,O$11:O$139,0))&gt;1),0,MATCH(I40,O$11:O$139,0))+IF(OR(TYPE(I40)&gt;1,TYPE(MATCH(I40,U$11:U$139,0))&gt;1),0,MATCH(I40,U$11:U$139,0))+IF(OR(TYPE(I40)&gt;1,TYPE(MATCH(I40,AA$11:AA$139,0))&gt;1),0,MATCH(I40,AA$11:AA$139,0))</f>
        <v>0</v>
      </c>
      <c r="AO40" s="319">
        <f ca="1">IF(OR(TYPE(O40)&gt;1,TYPE(MATCH(O40,I$11:I$139,0))&gt;1),0,MATCH(O40,I$11:I$139,0))+IF(OR(TYPE(O40)&gt;1,TYPE(MATCH(O40,O41:O$139,0))&gt;1),0,MATCH(O40,O41:O$139,0))+IF(OR(TYPE(O40)&gt;1,TYPE(MATCH(O40,U$11:U$139,0))&gt;1),0,MATCH(O40,U$11:U$139,0))+IF(OR(TYPE(O40)&gt;1,TYPE(MATCH(O40,AA$11:AA$139,0))&gt;1),0,MATCH(O40,AA$11:AA$139,0))</f>
        <v>0</v>
      </c>
      <c r="AP40" s="319">
        <f ca="1">IF(OR(TYPE(U40)&gt;1,TYPE(MATCH(U40,I$11:I$139,0))&gt;1),0,MATCH(U40,I$11:I$139,0))+IF(OR(TYPE(U40)&gt;1,TYPE(MATCH(U40,O$11:O$139,0))&gt;1),0,MATCH(U40,O$11:O$139,0))+IF(OR(TYPE(U40)&gt;1,TYPE(MATCH(U40,U41:U$139,0))&gt;1),0,MATCH(U40,U41:U$139,0))+IF(OR(TYPE(U40)&gt;1,TYPE(MATCH(U40,AA$11:AA$139,0))&gt;1),0,MATCH(U40,AA$11:AA$139,0))</f>
        <v>0</v>
      </c>
      <c r="AQ40" s="319">
        <f ca="1">IF(OR(TYPE(AA40)&gt;1,TYPE(MATCH(AA40,I$11:I$139,0))&gt;1),0,MATCH(AA40,I$11:I$139,0))+IF(OR(TYPE(AA40)&gt;1,TYPE(MATCH(AA40,O$11:O$139,0))&gt;1),0,MATCH(AA40,O$11:O$139,0))+IF(OR(TYPE(AA40)&gt;1,TYPE(MATCH(AA40,U$11:U$139,0))&gt;1),0,MATCH(U40,U$11:U$139,0))+IF(OR(TYPE(AA40)&gt;1,TYPE(MATCH(AA40,AA41:AA$139,0))&gt;1),0,MATCH(AA40,AA41:AA$139,0))</f>
        <v>0</v>
      </c>
      <c r="AR40" s="319">
        <f t="shared" ca="1" si="18"/>
        <v>0</v>
      </c>
      <c r="AT40" s="318">
        <f t="shared" ca="1" si="16"/>
        <v>0</v>
      </c>
      <c r="AU40" s="318">
        <f ca="1">IF(AND(N(I40)&gt;0,TYPE(VLOOKUP(I40,Hraci!$A$5:$A$800,1,0))&gt;3),1,0) + IF(AND(N(O40)&gt;0,TYPE(VLOOKUP(O40,Hraci!$A$5:$A$800,1,0))&gt;3),1,0) + IF(AND(N(U40)&gt;0,TYPE(VLOOKUP(U40,Hraci!$A$5:$A$800,1,0))&gt;3),1,0)</f>
        <v>0</v>
      </c>
      <c r="BF40" s="319">
        <f t="shared" si="17"/>
        <v>30</v>
      </c>
    </row>
    <row r="41" spans="1:58" ht="12.9" x14ac:dyDescent="0.45">
      <c r="A41" s="302">
        <f t="shared" ca="1" si="2"/>
        <v>1</v>
      </c>
      <c r="B41" s="302">
        <f t="shared" ca="1" si="3"/>
        <v>1</v>
      </c>
      <c r="C41" s="302">
        <f t="shared" ca="1" si="4"/>
        <v>16.812000000000001</v>
      </c>
      <c r="D41" s="302">
        <f t="shared" ca="1" si="5"/>
        <v>20138</v>
      </c>
      <c r="E41" s="302">
        <f t="shared" ca="1" si="6"/>
        <v>140</v>
      </c>
      <c r="F41" s="343" t="str">
        <f t="shared" ca="1" si="7"/>
        <v>01000000000000000000319757</v>
      </c>
      <c r="G41" s="381" t="b">
        <f t="shared" ca="1" si="8"/>
        <v>0</v>
      </c>
      <c r="H41" s="382">
        <f t="shared" si="9"/>
        <v>31</v>
      </c>
      <c r="I41" s="383">
        <f t="shared" ca="1" si="10"/>
        <v>16077</v>
      </c>
      <c r="J41" s="384" t="str">
        <f ca="1">IF(N(I41)&gt;0,VLOOKUP(I41,Hraci!$A$1:$I$1500,2,0),IF(TYPE(INDIRECT(ADDRESS(ROW() + $A$9-9 + (ROW()-11)*4,2,1,1,"Internet")))&gt;1,INDIRECT(ADDRESS(ROW() + $A$9-9 + (ROW()-11)*4,2,1,1,"Internet"))," "))</f>
        <v>Holoubek</v>
      </c>
      <c r="K41" s="385" t="str">
        <f ca="1">IF(N(I41)&gt;0,VLOOKUP(I41,Hraci!$A$1:$I$1500,3,0)," ")</f>
        <v>Pavel</v>
      </c>
      <c r="L41" s="385" t="str">
        <f ca="1">IF(N(I41)&gt;0,VLOOKUP(I41,Hraci!$A$1:$I$1500,5,0),IF(TYPE(INDIRECT(ADDRESS(ROW() + $A$9-9 + (ROW()-11)*4,3,1,1,"Internet")))&gt;1,INDIRECT(ADDRESS(ROW() + $A$9-9 + (ROW()-11)*4,3,1,1,"Internet"))," "))</f>
        <v>SK Pétanque Řepy</v>
      </c>
      <c r="M41" s="319">
        <f ca="1">IF(N(I41)=0,9999,VLOOKUP(I41,Hraci!$A$1:$I$1500,8,0))</f>
        <v>140</v>
      </c>
      <c r="N41" s="386">
        <f ca="1">IF(N(I41)=0,0,VLOOKUP(I41,Hraci!$A$1:$I$1500,9,0))</f>
        <v>16.812000000000001</v>
      </c>
      <c r="O41" s="383" t="str">
        <f t="shared" ca="1" si="11"/>
        <v/>
      </c>
      <c r="P41" s="384" t="str">
        <f ca="1">IF(N(O41)&gt;0,VLOOKUP(O41,Hraci!$A$1:$I$1500,2,0),IF(TYPE(INDIRECT(ADDRESS(ROW() + $A$9-8 + (ROW()-11)*4,2,1,1,"Internet")))&gt;1,INDIRECT(ADDRESS(ROW() + $A$9-8 + (ROW()-11)*4,2,1,1,"Internet"))," "))</f>
        <v xml:space="preserve"> </v>
      </c>
      <c r="Q41" s="385" t="str">
        <f ca="1">IF(N(O41)&gt;0,VLOOKUP(O41,Hraci!$A$1:$I$1500,3,0)," ")</f>
        <v xml:space="preserve"> </v>
      </c>
      <c r="R41" s="385" t="str">
        <f ca="1">IF(N(O41)&gt;0,VLOOKUP(O41,Hraci!$A$1:$I$1500,5,0),IF(TYPE(INDIRECT(ADDRESS(ROW() + $A$9-8 + (ROW()-11)*4,3,1,1,"Internet")))&gt;1,INDIRECT(ADDRESS(ROW() + $A$9-8 + (ROW()-11)*4,3,1,1,"Internet"))," "))</f>
        <v xml:space="preserve"> </v>
      </c>
      <c r="S41" s="319">
        <f ca="1">IF(N(O41)=0,9999,VLOOKUP(O41,Hraci!$A$1:$I$1500,8,0))</f>
        <v>9999</v>
      </c>
      <c r="T41" s="386">
        <f ca="1">IF(N(O41)=0,0,VLOOKUP(O41,Hraci!$A$1:$I$1500,9,0))</f>
        <v>0</v>
      </c>
      <c r="U41" s="383" t="str">
        <f t="shared" ca="1" si="12"/>
        <v/>
      </c>
      <c r="V41" s="384" t="str">
        <f ca="1">IF(N(U41)&gt;0,VLOOKUP(U41,Hraci!$A$1:$I$1500,2,0),IF(TYPE(INDIRECT(ADDRESS(ROW() + $A$9-7 + (ROW()-11)*4,2,1,1,"Internet")))&gt;1,INDIRECT(ADDRESS(ROW() + $A$9-7 + (ROW()-11)*4,2,1,1,"Internet"))," "))</f>
        <v xml:space="preserve"> </v>
      </c>
      <c r="W41" s="385" t="str">
        <f ca="1">IF(N(U41)&gt;0,VLOOKUP(U41,Hraci!$A$1:$I$1500,3,0)," ")</f>
        <v xml:space="preserve"> </v>
      </c>
      <c r="X41" s="385" t="str">
        <f ca="1">IF(N(U41)&gt;0,VLOOKUP(U41,Hraci!$A$1:$I$1500,5,0),IF(TYPE(INDIRECT(ADDRESS(ROW() + $A$9-7 + (ROW()-11)*4,3,1,1,"Internet")))&gt;1,INDIRECT(ADDRESS(ROW() + $A$9-7 + (ROW()-11)*4,3,1,1,"Internet"))," "))</f>
        <v xml:space="preserve"> </v>
      </c>
      <c r="Y41" s="319">
        <f ca="1">IF(N(U41)=0,9999,VLOOKUP(U41,Hraci!$A$1:$I$1500,8,0))</f>
        <v>9999</v>
      </c>
      <c r="Z41" s="386">
        <f ca="1">IF(N(U41)=0,0,VLOOKUP(U41,Hraci!$A$1:$I$1500,9,0))</f>
        <v>0</v>
      </c>
      <c r="AA41" s="383" t="str">
        <f t="shared" ca="1" si="13"/>
        <v/>
      </c>
      <c r="AB41" s="384" t="str">
        <f ca="1">IF(N(AA41)&gt;0,VLOOKUP(AA41,Hraci!$A$1:$I$1500,2,0)," ")</f>
        <v xml:space="preserve"> </v>
      </c>
      <c r="AC41" s="385" t="str">
        <f ca="1">IF(N(AA41)&gt;0,VLOOKUP(AA41,Hraci!$A$1:$I$1500,3,0)," ")</f>
        <v xml:space="preserve"> </v>
      </c>
      <c r="AD41" s="385" t="str">
        <f ca="1">IF(N(AA41)&gt;0,VLOOKUP(AA41,Hraci!$A$1:$I$1500,5,0)," ")</f>
        <v xml:space="preserve"> </v>
      </c>
      <c r="AE41" s="319">
        <f ca="1">IF(N(AA41)=0,9999,VLOOKUP(AA41,Hraci!$A$1:$I$1500,8,0))</f>
        <v>9999</v>
      </c>
      <c r="AF41" s="386">
        <f ca="1">IF(N(AA41)=0,0,VLOOKUP(AA41,Hraci!$A$1:$I$1500,9,0))</f>
        <v>0</v>
      </c>
      <c r="AG41" s="391"/>
      <c r="AH41" s="427">
        <f ca="1">IF(TYPE(VLOOKUP(H41,Centrum!$A$3:$E$130,5,0))&lt;4,VLOOKUP(H41,Centrum!$A$3:$E$130,5,0),0)</f>
        <v>49</v>
      </c>
      <c r="AI41" s="387">
        <f ca="1">IF(N($AH41)&gt;0,VLOOKUP($AH41,Body!$A$4:$F$259,5,0),"")</f>
        <v>17.966337890624999</v>
      </c>
      <c r="AJ41" s="388">
        <f ca="1">IF(N($AH41)&gt;0,VLOOKUP($AH41,Body!$A$4:$F$259,6,0),"")</f>
        <v>0</v>
      </c>
      <c r="AK41" s="387">
        <f ca="1">IF(N($AH41)&gt;0,VLOOKUP($AH41,Body!$A$4:$F$259,2,0),"")</f>
        <v>0.46875</v>
      </c>
      <c r="AL41" s="389" t="str">
        <f t="shared" ca="1" si="14"/>
        <v>31 SK Pétanque Řepy - Holoubek Pavel</v>
      </c>
      <c r="AM41" s="390">
        <f t="shared" ca="1" si="15"/>
        <v>16.812000000000001</v>
      </c>
      <c r="AN41" s="319">
        <f ca="1">IF(OR(TYPE(I41)&gt;1,TYPE(MATCH(I41,I42:I$139,0))&gt;1),0,MATCH(I41,I42:I$139,0))+IF(OR(TYPE(I41)&gt;1,TYPE(MATCH(I41,O$11:O$139,0))&gt;1),0,MATCH(I41,O$11:O$139,0))+IF(OR(TYPE(I41)&gt;1,TYPE(MATCH(I41,U$11:U$139,0))&gt;1),0,MATCH(I41,U$11:U$139,0))+IF(OR(TYPE(I41)&gt;1,TYPE(MATCH(I41,AA$11:AA$139,0))&gt;1),0,MATCH(I41,AA$11:AA$139,0))</f>
        <v>0</v>
      </c>
      <c r="AO41" s="319">
        <f ca="1">IF(OR(TYPE(O41)&gt;1,TYPE(MATCH(O41,I$11:I$139,0))&gt;1),0,MATCH(O41,I$11:I$139,0))+IF(OR(TYPE(O41)&gt;1,TYPE(MATCH(O41,O42:O$139,0))&gt;1),0,MATCH(O41,O42:O$139,0))+IF(OR(TYPE(O41)&gt;1,TYPE(MATCH(O41,U$11:U$139,0))&gt;1),0,MATCH(O41,U$11:U$139,0))+IF(OR(TYPE(O41)&gt;1,TYPE(MATCH(O41,AA$11:AA$139,0))&gt;1),0,MATCH(O41,AA$11:AA$139,0))</f>
        <v>0</v>
      </c>
      <c r="AP41" s="319">
        <f ca="1">IF(OR(TYPE(U41)&gt;1,TYPE(MATCH(U41,I$11:I$139,0))&gt;1),0,MATCH(U41,I$11:I$139,0))+IF(OR(TYPE(U41)&gt;1,TYPE(MATCH(U41,O$11:O$139,0))&gt;1),0,MATCH(U41,O$11:O$139,0))+IF(OR(TYPE(U41)&gt;1,TYPE(MATCH(U41,U42:U$139,0))&gt;1),0,MATCH(U41,U42:U$139,0))+IF(OR(TYPE(U41)&gt;1,TYPE(MATCH(U41,AA$11:AA$139,0))&gt;1),0,MATCH(U41,AA$11:AA$139,0))</f>
        <v>0</v>
      </c>
      <c r="AQ41" s="319">
        <f ca="1">IF(OR(TYPE(AA41)&gt;1,TYPE(MATCH(AA41,I$11:I$139,0))&gt;1),0,MATCH(AA41,I$11:I$139,0))+IF(OR(TYPE(AA41)&gt;1,TYPE(MATCH(AA41,O$11:O$139,0))&gt;1),0,MATCH(AA41,O$11:O$139,0))+IF(OR(TYPE(AA41)&gt;1,TYPE(MATCH(AA41,U$11:U$139,0))&gt;1),0,MATCH(U41,U$11:U$139,0))+IF(OR(TYPE(AA41)&gt;1,TYPE(MATCH(AA41,AA42:AA$139,0))&gt;1),0,MATCH(AA41,AA42:AA$139,0))</f>
        <v>0</v>
      </c>
      <c r="AR41" s="319">
        <f t="shared" ca="1" si="18"/>
        <v>0</v>
      </c>
      <c r="AT41" s="318">
        <f t="shared" ca="1" si="16"/>
        <v>0</v>
      </c>
      <c r="AU41" s="318">
        <f ca="1">IF(AND(N(I41)&gt;0,TYPE(VLOOKUP(I41,Hraci!$A$5:$A$800,1,0))&gt;3),1,0) + IF(AND(N(O41)&gt;0,TYPE(VLOOKUP(O41,Hraci!$A$5:$A$800,1,0))&gt;3),1,0) + IF(AND(N(U41)&gt;0,TYPE(VLOOKUP(U41,Hraci!$A$5:$A$800,1,0))&gt;3),1,0)</f>
        <v>0</v>
      </c>
      <c r="BF41" s="319">
        <f t="shared" si="17"/>
        <v>31</v>
      </c>
    </row>
    <row r="42" spans="1:58" ht="12.9" x14ac:dyDescent="0.45">
      <c r="A42" s="302">
        <f t="shared" ca="1" si="2"/>
        <v>1</v>
      </c>
      <c r="B42" s="302">
        <f t="shared" ca="1" si="3"/>
        <v>1</v>
      </c>
      <c r="C42" s="302">
        <f t="shared" ca="1" si="4"/>
        <v>16.251000000000001</v>
      </c>
      <c r="D42" s="302">
        <f t="shared" ca="1" si="5"/>
        <v>20206</v>
      </c>
      <c r="E42" s="302">
        <f t="shared" ca="1" si="6"/>
        <v>208</v>
      </c>
      <c r="F42" s="343" t="str">
        <f t="shared" ca="1" si="7"/>
        <v>01000000000000000000697791</v>
      </c>
      <c r="G42" s="381" t="b">
        <f t="shared" ca="1" si="8"/>
        <v>0</v>
      </c>
      <c r="H42" s="382">
        <f t="shared" si="9"/>
        <v>32</v>
      </c>
      <c r="I42" s="383">
        <f t="shared" ca="1" si="10"/>
        <v>21025</v>
      </c>
      <c r="J42" s="384" t="str">
        <f ca="1">IF(N(I42)&gt;0,VLOOKUP(I42,Hraci!$A$1:$I$1500,2,0),IF(TYPE(INDIRECT(ADDRESS(ROW() + $A$9-9 + (ROW()-11)*4,2,1,1,"Internet")))&gt;1,INDIRECT(ADDRESS(ROW() + $A$9-9 + (ROW()-11)*4,2,1,1,"Internet"))," "))</f>
        <v>Vodehnal</v>
      </c>
      <c r="K42" s="385" t="str">
        <f ca="1">IF(N(I42)&gt;0,VLOOKUP(I42,Hraci!$A$1:$I$1500,3,0)," ")</f>
        <v>Zdeněk</v>
      </c>
      <c r="L42" s="385" t="str">
        <f ca="1">IF(N(I42)&gt;0,VLOOKUP(I42,Hraci!$A$1:$I$1500,5,0),IF(TYPE(INDIRECT(ADDRESS(ROW() + $A$9-9 + (ROW()-11)*4,3,1,1,"Internet")))&gt;1,INDIRECT(ADDRESS(ROW() + $A$9-9 + (ROW()-11)*4,3,1,1,"Internet"))," "))</f>
        <v>SK Pétanque Řepy</v>
      </c>
      <c r="M42" s="319">
        <f ca="1">IF(N(I42)=0,9999,VLOOKUP(I42,Hraci!$A$1:$I$1500,8,0))</f>
        <v>208</v>
      </c>
      <c r="N42" s="386">
        <f ca="1">IF(N(I42)=0,0,VLOOKUP(I42,Hraci!$A$1:$I$1500,9,0))</f>
        <v>16.251000000000001</v>
      </c>
      <c r="O42" s="383" t="str">
        <f t="shared" ca="1" si="11"/>
        <v/>
      </c>
      <c r="P42" s="384" t="str">
        <f ca="1">IF(N(O42)&gt;0,VLOOKUP(O42,Hraci!$A$1:$I$1500,2,0),IF(TYPE(INDIRECT(ADDRESS(ROW() + $A$9-8 + (ROW()-11)*4,2,1,1,"Internet")))&gt;1,INDIRECT(ADDRESS(ROW() + $A$9-8 + (ROW()-11)*4,2,1,1,"Internet"))," "))</f>
        <v xml:space="preserve"> </v>
      </c>
      <c r="Q42" s="385" t="str">
        <f ca="1">IF(N(O42)&gt;0,VLOOKUP(O42,Hraci!$A$1:$I$1500,3,0)," ")</f>
        <v xml:space="preserve"> </v>
      </c>
      <c r="R42" s="385" t="str">
        <f ca="1">IF(N(O42)&gt;0,VLOOKUP(O42,Hraci!$A$1:$I$1500,5,0),IF(TYPE(INDIRECT(ADDRESS(ROW() + $A$9-8 + (ROW()-11)*4,3,1,1,"Internet")))&gt;1,INDIRECT(ADDRESS(ROW() + $A$9-8 + (ROW()-11)*4,3,1,1,"Internet"))," "))</f>
        <v xml:space="preserve"> </v>
      </c>
      <c r="S42" s="319">
        <f ca="1">IF(N(O42)=0,9999,VLOOKUP(O42,Hraci!$A$1:$I$1500,8,0))</f>
        <v>9999</v>
      </c>
      <c r="T42" s="386">
        <f ca="1">IF(N(O42)=0,0,VLOOKUP(O42,Hraci!$A$1:$I$1500,9,0))</f>
        <v>0</v>
      </c>
      <c r="U42" s="383" t="str">
        <f t="shared" ca="1" si="12"/>
        <v/>
      </c>
      <c r="V42" s="384" t="str">
        <f ca="1">IF(N(U42)&gt;0,VLOOKUP(U42,Hraci!$A$1:$I$1500,2,0),IF(TYPE(INDIRECT(ADDRESS(ROW() + $A$9-7 + (ROW()-11)*4,2,1,1,"Internet")))&gt;1,INDIRECT(ADDRESS(ROW() + $A$9-7 + (ROW()-11)*4,2,1,1,"Internet"))," "))</f>
        <v xml:space="preserve"> </v>
      </c>
      <c r="W42" s="385" t="str">
        <f ca="1">IF(N(U42)&gt;0,VLOOKUP(U42,Hraci!$A$1:$I$1500,3,0)," ")</f>
        <v xml:space="preserve"> </v>
      </c>
      <c r="X42" s="385" t="str">
        <f ca="1">IF(N(U42)&gt;0,VLOOKUP(U42,Hraci!$A$1:$I$1500,5,0),IF(TYPE(INDIRECT(ADDRESS(ROW() + $A$9-7 + (ROW()-11)*4,3,1,1,"Internet")))&gt;1,INDIRECT(ADDRESS(ROW() + $A$9-7 + (ROW()-11)*4,3,1,1,"Internet"))," "))</f>
        <v xml:space="preserve"> </v>
      </c>
      <c r="Y42" s="319">
        <f ca="1">IF(N(U42)=0,9999,VLOOKUP(U42,Hraci!$A$1:$I$1500,8,0))</f>
        <v>9999</v>
      </c>
      <c r="Z42" s="386">
        <f ca="1">IF(N(U42)=0,0,VLOOKUP(U42,Hraci!$A$1:$I$1500,9,0))</f>
        <v>0</v>
      </c>
      <c r="AA42" s="383" t="str">
        <f t="shared" ca="1" si="13"/>
        <v/>
      </c>
      <c r="AB42" s="384" t="str">
        <f ca="1">IF(N(AA42)&gt;0,VLOOKUP(AA42,Hraci!$A$1:$I$1500,2,0)," ")</f>
        <v xml:space="preserve"> </v>
      </c>
      <c r="AC42" s="385" t="str">
        <f ca="1">IF(N(AA42)&gt;0,VLOOKUP(AA42,Hraci!$A$1:$I$1500,3,0)," ")</f>
        <v xml:space="preserve"> </v>
      </c>
      <c r="AD42" s="385" t="str">
        <f ca="1">IF(N(AA42)&gt;0,VLOOKUP(AA42,Hraci!$A$1:$I$1500,5,0)," ")</f>
        <v xml:space="preserve"> </v>
      </c>
      <c r="AE42" s="319">
        <f ca="1">IF(N(AA42)=0,9999,VLOOKUP(AA42,Hraci!$A$1:$I$1500,8,0))</f>
        <v>9999</v>
      </c>
      <c r="AF42" s="386">
        <f ca="1">IF(N(AA42)=0,0,VLOOKUP(AA42,Hraci!$A$1:$I$1500,9,0))</f>
        <v>0</v>
      </c>
      <c r="AG42" s="391"/>
      <c r="AH42" s="427">
        <f ca="1">IF(TYPE(VLOOKUP(H42,Centrum!$A$3:$E$130,5,0))&lt;4,VLOOKUP(H42,Centrum!$A$3:$E$130,5,0),0)</f>
        <v>42</v>
      </c>
      <c r="AI42" s="387">
        <f ca="1">IF(N($AH42)&gt;0,VLOOKUP($AH42,Body!$A$4:$F$259,5,0),"")</f>
        <v>26.350628906249998</v>
      </c>
      <c r="AJ42" s="388">
        <f ca="1">IF(N($AH42)&gt;0,VLOOKUP($AH42,Body!$A$4:$F$259,6,0),"")</f>
        <v>0</v>
      </c>
      <c r="AK42" s="387">
        <f ca="1">IF(N($AH42)&gt;0,VLOOKUP($AH42,Body!$A$4:$F$259,2,0),"")</f>
        <v>0.6875</v>
      </c>
      <c r="AL42" s="389" t="str">
        <f t="shared" ca="1" si="14"/>
        <v>32 SK Pétanque Řepy - Vodehnal Zdeněk</v>
      </c>
      <c r="AM42" s="390">
        <f t="shared" ca="1" si="15"/>
        <v>16.251000000000001</v>
      </c>
      <c r="AN42" s="319">
        <f ca="1">IF(OR(TYPE(I42)&gt;1,TYPE(MATCH(I42,I43:I$139,0))&gt;1),0,MATCH(I42,I43:I$139,0))+IF(OR(TYPE(I42)&gt;1,TYPE(MATCH(I42,O$11:O$139,0))&gt;1),0,MATCH(I42,O$11:O$139,0))+IF(OR(TYPE(I42)&gt;1,TYPE(MATCH(I42,U$11:U$139,0))&gt;1),0,MATCH(I42,U$11:U$139,0))+IF(OR(TYPE(I42)&gt;1,TYPE(MATCH(I42,AA$11:AA$139,0))&gt;1),0,MATCH(I42,AA$11:AA$139,0))</f>
        <v>0</v>
      </c>
      <c r="AO42" s="319">
        <f ca="1">IF(OR(TYPE(O42)&gt;1,TYPE(MATCH(O42,I$11:I$139,0))&gt;1),0,MATCH(O42,I$11:I$139,0))+IF(OR(TYPE(O42)&gt;1,TYPE(MATCH(O42,O43:O$139,0))&gt;1),0,MATCH(O42,O43:O$139,0))+IF(OR(TYPE(O42)&gt;1,TYPE(MATCH(O42,U$11:U$139,0))&gt;1),0,MATCH(O42,U$11:U$139,0))+IF(OR(TYPE(O42)&gt;1,TYPE(MATCH(O42,AA$11:AA$139,0))&gt;1),0,MATCH(O42,AA$11:AA$139,0))</f>
        <v>0</v>
      </c>
      <c r="AP42" s="319">
        <f ca="1">IF(OR(TYPE(U42)&gt;1,TYPE(MATCH(U42,I$11:I$139,0))&gt;1),0,MATCH(U42,I$11:I$139,0))+IF(OR(TYPE(U42)&gt;1,TYPE(MATCH(U42,O$11:O$139,0))&gt;1),0,MATCH(U42,O$11:O$139,0))+IF(OR(TYPE(U42)&gt;1,TYPE(MATCH(U42,U43:U$139,0))&gt;1),0,MATCH(U42,U43:U$139,0))+IF(OR(TYPE(U42)&gt;1,TYPE(MATCH(U42,AA$11:AA$139,0))&gt;1),0,MATCH(U42,AA$11:AA$139,0))</f>
        <v>0</v>
      </c>
      <c r="AQ42" s="319">
        <f ca="1">IF(OR(TYPE(AA42)&gt;1,TYPE(MATCH(AA42,I$11:I$139,0))&gt;1),0,MATCH(AA42,I$11:I$139,0))+IF(OR(TYPE(AA42)&gt;1,TYPE(MATCH(AA42,O$11:O$139,0))&gt;1),0,MATCH(AA42,O$11:O$139,0))+IF(OR(TYPE(AA42)&gt;1,TYPE(MATCH(AA42,U$11:U$139,0))&gt;1),0,MATCH(U42,U$11:U$139,0))+IF(OR(TYPE(AA42)&gt;1,TYPE(MATCH(AA42,AA43:AA$139,0))&gt;1),0,MATCH(AA42,AA43:AA$139,0))</f>
        <v>0</v>
      </c>
      <c r="AR42" s="319">
        <f t="shared" ca="1" si="18"/>
        <v>0</v>
      </c>
      <c r="AT42" s="318">
        <f t="shared" ca="1" si="16"/>
        <v>0</v>
      </c>
      <c r="AU42" s="318">
        <f ca="1">IF(AND(N(I42)&gt;0,TYPE(VLOOKUP(I42,Hraci!$A$5:$A$800,1,0))&gt;3),1,0) + IF(AND(N(O42)&gt;0,TYPE(VLOOKUP(O42,Hraci!$A$5:$A$800,1,0))&gt;3),1,0) + IF(AND(N(U42)&gt;0,TYPE(VLOOKUP(U42,Hraci!$A$5:$A$800,1,0))&gt;3),1,0)</f>
        <v>0</v>
      </c>
      <c r="BF42" s="319">
        <f t="shared" si="17"/>
        <v>32</v>
      </c>
    </row>
    <row r="43" spans="1:58" ht="12.9" x14ac:dyDescent="0.45">
      <c r="A43" s="302">
        <f t="shared" ca="1" si="2"/>
        <v>1</v>
      </c>
      <c r="B43" s="302">
        <f t="shared" ca="1" si="3"/>
        <v>1</v>
      </c>
      <c r="C43" s="302">
        <f t="shared" ca="1" si="4"/>
        <v>14.936999999999999</v>
      </c>
      <c r="D43" s="302">
        <f t="shared" ca="1" si="5"/>
        <v>20172</v>
      </c>
      <c r="E43" s="302">
        <f t="shared" ca="1" si="6"/>
        <v>174</v>
      </c>
      <c r="F43" s="343" t="str">
        <f t="shared" ca="1" si="7"/>
        <v>01000000000000000000291443</v>
      </c>
      <c r="G43" s="381" t="b">
        <f t="shared" ca="1" si="8"/>
        <v>0</v>
      </c>
      <c r="H43" s="382">
        <f t="shared" si="9"/>
        <v>33</v>
      </c>
      <c r="I43" s="383">
        <f t="shared" ca="1" si="10"/>
        <v>20614</v>
      </c>
      <c r="J43" s="384" t="str">
        <f ca="1">IF(N(I43)&gt;0,VLOOKUP(I43,Hraci!$A$1:$I$1500,2,0),IF(TYPE(INDIRECT(ADDRESS(ROW() + $A$9-9 + (ROW()-11)*4,2,1,1,"Internet")))&gt;1,INDIRECT(ADDRESS(ROW() + $A$9-9 + (ROW()-11)*4,2,1,1,"Internet"))," "))</f>
        <v>Müllerová</v>
      </c>
      <c r="K43" s="385" t="str">
        <f ca="1">IF(N(I43)&gt;0,VLOOKUP(I43,Hraci!$A$1:$I$1500,3,0)," ")</f>
        <v>Jiřina</v>
      </c>
      <c r="L43" s="385" t="str">
        <f ca="1">IF(N(I43)&gt;0,VLOOKUP(I43,Hraci!$A$1:$I$1500,5,0),IF(TYPE(INDIRECT(ADDRESS(ROW() + $A$9-9 + (ROW()-11)*4,3,1,1,"Internet")))&gt;1,INDIRECT(ADDRESS(ROW() + $A$9-9 + (ROW()-11)*4,3,1,1,"Internet"))," "))</f>
        <v>SK Pétanque Řepy</v>
      </c>
      <c r="M43" s="319">
        <f ca="1">IF(N(I43)=0,9999,VLOOKUP(I43,Hraci!$A$1:$I$1500,8,0))</f>
        <v>174</v>
      </c>
      <c r="N43" s="386">
        <f ca="1">IF(N(I43)=0,0,VLOOKUP(I43,Hraci!$A$1:$I$1500,9,0))</f>
        <v>14.936999999999999</v>
      </c>
      <c r="O43" s="383" t="str">
        <f t="shared" ca="1" si="11"/>
        <v/>
      </c>
      <c r="P43" s="384" t="str">
        <f ca="1">IF(N(O43)&gt;0,VLOOKUP(O43,Hraci!$A$1:$I$1500,2,0),IF(TYPE(INDIRECT(ADDRESS(ROW() + $A$9-8 + (ROW()-11)*4,2,1,1,"Internet")))&gt;1,INDIRECT(ADDRESS(ROW() + $A$9-8 + (ROW()-11)*4,2,1,1,"Internet"))," "))</f>
        <v xml:space="preserve"> </v>
      </c>
      <c r="Q43" s="385" t="str">
        <f ca="1">IF(N(O43)&gt;0,VLOOKUP(O43,Hraci!$A$1:$I$1500,3,0)," ")</f>
        <v xml:space="preserve"> </v>
      </c>
      <c r="R43" s="385" t="str">
        <f ca="1">IF(N(O43)&gt;0,VLOOKUP(O43,Hraci!$A$1:$I$1500,5,0),IF(TYPE(INDIRECT(ADDRESS(ROW() + $A$9-8 + (ROW()-11)*4,3,1,1,"Internet")))&gt;1,INDIRECT(ADDRESS(ROW() + $A$9-8 + (ROW()-11)*4,3,1,1,"Internet"))," "))</f>
        <v xml:space="preserve"> </v>
      </c>
      <c r="S43" s="319">
        <f ca="1">IF(N(O43)=0,9999,VLOOKUP(O43,Hraci!$A$1:$I$1500,8,0))</f>
        <v>9999</v>
      </c>
      <c r="T43" s="386">
        <f ca="1">IF(N(O43)=0,0,VLOOKUP(O43,Hraci!$A$1:$I$1500,9,0))</f>
        <v>0</v>
      </c>
      <c r="U43" s="383" t="str">
        <f t="shared" ca="1" si="12"/>
        <v/>
      </c>
      <c r="V43" s="384" t="str">
        <f ca="1">IF(N(U43)&gt;0,VLOOKUP(U43,Hraci!$A$1:$I$1500,2,0),IF(TYPE(INDIRECT(ADDRESS(ROW() + $A$9-7 + (ROW()-11)*4,2,1,1,"Internet")))&gt;1,INDIRECT(ADDRESS(ROW() + $A$9-7 + (ROW()-11)*4,2,1,1,"Internet"))," "))</f>
        <v xml:space="preserve"> </v>
      </c>
      <c r="W43" s="385" t="str">
        <f ca="1">IF(N(U43)&gt;0,VLOOKUP(U43,Hraci!$A$1:$I$1500,3,0)," ")</f>
        <v xml:space="preserve"> </v>
      </c>
      <c r="X43" s="385" t="str">
        <f ca="1">IF(N(U43)&gt;0,VLOOKUP(U43,Hraci!$A$1:$I$1500,5,0),IF(TYPE(INDIRECT(ADDRESS(ROW() + $A$9-7 + (ROW()-11)*4,3,1,1,"Internet")))&gt;1,INDIRECT(ADDRESS(ROW() + $A$9-7 + (ROW()-11)*4,3,1,1,"Internet"))," "))</f>
        <v xml:space="preserve"> </v>
      </c>
      <c r="Y43" s="319">
        <f ca="1">IF(N(U43)=0,9999,VLOOKUP(U43,Hraci!$A$1:$I$1500,8,0))</f>
        <v>9999</v>
      </c>
      <c r="Z43" s="386">
        <f ca="1">IF(N(U43)=0,0,VLOOKUP(U43,Hraci!$A$1:$I$1500,9,0))</f>
        <v>0</v>
      </c>
      <c r="AA43" s="383" t="str">
        <f t="shared" ca="1" si="13"/>
        <v/>
      </c>
      <c r="AB43" s="384" t="str">
        <f ca="1">IF(N(AA43)&gt;0,VLOOKUP(AA43,Hraci!$A$1:$I$1500,2,0)," ")</f>
        <v xml:space="preserve"> </v>
      </c>
      <c r="AC43" s="385" t="str">
        <f ca="1">IF(N(AA43)&gt;0,VLOOKUP(AA43,Hraci!$A$1:$I$1500,3,0)," ")</f>
        <v xml:space="preserve"> </v>
      </c>
      <c r="AD43" s="385" t="str">
        <f ca="1">IF(N(AA43)&gt;0,VLOOKUP(AA43,Hraci!$A$1:$I$1500,5,0)," ")</f>
        <v xml:space="preserve"> </v>
      </c>
      <c r="AE43" s="319">
        <f ca="1">IF(N(AA43)=0,9999,VLOOKUP(AA43,Hraci!$A$1:$I$1500,8,0))</f>
        <v>9999</v>
      </c>
      <c r="AF43" s="386">
        <f ca="1">IF(N(AA43)=0,0,VLOOKUP(AA43,Hraci!$A$1:$I$1500,9,0))</f>
        <v>0</v>
      </c>
      <c r="AG43" s="391"/>
      <c r="AH43" s="427">
        <f ca="1">IF(TYPE(VLOOKUP(H43,Centrum!$A$3:$E$130,5,0))&lt;4,VLOOKUP(H43,Centrum!$A$3:$E$130,5,0),0)</f>
        <v>51</v>
      </c>
      <c r="AI43" s="387">
        <f ca="1">IF(N($AH43)&gt;0,VLOOKUP($AH43,Body!$A$4:$F$259,5,0),"")</f>
        <v>15.570826171875</v>
      </c>
      <c r="AJ43" s="388">
        <f ca="1">IF(N($AH43)&gt;0,VLOOKUP($AH43,Body!$A$4:$F$259,6,0),"")</f>
        <v>0</v>
      </c>
      <c r="AK43" s="387">
        <f ca="1">IF(N($AH43)&gt;0,VLOOKUP($AH43,Body!$A$4:$F$259,2,0),"")</f>
        <v>0.40625</v>
      </c>
      <c r="AL43" s="389" t="str">
        <f t="shared" ref="AL43:AL74" ca="1" si="19">IF(N(H43)&gt;$K$7,"",CONCATENATE(IF($Y$9="","",H43&amp;" "),L43,IF(L43="",""," - "),J43," ",K43))</f>
        <v>33 SK Pétanque Řepy - Müllerová Jiřina</v>
      </c>
      <c r="AM43" s="390">
        <f t="shared" ca="1" si="15"/>
        <v>14.936999999999999</v>
      </c>
      <c r="AN43" s="319">
        <f ca="1">IF(OR(TYPE(I43)&gt;1,TYPE(MATCH(I43,I44:I$139,0))&gt;1),0,MATCH(I43,I44:I$139,0))+IF(OR(TYPE(I43)&gt;1,TYPE(MATCH(I43,O$11:O$139,0))&gt;1),0,MATCH(I43,O$11:O$139,0))+IF(OR(TYPE(I43)&gt;1,TYPE(MATCH(I43,U$11:U$139,0))&gt;1),0,MATCH(I43,U$11:U$139,0))+IF(OR(TYPE(I43)&gt;1,TYPE(MATCH(I43,AA$11:AA$139,0))&gt;1),0,MATCH(I43,AA$11:AA$139,0))</f>
        <v>0</v>
      </c>
      <c r="AO43" s="319">
        <f ca="1">IF(OR(TYPE(O43)&gt;1,TYPE(MATCH(O43,I$11:I$139,0))&gt;1),0,MATCH(O43,I$11:I$139,0))+IF(OR(TYPE(O43)&gt;1,TYPE(MATCH(O43,O44:O$139,0))&gt;1),0,MATCH(O43,O44:O$139,0))+IF(OR(TYPE(O43)&gt;1,TYPE(MATCH(O43,U$11:U$139,0))&gt;1),0,MATCH(O43,U$11:U$139,0))+IF(OR(TYPE(O43)&gt;1,TYPE(MATCH(O43,AA$11:AA$139,0))&gt;1),0,MATCH(O43,AA$11:AA$139,0))</f>
        <v>0</v>
      </c>
      <c r="AP43" s="319">
        <f ca="1">IF(OR(TYPE(U43)&gt;1,TYPE(MATCH(U43,I$11:I$139,0))&gt;1),0,MATCH(U43,I$11:I$139,0))+IF(OR(TYPE(U43)&gt;1,TYPE(MATCH(U43,O$11:O$139,0))&gt;1),0,MATCH(U43,O$11:O$139,0))+IF(OR(TYPE(U43)&gt;1,TYPE(MATCH(U43,U44:U$139,0))&gt;1),0,MATCH(U43,U44:U$139,0))+IF(OR(TYPE(U43)&gt;1,TYPE(MATCH(U43,AA$11:AA$139,0))&gt;1),0,MATCH(U43,AA$11:AA$139,0))</f>
        <v>0</v>
      </c>
      <c r="AQ43" s="319">
        <f ca="1">IF(OR(TYPE(AA43)&gt;1,TYPE(MATCH(AA43,I$11:I$139,0))&gt;1),0,MATCH(AA43,I$11:I$139,0))+IF(OR(TYPE(AA43)&gt;1,TYPE(MATCH(AA43,O$11:O$139,0))&gt;1),0,MATCH(AA43,O$11:O$139,0))+IF(OR(TYPE(AA43)&gt;1,TYPE(MATCH(AA43,U$11:U$139,0))&gt;1),0,MATCH(U43,U$11:U$139,0))+IF(OR(TYPE(AA43)&gt;1,TYPE(MATCH(AA43,AA44:AA$139,0))&gt;1),0,MATCH(AA43,AA44:AA$139,0))</f>
        <v>0</v>
      </c>
      <c r="AR43" s="319">
        <f t="shared" ca="1" si="18"/>
        <v>0</v>
      </c>
      <c r="AT43" s="318">
        <f t="shared" ca="1" si="16"/>
        <v>0</v>
      </c>
      <c r="AU43" s="318">
        <f ca="1">IF(AND(N(I43)&gt;0,TYPE(VLOOKUP(I43,Hraci!$A$5:$A$800,1,0))&gt;3),1,0) + IF(AND(N(O43)&gt;0,TYPE(VLOOKUP(O43,Hraci!$A$5:$A$800,1,0))&gt;3),1,0) + IF(AND(N(U43)&gt;0,TYPE(VLOOKUP(U43,Hraci!$A$5:$A$800,1,0))&gt;3),1,0)</f>
        <v>0</v>
      </c>
      <c r="BF43" s="319">
        <f t="shared" si="17"/>
        <v>33</v>
      </c>
    </row>
    <row r="44" spans="1:58" ht="12.9" x14ac:dyDescent="0.45">
      <c r="A44" s="302">
        <f t="shared" ca="1" si="2"/>
        <v>1</v>
      </c>
      <c r="B44" s="302">
        <f t="shared" ca="1" si="3"/>
        <v>1</v>
      </c>
      <c r="C44" s="302">
        <f t="shared" ca="1" si="4"/>
        <v>14.047000000000001</v>
      </c>
      <c r="D44" s="302">
        <f t="shared" ca="1" si="5"/>
        <v>20208</v>
      </c>
      <c r="E44" s="302">
        <f t="shared" ca="1" si="6"/>
        <v>210</v>
      </c>
      <c r="F44" s="343" t="str">
        <f t="shared" ca="1" si="7"/>
        <v>01000000000000000000523549</v>
      </c>
      <c r="G44" s="381" t="b">
        <f t="shared" ca="1" si="8"/>
        <v>0</v>
      </c>
      <c r="H44" s="382">
        <f t="shared" si="9"/>
        <v>34</v>
      </c>
      <c r="I44" s="383">
        <f t="shared" ca="1" si="10"/>
        <v>11037</v>
      </c>
      <c r="J44" s="384" t="str">
        <f ca="1">IF(N(I44)&gt;0,VLOOKUP(I44,Hraci!$A$1:$I$1500,2,0),IF(TYPE(INDIRECT(ADDRESS(ROW() + $A$9-9 + (ROW()-11)*4,2,1,1,"Internet")))&gt;1,INDIRECT(ADDRESS(ROW() + $A$9-9 + (ROW()-11)*4,2,1,1,"Internet"))," "))</f>
        <v>Šebek</v>
      </c>
      <c r="K44" s="385" t="str">
        <f ca="1">IF(N(I44)&gt;0,VLOOKUP(I44,Hraci!$A$1:$I$1500,3,0)," ")</f>
        <v>Viktor</v>
      </c>
      <c r="L44" s="385" t="str">
        <f ca="1">IF(N(I44)&gt;0,VLOOKUP(I44,Hraci!$A$1:$I$1500,5,0),IF(TYPE(INDIRECT(ADDRESS(ROW() + $A$9-9 + (ROW()-11)*4,3,1,1,"Internet")))&gt;1,INDIRECT(ADDRESS(ROW() + $A$9-9 + (ROW()-11)*4,3,1,1,"Internet"))," "))</f>
        <v>1. KPK Vrchlabí</v>
      </c>
      <c r="M44" s="319">
        <f ca="1">IF(N(I44)=0,9999,VLOOKUP(I44,Hraci!$A$1:$I$1500,8,0))</f>
        <v>210</v>
      </c>
      <c r="N44" s="386">
        <f ca="1">IF(N(I44)=0,0,VLOOKUP(I44,Hraci!$A$1:$I$1500,9,0))</f>
        <v>14.047000000000001</v>
      </c>
      <c r="O44" s="383" t="str">
        <f t="shared" ca="1" si="11"/>
        <v/>
      </c>
      <c r="P44" s="384" t="str">
        <f ca="1">IF(N(O44)&gt;0,VLOOKUP(O44,Hraci!$A$1:$I$1500,2,0),IF(TYPE(INDIRECT(ADDRESS(ROW() + $A$9-8 + (ROW()-11)*4,2,1,1,"Internet")))&gt;1,INDIRECT(ADDRESS(ROW() + $A$9-8 + (ROW()-11)*4,2,1,1,"Internet"))," "))</f>
        <v xml:space="preserve"> </v>
      </c>
      <c r="Q44" s="385" t="str">
        <f ca="1">IF(N(O44)&gt;0,VLOOKUP(O44,Hraci!$A$1:$I$1500,3,0)," ")</f>
        <v xml:space="preserve"> </v>
      </c>
      <c r="R44" s="385" t="str">
        <f ca="1">IF(N(O44)&gt;0,VLOOKUP(O44,Hraci!$A$1:$I$1500,5,0),IF(TYPE(INDIRECT(ADDRESS(ROW() + $A$9-8 + (ROW()-11)*4,3,1,1,"Internet")))&gt;1,INDIRECT(ADDRESS(ROW() + $A$9-8 + (ROW()-11)*4,3,1,1,"Internet"))," "))</f>
        <v xml:space="preserve"> </v>
      </c>
      <c r="S44" s="319">
        <f ca="1">IF(N(O44)=0,9999,VLOOKUP(O44,Hraci!$A$1:$I$1500,8,0))</f>
        <v>9999</v>
      </c>
      <c r="T44" s="386">
        <f ca="1">IF(N(O44)=0,0,VLOOKUP(O44,Hraci!$A$1:$I$1500,9,0))</f>
        <v>0</v>
      </c>
      <c r="U44" s="383" t="str">
        <f t="shared" ca="1" si="12"/>
        <v/>
      </c>
      <c r="V44" s="384" t="str">
        <f ca="1">IF(N(U44)&gt;0,VLOOKUP(U44,Hraci!$A$1:$I$1500,2,0),IF(TYPE(INDIRECT(ADDRESS(ROW() + $A$9-7 + (ROW()-11)*4,2,1,1,"Internet")))&gt;1,INDIRECT(ADDRESS(ROW() + $A$9-7 + (ROW()-11)*4,2,1,1,"Internet"))," "))</f>
        <v xml:space="preserve"> </v>
      </c>
      <c r="W44" s="385" t="str">
        <f ca="1">IF(N(U44)&gt;0,VLOOKUP(U44,Hraci!$A$1:$I$1500,3,0)," ")</f>
        <v xml:space="preserve"> </v>
      </c>
      <c r="X44" s="385" t="str">
        <f ca="1">IF(N(U44)&gt;0,VLOOKUP(U44,Hraci!$A$1:$I$1500,5,0),IF(TYPE(INDIRECT(ADDRESS(ROW() + $A$9-7 + (ROW()-11)*4,3,1,1,"Internet")))&gt;1,INDIRECT(ADDRESS(ROW() + $A$9-7 + (ROW()-11)*4,3,1,1,"Internet"))," "))</f>
        <v xml:space="preserve"> </v>
      </c>
      <c r="Y44" s="319">
        <f ca="1">IF(N(U44)=0,9999,VLOOKUP(U44,Hraci!$A$1:$I$1500,8,0))</f>
        <v>9999</v>
      </c>
      <c r="Z44" s="386">
        <f ca="1">IF(N(U44)=0,0,VLOOKUP(U44,Hraci!$A$1:$I$1500,9,0))</f>
        <v>0</v>
      </c>
      <c r="AA44" s="383" t="str">
        <f t="shared" ca="1" si="13"/>
        <v/>
      </c>
      <c r="AB44" s="384" t="str">
        <f ca="1">IF(N(AA44)&gt;0,VLOOKUP(AA44,Hraci!$A$1:$I$1500,2,0)," ")</f>
        <v xml:space="preserve"> </v>
      </c>
      <c r="AC44" s="385" t="str">
        <f ca="1">IF(N(AA44)&gt;0,VLOOKUP(AA44,Hraci!$A$1:$I$1500,3,0)," ")</f>
        <v xml:space="preserve"> </v>
      </c>
      <c r="AD44" s="385" t="str">
        <f ca="1">IF(N(AA44)&gt;0,VLOOKUP(AA44,Hraci!$A$1:$I$1500,5,0)," ")</f>
        <v xml:space="preserve"> </v>
      </c>
      <c r="AE44" s="319">
        <f ca="1">IF(N(AA44)=0,9999,VLOOKUP(AA44,Hraci!$A$1:$I$1500,8,0))</f>
        <v>9999</v>
      </c>
      <c r="AF44" s="386">
        <f ca="1">IF(N(AA44)=0,0,VLOOKUP(AA44,Hraci!$A$1:$I$1500,9,0))</f>
        <v>0</v>
      </c>
      <c r="AG44" s="391"/>
      <c r="AH44" s="427">
        <f ca="1">IF(TYPE(VLOOKUP(H44,Centrum!$A$3:$E$130,5,0))&lt;4,VLOOKUP(H44,Centrum!$A$3:$E$130,5,0),0)</f>
        <v>16</v>
      </c>
      <c r="AI44" s="387">
        <f ca="1">IF(N($AH44)&gt;0,VLOOKUP($AH44,Body!$A$4:$F$259,5,0),"")</f>
        <v>76.656374999999997</v>
      </c>
      <c r="AJ44" s="388">
        <f ca="1">IF(N($AH44)&gt;0,VLOOKUP($AH44,Body!$A$4:$F$259,6,0),"")</f>
        <v>0</v>
      </c>
      <c r="AK44" s="387">
        <f ca="1">IF(N($AH44)&gt;0,VLOOKUP($AH44,Body!$A$4:$F$259,2,0),"")</f>
        <v>2</v>
      </c>
      <c r="AL44" s="389" t="str">
        <f t="shared" ca="1" si="19"/>
        <v>34 1. KPK Vrchlabí - Šebek Viktor</v>
      </c>
      <c r="AM44" s="390">
        <f t="shared" ca="1" si="15"/>
        <v>14.047000000000001</v>
      </c>
      <c r="AN44" s="319">
        <f ca="1">IF(OR(TYPE(I44)&gt;1,TYPE(MATCH(I44,I45:I$139,0))&gt;1),0,MATCH(I44,I45:I$139,0))+IF(OR(TYPE(I44)&gt;1,TYPE(MATCH(I44,O$11:O$139,0))&gt;1),0,MATCH(I44,O$11:O$139,0))+IF(OR(TYPE(I44)&gt;1,TYPE(MATCH(I44,U$11:U$139,0))&gt;1),0,MATCH(I44,U$11:U$139,0))+IF(OR(TYPE(I44)&gt;1,TYPE(MATCH(I44,AA$11:AA$139,0))&gt;1),0,MATCH(I44,AA$11:AA$139,0))</f>
        <v>0</v>
      </c>
      <c r="AO44" s="319">
        <f ca="1">IF(OR(TYPE(O44)&gt;1,TYPE(MATCH(O44,I$11:I$139,0))&gt;1),0,MATCH(O44,I$11:I$139,0))+IF(OR(TYPE(O44)&gt;1,TYPE(MATCH(O44,O45:O$139,0))&gt;1),0,MATCH(O44,O45:O$139,0))+IF(OR(TYPE(O44)&gt;1,TYPE(MATCH(O44,U$11:U$139,0))&gt;1),0,MATCH(O44,U$11:U$139,0))+IF(OR(TYPE(O44)&gt;1,TYPE(MATCH(O44,AA$11:AA$139,0))&gt;1),0,MATCH(O44,AA$11:AA$139,0))</f>
        <v>0</v>
      </c>
      <c r="AP44" s="319">
        <f ca="1">IF(OR(TYPE(U44)&gt;1,TYPE(MATCH(U44,I$11:I$139,0))&gt;1),0,MATCH(U44,I$11:I$139,0))+IF(OR(TYPE(U44)&gt;1,TYPE(MATCH(U44,O$11:O$139,0))&gt;1),0,MATCH(U44,O$11:O$139,0))+IF(OR(TYPE(U44)&gt;1,TYPE(MATCH(U44,U45:U$139,0))&gt;1),0,MATCH(U44,U45:U$139,0))+IF(OR(TYPE(U44)&gt;1,TYPE(MATCH(U44,AA$11:AA$139,0))&gt;1),0,MATCH(U44,AA$11:AA$139,0))</f>
        <v>0</v>
      </c>
      <c r="AQ44" s="319">
        <f ca="1">IF(OR(TYPE(AA44)&gt;1,TYPE(MATCH(AA44,I$11:I$139,0))&gt;1),0,MATCH(AA44,I$11:I$139,0))+IF(OR(TYPE(AA44)&gt;1,TYPE(MATCH(AA44,O$11:O$139,0))&gt;1),0,MATCH(AA44,O$11:O$139,0))+IF(OR(TYPE(AA44)&gt;1,TYPE(MATCH(AA44,U$11:U$139,0))&gt;1),0,MATCH(U44,U$11:U$139,0))+IF(OR(TYPE(AA44)&gt;1,TYPE(MATCH(AA44,AA45:AA$139,0))&gt;1),0,MATCH(AA44,AA45:AA$139,0))</f>
        <v>0</v>
      </c>
      <c r="AR44" s="319">
        <f t="shared" ca="1" si="18"/>
        <v>0</v>
      </c>
      <c r="AT44" s="318">
        <f t="shared" ca="1" si="16"/>
        <v>0</v>
      </c>
      <c r="AU44" s="318">
        <f ca="1">IF(AND(N(I44)&gt;0,TYPE(VLOOKUP(I44,Hraci!$A$5:$A$800,1,0))&gt;3),1,0) + IF(AND(N(O44)&gt;0,TYPE(VLOOKUP(O44,Hraci!$A$5:$A$800,1,0))&gt;3),1,0) + IF(AND(N(U44)&gt;0,TYPE(VLOOKUP(U44,Hraci!$A$5:$A$800,1,0))&gt;3),1,0)</f>
        <v>0</v>
      </c>
      <c r="BF44" s="319">
        <f t="shared" si="17"/>
        <v>34</v>
      </c>
    </row>
    <row r="45" spans="1:58" ht="12.9" x14ac:dyDescent="0.45">
      <c r="A45" s="302">
        <f t="shared" ca="1" si="2"/>
        <v>1</v>
      </c>
      <c r="B45" s="302">
        <f t="shared" ca="1" si="3"/>
        <v>1</v>
      </c>
      <c r="C45" s="302">
        <f t="shared" ca="1" si="4"/>
        <v>13.063000000000001</v>
      </c>
      <c r="D45" s="302">
        <f t="shared" ca="1" si="5"/>
        <v>20193</v>
      </c>
      <c r="E45" s="302">
        <f t="shared" ca="1" si="6"/>
        <v>195</v>
      </c>
      <c r="F45" s="343" t="str">
        <f t="shared" ca="1" si="7"/>
        <v>01000000000000000000754505</v>
      </c>
      <c r="G45" s="381" t="b">
        <f t="shared" ca="1" si="8"/>
        <v>0</v>
      </c>
      <c r="H45" s="382">
        <f t="shared" si="9"/>
        <v>35</v>
      </c>
      <c r="I45" s="383">
        <f t="shared" ca="1" si="10"/>
        <v>20533</v>
      </c>
      <c r="J45" s="384" t="str">
        <f ca="1">IF(N(I45)&gt;0,VLOOKUP(I45,Hraci!$A$1:$I$1500,2,0),IF(TYPE(INDIRECT(ADDRESS(ROW() + $A$9-9 + (ROW()-11)*4,2,1,1,"Internet")))&gt;1,INDIRECT(ADDRESS(ROW() + $A$9-9 + (ROW()-11)*4,2,1,1,"Internet"))," "))</f>
        <v>Josífková</v>
      </c>
      <c r="K45" s="385" t="str">
        <f ca="1">IF(N(I45)&gt;0,VLOOKUP(I45,Hraci!$A$1:$I$1500,3,0)," ")</f>
        <v>Eva</v>
      </c>
      <c r="L45" s="385" t="str">
        <f ca="1">IF(N(I45)&gt;0,VLOOKUP(I45,Hraci!$A$1:$I$1500,5,0),IF(TYPE(INDIRECT(ADDRESS(ROW() + $A$9-9 + (ROW()-11)*4,3,1,1,"Internet")))&gt;1,INDIRECT(ADDRESS(ROW() + $A$9-9 + (ROW()-11)*4,3,1,1,"Internet"))," "))</f>
        <v>SK Pétanque Řepy</v>
      </c>
      <c r="M45" s="319">
        <f ca="1">IF(N(I45)=0,9999,VLOOKUP(I45,Hraci!$A$1:$I$1500,8,0))</f>
        <v>195</v>
      </c>
      <c r="N45" s="386">
        <f ca="1">IF(N(I45)=0,0,VLOOKUP(I45,Hraci!$A$1:$I$1500,9,0))</f>
        <v>13.063000000000001</v>
      </c>
      <c r="O45" s="383" t="str">
        <f t="shared" ca="1" si="11"/>
        <v/>
      </c>
      <c r="P45" s="384" t="str">
        <f ca="1">IF(N(O45)&gt;0,VLOOKUP(O45,Hraci!$A$1:$I$1500,2,0),IF(TYPE(INDIRECT(ADDRESS(ROW() + $A$9-8 + (ROW()-11)*4,2,1,1,"Internet")))&gt;1,INDIRECT(ADDRESS(ROW() + $A$9-8 + (ROW()-11)*4,2,1,1,"Internet"))," "))</f>
        <v xml:space="preserve"> </v>
      </c>
      <c r="Q45" s="385" t="str">
        <f ca="1">IF(N(O45)&gt;0,VLOOKUP(O45,Hraci!$A$1:$I$1500,3,0)," ")</f>
        <v xml:space="preserve"> </v>
      </c>
      <c r="R45" s="385" t="str">
        <f ca="1">IF(N(O45)&gt;0,VLOOKUP(O45,Hraci!$A$1:$I$1500,5,0),IF(TYPE(INDIRECT(ADDRESS(ROW() + $A$9-8 + (ROW()-11)*4,3,1,1,"Internet")))&gt;1,INDIRECT(ADDRESS(ROW() + $A$9-8 + (ROW()-11)*4,3,1,1,"Internet"))," "))</f>
        <v xml:space="preserve"> </v>
      </c>
      <c r="S45" s="319">
        <f ca="1">IF(N(O45)=0,9999,VLOOKUP(O45,Hraci!$A$1:$I$1500,8,0))</f>
        <v>9999</v>
      </c>
      <c r="T45" s="386">
        <f ca="1">IF(N(O45)=0,0,VLOOKUP(O45,Hraci!$A$1:$I$1500,9,0))</f>
        <v>0</v>
      </c>
      <c r="U45" s="383" t="str">
        <f t="shared" ca="1" si="12"/>
        <v/>
      </c>
      <c r="V45" s="384" t="str">
        <f ca="1">IF(N(U45)&gt;0,VLOOKUP(U45,Hraci!$A$1:$I$1500,2,0),IF(TYPE(INDIRECT(ADDRESS(ROW() + $A$9-7 + (ROW()-11)*4,2,1,1,"Internet")))&gt;1,INDIRECT(ADDRESS(ROW() + $A$9-7 + (ROW()-11)*4,2,1,1,"Internet"))," "))</f>
        <v xml:space="preserve"> </v>
      </c>
      <c r="W45" s="385" t="str">
        <f ca="1">IF(N(U45)&gt;0,VLOOKUP(U45,Hraci!$A$1:$I$1500,3,0)," ")</f>
        <v xml:space="preserve"> </v>
      </c>
      <c r="X45" s="385" t="str">
        <f ca="1">IF(N(U45)&gt;0,VLOOKUP(U45,Hraci!$A$1:$I$1500,5,0),IF(TYPE(INDIRECT(ADDRESS(ROW() + $A$9-7 + (ROW()-11)*4,3,1,1,"Internet")))&gt;1,INDIRECT(ADDRESS(ROW() + $A$9-7 + (ROW()-11)*4,3,1,1,"Internet"))," "))</f>
        <v xml:space="preserve"> </v>
      </c>
      <c r="Y45" s="319">
        <f ca="1">IF(N(U45)=0,9999,VLOOKUP(U45,Hraci!$A$1:$I$1500,8,0))</f>
        <v>9999</v>
      </c>
      <c r="Z45" s="386">
        <f ca="1">IF(N(U45)=0,0,VLOOKUP(U45,Hraci!$A$1:$I$1500,9,0))</f>
        <v>0</v>
      </c>
      <c r="AA45" s="383" t="str">
        <f t="shared" ca="1" si="13"/>
        <v/>
      </c>
      <c r="AB45" s="384" t="str">
        <f ca="1">IF(N(AA45)&gt;0,VLOOKUP(AA45,Hraci!$A$1:$I$1500,2,0)," ")</f>
        <v xml:space="preserve"> </v>
      </c>
      <c r="AC45" s="385" t="str">
        <f ca="1">IF(N(AA45)&gt;0,VLOOKUP(AA45,Hraci!$A$1:$I$1500,3,0)," ")</f>
        <v xml:space="preserve"> </v>
      </c>
      <c r="AD45" s="385" t="str">
        <f ca="1">IF(N(AA45)&gt;0,VLOOKUP(AA45,Hraci!$A$1:$I$1500,5,0)," ")</f>
        <v xml:space="preserve"> </v>
      </c>
      <c r="AE45" s="319">
        <f ca="1">IF(N(AA45)=0,9999,VLOOKUP(AA45,Hraci!$A$1:$I$1500,8,0))</f>
        <v>9999</v>
      </c>
      <c r="AF45" s="386">
        <f ca="1">IF(N(AA45)=0,0,VLOOKUP(AA45,Hraci!$A$1:$I$1500,9,0))</f>
        <v>0</v>
      </c>
      <c r="AG45" s="391"/>
      <c r="AH45" s="427">
        <f ca="1">IF(TYPE(VLOOKUP(H45,Centrum!$A$3:$E$130,5,0))&lt;4,VLOOKUP(H45,Centrum!$A$3:$E$130,5,0),0)</f>
        <v>45</v>
      </c>
      <c r="AI45" s="387">
        <f ca="1">IF(N($AH45)&gt;0,VLOOKUP($AH45,Body!$A$4:$F$259,5,0),"")</f>
        <v>22.757361328125</v>
      </c>
      <c r="AJ45" s="388">
        <f ca="1">IF(N($AH45)&gt;0,VLOOKUP($AH45,Body!$A$4:$F$259,6,0),"")</f>
        <v>0</v>
      </c>
      <c r="AK45" s="387">
        <f ca="1">IF(N($AH45)&gt;0,VLOOKUP($AH45,Body!$A$4:$F$259,2,0),"")</f>
        <v>0.59375</v>
      </c>
      <c r="AL45" s="389" t="str">
        <f t="shared" ca="1" si="19"/>
        <v>35 SK Pétanque Řepy - Josífková Eva</v>
      </c>
      <c r="AM45" s="390">
        <f t="shared" ca="1" si="15"/>
        <v>13.063000000000001</v>
      </c>
      <c r="AN45" s="319">
        <f ca="1">IF(OR(TYPE(I45)&gt;1,TYPE(MATCH(I45,I46:I$139,0))&gt;1),0,MATCH(I45,I46:I$139,0))+IF(OR(TYPE(I45)&gt;1,TYPE(MATCH(I45,O$11:O$139,0))&gt;1),0,MATCH(I45,O$11:O$139,0))+IF(OR(TYPE(I45)&gt;1,TYPE(MATCH(I45,U$11:U$139,0))&gt;1),0,MATCH(I45,U$11:U$139,0))+IF(OR(TYPE(I45)&gt;1,TYPE(MATCH(I45,AA$11:AA$139,0))&gt;1),0,MATCH(I45,AA$11:AA$139,0))</f>
        <v>0</v>
      </c>
      <c r="AO45" s="319">
        <f ca="1">IF(OR(TYPE(O45)&gt;1,TYPE(MATCH(O45,I$11:I$139,0))&gt;1),0,MATCH(O45,I$11:I$139,0))+IF(OR(TYPE(O45)&gt;1,TYPE(MATCH(O45,O46:O$139,0))&gt;1),0,MATCH(O45,O46:O$139,0))+IF(OR(TYPE(O45)&gt;1,TYPE(MATCH(O45,U$11:U$139,0))&gt;1),0,MATCH(O45,U$11:U$139,0))+IF(OR(TYPE(O45)&gt;1,TYPE(MATCH(O45,AA$11:AA$139,0))&gt;1),0,MATCH(O45,AA$11:AA$139,0))</f>
        <v>0</v>
      </c>
      <c r="AP45" s="319">
        <f ca="1">IF(OR(TYPE(U45)&gt;1,TYPE(MATCH(U45,I$11:I$139,0))&gt;1),0,MATCH(U45,I$11:I$139,0))+IF(OR(TYPE(U45)&gt;1,TYPE(MATCH(U45,O$11:O$139,0))&gt;1),0,MATCH(U45,O$11:O$139,0))+IF(OR(TYPE(U45)&gt;1,TYPE(MATCH(U45,U46:U$139,0))&gt;1),0,MATCH(U45,U46:U$139,0))+IF(OR(TYPE(U45)&gt;1,TYPE(MATCH(U45,AA$11:AA$139,0))&gt;1),0,MATCH(U45,AA$11:AA$139,0))</f>
        <v>0</v>
      </c>
      <c r="AQ45" s="319">
        <f ca="1">IF(OR(TYPE(AA45)&gt;1,TYPE(MATCH(AA45,I$11:I$139,0))&gt;1),0,MATCH(AA45,I$11:I$139,0))+IF(OR(TYPE(AA45)&gt;1,TYPE(MATCH(AA45,O$11:O$139,0))&gt;1),0,MATCH(AA45,O$11:O$139,0))+IF(OR(TYPE(AA45)&gt;1,TYPE(MATCH(AA45,U$11:U$139,0))&gt;1),0,MATCH(U45,U$11:U$139,0))+IF(OR(TYPE(AA45)&gt;1,TYPE(MATCH(AA45,AA46:AA$139,0))&gt;1),0,MATCH(AA45,AA46:AA$139,0))</f>
        <v>0</v>
      </c>
      <c r="AR45" s="319">
        <f t="shared" ca="1" si="18"/>
        <v>0</v>
      </c>
      <c r="AT45" s="318">
        <f t="shared" ca="1" si="16"/>
        <v>0</v>
      </c>
      <c r="AU45" s="318">
        <f ca="1">IF(AND(N(I45)&gt;0,TYPE(VLOOKUP(I45,Hraci!$A$5:$A$800,1,0))&gt;3),1,0) + IF(AND(N(O45)&gt;0,TYPE(VLOOKUP(O45,Hraci!$A$5:$A$800,1,0))&gt;3),1,0) + IF(AND(N(U45)&gt;0,TYPE(VLOOKUP(U45,Hraci!$A$5:$A$800,1,0))&gt;3),1,0)</f>
        <v>0</v>
      </c>
      <c r="BF45" s="319">
        <f t="shared" si="17"/>
        <v>35</v>
      </c>
    </row>
    <row r="46" spans="1:58" ht="12.9" x14ac:dyDescent="0.45">
      <c r="A46" s="302">
        <f t="shared" ca="1" si="2"/>
        <v>1</v>
      </c>
      <c r="B46" s="302">
        <f t="shared" ca="1" si="3"/>
        <v>1</v>
      </c>
      <c r="C46" s="302">
        <f t="shared" ca="1" si="4"/>
        <v>12.250999999999999</v>
      </c>
      <c r="D46" s="302">
        <f t="shared" ca="1" si="5"/>
        <v>20243</v>
      </c>
      <c r="E46" s="302">
        <f t="shared" ca="1" si="6"/>
        <v>245</v>
      </c>
      <c r="F46" s="343" t="str">
        <f t="shared" ca="1" si="7"/>
        <v>01000000000000000000583436</v>
      </c>
      <c r="G46" s="381" t="b">
        <f t="shared" ca="1" si="8"/>
        <v>0</v>
      </c>
      <c r="H46" s="382">
        <f t="shared" si="9"/>
        <v>36</v>
      </c>
      <c r="I46" s="383">
        <f t="shared" ca="1" si="10"/>
        <v>23021</v>
      </c>
      <c r="J46" s="384" t="str">
        <f ca="1">IF(N(I46)&gt;0,VLOOKUP(I46,Hraci!$A$1:$I$1500,2,0),IF(TYPE(INDIRECT(ADDRESS(ROW() + $A$9-9 + (ROW()-11)*4,2,1,1,"Internet")))&gt;1,INDIRECT(ADDRESS(ROW() + $A$9-9 + (ROW()-11)*4,2,1,1,"Internet"))," "))</f>
        <v>Ondryáš</v>
      </c>
      <c r="K46" s="385" t="str">
        <f ca="1">IF(N(I46)&gt;0,VLOOKUP(I46,Hraci!$A$1:$I$1500,3,0)," ")</f>
        <v>Jiří</v>
      </c>
      <c r="L46" s="385" t="str">
        <f ca="1">IF(N(I46)&gt;0,VLOOKUP(I46,Hraci!$A$1:$I$1500,5,0),IF(TYPE(INDIRECT(ADDRESS(ROW() + $A$9-9 + (ROW()-11)*4,3,1,1,"Internet")))&gt;1,INDIRECT(ADDRESS(ROW() + $A$9-9 + (ROW()-11)*4,3,1,1,"Internet"))," "))</f>
        <v>FRAPECO</v>
      </c>
      <c r="M46" s="319">
        <f ca="1">IF(N(I46)=0,9999,VLOOKUP(I46,Hraci!$A$1:$I$1500,8,0))</f>
        <v>245</v>
      </c>
      <c r="N46" s="386">
        <f ca="1">IF(N(I46)=0,0,VLOOKUP(I46,Hraci!$A$1:$I$1500,9,0))</f>
        <v>12.250999999999999</v>
      </c>
      <c r="O46" s="383" t="str">
        <f t="shared" ca="1" si="11"/>
        <v/>
      </c>
      <c r="P46" s="384" t="str">
        <f ca="1">IF(N(O46)&gt;0,VLOOKUP(O46,Hraci!$A$1:$I$1500,2,0),IF(TYPE(INDIRECT(ADDRESS(ROW() + $A$9-8 + (ROW()-11)*4,2,1,1,"Internet")))&gt;1,INDIRECT(ADDRESS(ROW() + $A$9-8 + (ROW()-11)*4,2,1,1,"Internet"))," "))</f>
        <v xml:space="preserve"> </v>
      </c>
      <c r="Q46" s="385" t="str">
        <f ca="1">IF(N(O46)&gt;0,VLOOKUP(O46,Hraci!$A$1:$I$1500,3,0)," ")</f>
        <v xml:space="preserve"> </v>
      </c>
      <c r="R46" s="385" t="str">
        <f ca="1">IF(N(O46)&gt;0,VLOOKUP(O46,Hraci!$A$1:$I$1500,5,0),IF(TYPE(INDIRECT(ADDRESS(ROW() + $A$9-8 + (ROW()-11)*4,3,1,1,"Internet")))&gt;1,INDIRECT(ADDRESS(ROW() + $A$9-8 + (ROW()-11)*4,3,1,1,"Internet"))," "))</f>
        <v xml:space="preserve"> </v>
      </c>
      <c r="S46" s="319">
        <f ca="1">IF(N(O46)=0,9999,VLOOKUP(O46,Hraci!$A$1:$I$1500,8,0))</f>
        <v>9999</v>
      </c>
      <c r="T46" s="386">
        <f ca="1">IF(N(O46)=0,0,VLOOKUP(O46,Hraci!$A$1:$I$1500,9,0))</f>
        <v>0</v>
      </c>
      <c r="U46" s="383" t="str">
        <f t="shared" ca="1" si="12"/>
        <v/>
      </c>
      <c r="V46" s="384" t="str">
        <f ca="1">IF(N(U46)&gt;0,VLOOKUP(U46,Hraci!$A$1:$I$1500,2,0),IF(TYPE(INDIRECT(ADDRESS(ROW() + $A$9-7 + (ROW()-11)*4,2,1,1,"Internet")))&gt;1,INDIRECT(ADDRESS(ROW() + $A$9-7 + (ROW()-11)*4,2,1,1,"Internet"))," "))</f>
        <v xml:space="preserve"> </v>
      </c>
      <c r="W46" s="385" t="str">
        <f ca="1">IF(N(U46)&gt;0,VLOOKUP(U46,Hraci!$A$1:$I$1500,3,0)," ")</f>
        <v xml:space="preserve"> </v>
      </c>
      <c r="X46" s="385" t="str">
        <f ca="1">IF(N(U46)&gt;0,VLOOKUP(U46,Hraci!$A$1:$I$1500,5,0),IF(TYPE(INDIRECT(ADDRESS(ROW() + $A$9-7 + (ROW()-11)*4,3,1,1,"Internet")))&gt;1,INDIRECT(ADDRESS(ROW() + $A$9-7 + (ROW()-11)*4,3,1,1,"Internet"))," "))</f>
        <v xml:space="preserve"> </v>
      </c>
      <c r="Y46" s="319">
        <f ca="1">IF(N(U46)=0,9999,VLOOKUP(U46,Hraci!$A$1:$I$1500,8,0))</f>
        <v>9999</v>
      </c>
      <c r="Z46" s="386">
        <f ca="1">IF(N(U46)=0,0,VLOOKUP(U46,Hraci!$A$1:$I$1500,9,0))</f>
        <v>0</v>
      </c>
      <c r="AA46" s="383" t="str">
        <f t="shared" ca="1" si="13"/>
        <v/>
      </c>
      <c r="AB46" s="384" t="str">
        <f ca="1">IF(N(AA46)&gt;0,VLOOKUP(AA46,Hraci!$A$1:$I$1500,2,0)," ")</f>
        <v xml:space="preserve"> </v>
      </c>
      <c r="AC46" s="385" t="str">
        <f ca="1">IF(N(AA46)&gt;0,VLOOKUP(AA46,Hraci!$A$1:$I$1500,3,0)," ")</f>
        <v xml:space="preserve"> </v>
      </c>
      <c r="AD46" s="385" t="str">
        <f ca="1">IF(N(AA46)&gt;0,VLOOKUP(AA46,Hraci!$A$1:$I$1500,5,0)," ")</f>
        <v xml:space="preserve"> </v>
      </c>
      <c r="AE46" s="319">
        <f ca="1">IF(N(AA46)=0,9999,VLOOKUP(AA46,Hraci!$A$1:$I$1500,8,0))</f>
        <v>9999</v>
      </c>
      <c r="AF46" s="386">
        <f ca="1">IF(N(AA46)=0,0,VLOOKUP(AA46,Hraci!$A$1:$I$1500,9,0))</f>
        <v>0</v>
      </c>
      <c r="AG46" s="391"/>
      <c r="AH46" s="427">
        <f ca="1">IF(TYPE(VLOOKUP(H46,Centrum!$A$3:$E$130,5,0))&lt;4,VLOOKUP(H46,Centrum!$A$3:$E$130,5,0),0)</f>
        <v>47</v>
      </c>
      <c r="AI46" s="387">
        <f ca="1">IF(N($AH46)&gt;0,VLOOKUP($AH46,Body!$A$4:$F$259,5,0),"")</f>
        <v>20.361849609375</v>
      </c>
      <c r="AJ46" s="388">
        <f ca="1">IF(N($AH46)&gt;0,VLOOKUP($AH46,Body!$A$4:$F$259,6,0),"")</f>
        <v>0</v>
      </c>
      <c r="AK46" s="387">
        <f ca="1">IF(N($AH46)&gt;0,VLOOKUP($AH46,Body!$A$4:$F$259,2,0),"")</f>
        <v>0.53125</v>
      </c>
      <c r="AL46" s="389" t="str">
        <f t="shared" ca="1" si="19"/>
        <v>36 FRAPECO - Ondryáš Jiří</v>
      </c>
      <c r="AM46" s="390">
        <f t="shared" ca="1" si="15"/>
        <v>12.250999999999999</v>
      </c>
      <c r="AN46" s="319">
        <f ca="1">IF(OR(TYPE(I46)&gt;1,TYPE(MATCH(I46,I47:I$139,0))&gt;1),0,MATCH(I46,I47:I$139,0))+IF(OR(TYPE(I46)&gt;1,TYPE(MATCH(I46,O$11:O$139,0))&gt;1),0,MATCH(I46,O$11:O$139,0))+IF(OR(TYPE(I46)&gt;1,TYPE(MATCH(I46,U$11:U$139,0))&gt;1),0,MATCH(I46,U$11:U$139,0))+IF(OR(TYPE(I46)&gt;1,TYPE(MATCH(I46,AA$11:AA$139,0))&gt;1),0,MATCH(I46,AA$11:AA$139,0))</f>
        <v>0</v>
      </c>
      <c r="AO46" s="319">
        <f ca="1">IF(OR(TYPE(O46)&gt;1,TYPE(MATCH(O46,I$11:I$139,0))&gt;1),0,MATCH(O46,I$11:I$139,0))+IF(OR(TYPE(O46)&gt;1,TYPE(MATCH(O46,O47:O$139,0))&gt;1),0,MATCH(O46,O47:O$139,0))+IF(OR(TYPE(O46)&gt;1,TYPE(MATCH(O46,U$11:U$139,0))&gt;1),0,MATCH(O46,U$11:U$139,0))+IF(OR(TYPE(O46)&gt;1,TYPE(MATCH(O46,AA$11:AA$139,0))&gt;1),0,MATCH(O46,AA$11:AA$139,0))</f>
        <v>0</v>
      </c>
      <c r="AP46" s="319">
        <f ca="1">IF(OR(TYPE(U46)&gt;1,TYPE(MATCH(U46,I$11:I$139,0))&gt;1),0,MATCH(U46,I$11:I$139,0))+IF(OR(TYPE(U46)&gt;1,TYPE(MATCH(U46,O$11:O$139,0))&gt;1),0,MATCH(U46,O$11:O$139,0))+IF(OR(TYPE(U46)&gt;1,TYPE(MATCH(U46,U47:U$139,0))&gt;1),0,MATCH(U46,U47:U$139,0))+IF(OR(TYPE(U46)&gt;1,TYPE(MATCH(U46,AA$11:AA$139,0))&gt;1),0,MATCH(U46,AA$11:AA$139,0))</f>
        <v>0</v>
      </c>
      <c r="AQ46" s="319">
        <f ca="1">IF(OR(TYPE(AA46)&gt;1,TYPE(MATCH(AA46,I$11:I$139,0))&gt;1),0,MATCH(AA46,I$11:I$139,0))+IF(OR(TYPE(AA46)&gt;1,TYPE(MATCH(AA46,O$11:O$139,0))&gt;1),0,MATCH(AA46,O$11:O$139,0))+IF(OR(TYPE(AA46)&gt;1,TYPE(MATCH(AA46,U$11:U$139,0))&gt;1),0,MATCH(U46,U$11:U$139,0))+IF(OR(TYPE(AA46)&gt;1,TYPE(MATCH(AA46,AA47:AA$139,0))&gt;1),0,MATCH(AA46,AA47:AA$139,0))</f>
        <v>0</v>
      </c>
      <c r="AR46" s="319">
        <f t="shared" ca="1" si="18"/>
        <v>0</v>
      </c>
      <c r="AT46" s="318">
        <f t="shared" ca="1" si="16"/>
        <v>0</v>
      </c>
      <c r="AU46" s="318">
        <f ca="1">IF(AND(N(I46)&gt;0,TYPE(VLOOKUP(I46,Hraci!$A$5:$A$800,1,0))&gt;3),1,0) + IF(AND(N(O46)&gt;0,TYPE(VLOOKUP(O46,Hraci!$A$5:$A$800,1,0))&gt;3),1,0) + IF(AND(N(U46)&gt;0,TYPE(VLOOKUP(U46,Hraci!$A$5:$A$800,1,0))&gt;3),1,0)</f>
        <v>0</v>
      </c>
      <c r="BF46" s="319">
        <f t="shared" si="17"/>
        <v>36</v>
      </c>
    </row>
    <row r="47" spans="1:58" ht="12.9" x14ac:dyDescent="0.45">
      <c r="A47" s="302">
        <f t="shared" ca="1" si="2"/>
        <v>1</v>
      </c>
      <c r="B47" s="302">
        <f t="shared" ca="1" si="3"/>
        <v>1</v>
      </c>
      <c r="C47" s="302">
        <f t="shared" ca="1" si="4"/>
        <v>12.032</v>
      </c>
      <c r="D47" s="302">
        <f t="shared" ca="1" si="5"/>
        <v>20168</v>
      </c>
      <c r="E47" s="302">
        <f t="shared" ca="1" si="6"/>
        <v>170</v>
      </c>
      <c r="F47" s="343" t="str">
        <f t="shared" ca="1" si="7"/>
        <v>01000000000000000000329484</v>
      </c>
      <c r="G47" s="381" t="b">
        <f t="shared" ca="1" si="8"/>
        <v>0</v>
      </c>
      <c r="H47" s="382">
        <f t="shared" si="9"/>
        <v>37</v>
      </c>
      <c r="I47" s="383">
        <f t="shared" ca="1" si="10"/>
        <v>21032</v>
      </c>
      <c r="J47" s="384" t="str">
        <f ca="1">IF(N(I47)&gt;0,VLOOKUP(I47,Hraci!$A$1:$I$1500,2,0),IF(TYPE(INDIRECT(ADDRESS(ROW() + $A$9-9 + (ROW()-11)*4,2,1,1,"Internet")))&gt;1,INDIRECT(ADDRESS(ROW() + $A$9-9 + (ROW()-11)*4,2,1,1,"Internet"))," "))</f>
        <v>Konopová</v>
      </c>
      <c r="K47" s="385" t="str">
        <f ca="1">IF(N(I47)&gt;0,VLOOKUP(I47,Hraci!$A$1:$I$1500,3,0)," ")</f>
        <v>Marta</v>
      </c>
      <c r="L47" s="385" t="str">
        <f ca="1">IF(N(I47)&gt;0,VLOOKUP(I47,Hraci!$A$1:$I$1500,5,0),IF(TYPE(INDIRECT(ADDRESS(ROW() + $A$9-9 + (ROW()-11)*4,3,1,1,"Internet")))&gt;1,INDIRECT(ADDRESS(ROW() + $A$9-9 + (ROW()-11)*4,3,1,1,"Internet"))," "))</f>
        <v>SK Pétanque Řepy</v>
      </c>
      <c r="M47" s="319">
        <f ca="1">IF(N(I47)=0,9999,VLOOKUP(I47,Hraci!$A$1:$I$1500,8,0))</f>
        <v>170</v>
      </c>
      <c r="N47" s="386">
        <f ca="1">IF(N(I47)=0,0,VLOOKUP(I47,Hraci!$A$1:$I$1500,9,0))</f>
        <v>12.032</v>
      </c>
      <c r="O47" s="383" t="str">
        <f t="shared" ca="1" si="11"/>
        <v/>
      </c>
      <c r="P47" s="384" t="str">
        <f ca="1">IF(N(O47)&gt;0,VLOOKUP(O47,Hraci!$A$1:$I$1500,2,0),IF(TYPE(INDIRECT(ADDRESS(ROW() + $A$9-8 + (ROW()-11)*4,2,1,1,"Internet")))&gt;1,INDIRECT(ADDRESS(ROW() + $A$9-8 + (ROW()-11)*4,2,1,1,"Internet"))," "))</f>
        <v xml:space="preserve"> </v>
      </c>
      <c r="Q47" s="385" t="str">
        <f ca="1">IF(N(O47)&gt;0,VLOOKUP(O47,Hraci!$A$1:$I$1500,3,0)," ")</f>
        <v xml:space="preserve"> </v>
      </c>
      <c r="R47" s="385" t="str">
        <f ca="1">IF(N(O47)&gt;0,VLOOKUP(O47,Hraci!$A$1:$I$1500,5,0),IF(TYPE(INDIRECT(ADDRESS(ROW() + $A$9-8 + (ROW()-11)*4,3,1,1,"Internet")))&gt;1,INDIRECT(ADDRESS(ROW() + $A$9-8 + (ROW()-11)*4,3,1,1,"Internet"))," "))</f>
        <v xml:space="preserve"> </v>
      </c>
      <c r="S47" s="319">
        <f ca="1">IF(N(O47)=0,9999,VLOOKUP(O47,Hraci!$A$1:$I$1500,8,0))</f>
        <v>9999</v>
      </c>
      <c r="T47" s="386">
        <f ca="1">IF(N(O47)=0,0,VLOOKUP(O47,Hraci!$A$1:$I$1500,9,0))</f>
        <v>0</v>
      </c>
      <c r="U47" s="383" t="str">
        <f t="shared" ca="1" si="12"/>
        <v/>
      </c>
      <c r="V47" s="384" t="str">
        <f ca="1">IF(N(U47)&gt;0,VLOOKUP(U47,Hraci!$A$1:$I$1500,2,0),IF(TYPE(INDIRECT(ADDRESS(ROW() + $A$9-7 + (ROW()-11)*4,2,1,1,"Internet")))&gt;1,INDIRECT(ADDRESS(ROW() + $A$9-7 + (ROW()-11)*4,2,1,1,"Internet"))," "))</f>
        <v xml:space="preserve"> </v>
      </c>
      <c r="W47" s="385" t="str">
        <f ca="1">IF(N(U47)&gt;0,VLOOKUP(U47,Hraci!$A$1:$I$1500,3,0)," ")</f>
        <v xml:space="preserve"> </v>
      </c>
      <c r="X47" s="385" t="str">
        <f ca="1">IF(N(U47)&gt;0,VLOOKUP(U47,Hraci!$A$1:$I$1500,5,0),IF(TYPE(INDIRECT(ADDRESS(ROW() + $A$9-7 + (ROW()-11)*4,3,1,1,"Internet")))&gt;1,INDIRECT(ADDRESS(ROW() + $A$9-7 + (ROW()-11)*4,3,1,1,"Internet"))," "))</f>
        <v xml:space="preserve"> </v>
      </c>
      <c r="Y47" s="319">
        <f ca="1">IF(N(U47)=0,9999,VLOOKUP(U47,Hraci!$A$1:$I$1500,8,0))</f>
        <v>9999</v>
      </c>
      <c r="Z47" s="386">
        <f ca="1">IF(N(U47)=0,0,VLOOKUP(U47,Hraci!$A$1:$I$1500,9,0))</f>
        <v>0</v>
      </c>
      <c r="AA47" s="383" t="str">
        <f t="shared" ca="1" si="13"/>
        <v/>
      </c>
      <c r="AB47" s="384" t="str">
        <f ca="1">IF(N(AA47)&gt;0,VLOOKUP(AA47,Hraci!$A$1:$I$1500,2,0)," ")</f>
        <v xml:space="preserve"> </v>
      </c>
      <c r="AC47" s="385" t="str">
        <f ca="1">IF(N(AA47)&gt;0,VLOOKUP(AA47,Hraci!$A$1:$I$1500,3,0)," ")</f>
        <v xml:space="preserve"> </v>
      </c>
      <c r="AD47" s="385" t="str">
        <f ca="1">IF(N(AA47)&gt;0,VLOOKUP(AA47,Hraci!$A$1:$I$1500,5,0)," ")</f>
        <v xml:space="preserve"> </v>
      </c>
      <c r="AE47" s="319">
        <f ca="1">IF(N(AA47)=0,9999,VLOOKUP(AA47,Hraci!$A$1:$I$1500,8,0))</f>
        <v>9999</v>
      </c>
      <c r="AF47" s="386">
        <f ca="1">IF(N(AA47)=0,0,VLOOKUP(AA47,Hraci!$A$1:$I$1500,9,0))</f>
        <v>0</v>
      </c>
      <c r="AG47" s="391"/>
      <c r="AH47" s="427">
        <f ca="1">IF(TYPE(VLOOKUP(H47,Centrum!$A$3:$E$130,5,0))&lt;4,VLOOKUP(H47,Centrum!$A$3:$E$130,5,0),0)</f>
        <v>33</v>
      </c>
      <c r="AI47" s="387">
        <f ca="1">IF(N($AH47)&gt;0,VLOOKUP($AH47,Body!$A$4:$F$259,5,0),"")</f>
        <v>37.130431640624998</v>
      </c>
      <c r="AJ47" s="388">
        <f ca="1">IF(N($AH47)&gt;0,VLOOKUP($AH47,Body!$A$4:$F$259,6,0),"")</f>
        <v>0</v>
      </c>
      <c r="AK47" s="387">
        <f ca="1">IF(N($AH47)&gt;0,VLOOKUP($AH47,Body!$A$4:$F$259,2,0),"")</f>
        <v>0.96875</v>
      </c>
      <c r="AL47" s="389" t="str">
        <f t="shared" ca="1" si="19"/>
        <v>37 SK Pétanque Řepy - Konopová Marta</v>
      </c>
      <c r="AM47" s="390">
        <f t="shared" ca="1" si="15"/>
        <v>12.032</v>
      </c>
      <c r="AN47" s="319">
        <f ca="1">IF(OR(TYPE(I47)&gt;1,TYPE(MATCH(I47,I48:I$139,0))&gt;1),0,MATCH(I47,I48:I$139,0))+IF(OR(TYPE(I47)&gt;1,TYPE(MATCH(I47,O$11:O$139,0))&gt;1),0,MATCH(I47,O$11:O$139,0))+IF(OR(TYPE(I47)&gt;1,TYPE(MATCH(I47,U$11:U$139,0))&gt;1),0,MATCH(I47,U$11:U$139,0))+IF(OR(TYPE(I47)&gt;1,TYPE(MATCH(I47,AA$11:AA$139,0))&gt;1),0,MATCH(I47,AA$11:AA$139,0))</f>
        <v>0</v>
      </c>
      <c r="AO47" s="319">
        <f ca="1">IF(OR(TYPE(O47)&gt;1,TYPE(MATCH(O47,I$11:I$139,0))&gt;1),0,MATCH(O47,I$11:I$139,0))+IF(OR(TYPE(O47)&gt;1,TYPE(MATCH(O47,O48:O$139,0))&gt;1),0,MATCH(O47,O48:O$139,0))+IF(OR(TYPE(O47)&gt;1,TYPE(MATCH(O47,U$11:U$139,0))&gt;1),0,MATCH(O47,U$11:U$139,0))+IF(OR(TYPE(O47)&gt;1,TYPE(MATCH(O47,AA$11:AA$139,0))&gt;1),0,MATCH(O47,AA$11:AA$139,0))</f>
        <v>0</v>
      </c>
      <c r="AP47" s="319">
        <f ca="1">IF(OR(TYPE(U47)&gt;1,TYPE(MATCH(U47,I$11:I$139,0))&gt;1),0,MATCH(U47,I$11:I$139,0))+IF(OR(TYPE(U47)&gt;1,TYPE(MATCH(U47,O$11:O$139,0))&gt;1),0,MATCH(U47,O$11:O$139,0))+IF(OR(TYPE(U47)&gt;1,TYPE(MATCH(U47,U48:U$139,0))&gt;1),0,MATCH(U47,U48:U$139,0))+IF(OR(TYPE(U47)&gt;1,TYPE(MATCH(U47,AA$11:AA$139,0))&gt;1),0,MATCH(U47,AA$11:AA$139,0))</f>
        <v>0</v>
      </c>
      <c r="AQ47" s="319">
        <f ca="1">IF(OR(TYPE(AA47)&gt;1,TYPE(MATCH(AA47,I$11:I$139,0))&gt;1),0,MATCH(AA47,I$11:I$139,0))+IF(OR(TYPE(AA47)&gt;1,TYPE(MATCH(AA47,O$11:O$139,0))&gt;1),0,MATCH(AA47,O$11:O$139,0))+IF(OR(TYPE(AA47)&gt;1,TYPE(MATCH(AA47,U$11:U$139,0))&gt;1),0,MATCH(U47,U$11:U$139,0))+IF(OR(TYPE(AA47)&gt;1,TYPE(MATCH(AA47,AA48:AA$139,0))&gt;1),0,MATCH(AA47,AA48:AA$139,0))</f>
        <v>0</v>
      </c>
      <c r="AR47" s="319">
        <f t="shared" ca="1" si="18"/>
        <v>0</v>
      </c>
      <c r="AT47" s="318">
        <f t="shared" ca="1" si="16"/>
        <v>0</v>
      </c>
      <c r="AU47" s="318">
        <f ca="1">IF(AND(N(I47)&gt;0,TYPE(VLOOKUP(I47,Hraci!$A$5:$A$800,1,0))&gt;3),1,0) + IF(AND(N(O47)&gt;0,TYPE(VLOOKUP(O47,Hraci!$A$5:$A$800,1,0))&gt;3),1,0) + IF(AND(N(U47)&gt;0,TYPE(VLOOKUP(U47,Hraci!$A$5:$A$800,1,0))&gt;3),1,0)</f>
        <v>0</v>
      </c>
      <c r="BF47" s="319">
        <f t="shared" si="17"/>
        <v>37</v>
      </c>
    </row>
    <row r="48" spans="1:58" ht="12.9" x14ac:dyDescent="0.45">
      <c r="A48" s="302">
        <f t="shared" ca="1" si="2"/>
        <v>1</v>
      </c>
      <c r="B48" s="302">
        <f t="shared" ca="1" si="3"/>
        <v>1</v>
      </c>
      <c r="C48" s="302">
        <f t="shared" ca="1" si="4"/>
        <v>7.6879999999999997</v>
      </c>
      <c r="D48" s="302">
        <f t="shared" ca="1" si="5"/>
        <v>20365</v>
      </c>
      <c r="E48" s="302">
        <f t="shared" ca="1" si="6"/>
        <v>367</v>
      </c>
      <c r="F48" s="343" t="str">
        <f t="shared" ca="1" si="7"/>
        <v>01000000000000000000437310</v>
      </c>
      <c r="G48" s="381" t="b">
        <f t="shared" ca="1" si="8"/>
        <v>0</v>
      </c>
      <c r="H48" s="382">
        <f t="shared" si="9"/>
        <v>38</v>
      </c>
      <c r="I48" s="383">
        <f t="shared" ca="1" si="10"/>
        <v>96162</v>
      </c>
      <c r="J48" s="384" t="str">
        <f ca="1">IF(N(I48)&gt;0,VLOOKUP(I48,Hraci!$A$1:$I$1500,2,0),IF(TYPE(INDIRECT(ADDRESS(ROW() + $A$9-9 + (ROW()-11)*4,2,1,1,"Internet")))&gt;1,INDIRECT(ADDRESS(ROW() + $A$9-9 + (ROW()-11)*4,2,1,1,"Internet"))," "))</f>
        <v>Glaser</v>
      </c>
      <c r="K48" s="385" t="str">
        <f ca="1">IF(N(I48)&gt;0,VLOOKUP(I48,Hraci!$A$1:$I$1500,3,0)," ")</f>
        <v>Vladimír</v>
      </c>
      <c r="L48" s="385" t="str">
        <f ca="1">IF(N(I48)&gt;0,VLOOKUP(I48,Hraci!$A$1:$I$1500,5,0),IF(TYPE(INDIRECT(ADDRESS(ROW() + $A$9-9 + (ROW()-11)*4,3,1,1,"Internet")))&gt;1,INDIRECT(ADDRESS(ROW() + $A$9-9 + (ROW()-11)*4,3,1,1,"Internet"))," "))</f>
        <v>C.T.P. Club Ořech</v>
      </c>
      <c r="M48" s="319">
        <f ca="1">IF(N(I48)=0,9999,VLOOKUP(I48,Hraci!$A$1:$I$1500,8,0))</f>
        <v>367</v>
      </c>
      <c r="N48" s="386">
        <f ca="1">IF(N(I48)=0,0,VLOOKUP(I48,Hraci!$A$1:$I$1500,9,0))</f>
        <v>7.6879999999999997</v>
      </c>
      <c r="O48" s="383" t="str">
        <f t="shared" ca="1" si="11"/>
        <v/>
      </c>
      <c r="P48" s="384" t="str">
        <f ca="1">IF(N(O48)&gt;0,VLOOKUP(O48,Hraci!$A$1:$I$1500,2,0),IF(TYPE(INDIRECT(ADDRESS(ROW() + $A$9-8 + (ROW()-11)*4,2,1,1,"Internet")))&gt;1,INDIRECT(ADDRESS(ROW() + $A$9-8 + (ROW()-11)*4,2,1,1,"Internet"))," "))</f>
        <v xml:space="preserve"> </v>
      </c>
      <c r="Q48" s="385" t="str">
        <f ca="1">IF(N(O48)&gt;0,VLOOKUP(O48,Hraci!$A$1:$I$1500,3,0)," ")</f>
        <v xml:space="preserve"> </v>
      </c>
      <c r="R48" s="385" t="str">
        <f ca="1">IF(N(O48)&gt;0,VLOOKUP(O48,Hraci!$A$1:$I$1500,5,0),IF(TYPE(INDIRECT(ADDRESS(ROW() + $A$9-8 + (ROW()-11)*4,3,1,1,"Internet")))&gt;1,INDIRECT(ADDRESS(ROW() + $A$9-8 + (ROW()-11)*4,3,1,1,"Internet"))," "))</f>
        <v xml:space="preserve"> </v>
      </c>
      <c r="S48" s="319">
        <f ca="1">IF(N(O48)=0,9999,VLOOKUP(O48,Hraci!$A$1:$I$1500,8,0))</f>
        <v>9999</v>
      </c>
      <c r="T48" s="386">
        <f ca="1">IF(N(O48)=0,0,VLOOKUP(O48,Hraci!$A$1:$I$1500,9,0))</f>
        <v>0</v>
      </c>
      <c r="U48" s="383" t="str">
        <f t="shared" ca="1" si="12"/>
        <v/>
      </c>
      <c r="V48" s="384" t="str">
        <f ca="1">IF(N(U48)&gt;0,VLOOKUP(U48,Hraci!$A$1:$I$1500,2,0),IF(TYPE(INDIRECT(ADDRESS(ROW() + $A$9-7 + (ROW()-11)*4,2,1,1,"Internet")))&gt;1,INDIRECT(ADDRESS(ROW() + $A$9-7 + (ROW()-11)*4,2,1,1,"Internet"))," "))</f>
        <v xml:space="preserve"> </v>
      </c>
      <c r="W48" s="385" t="str">
        <f ca="1">IF(N(U48)&gt;0,VLOOKUP(U48,Hraci!$A$1:$I$1500,3,0)," ")</f>
        <v xml:space="preserve"> </v>
      </c>
      <c r="X48" s="385" t="str">
        <f ca="1">IF(N(U48)&gt;0,VLOOKUP(U48,Hraci!$A$1:$I$1500,5,0),IF(TYPE(INDIRECT(ADDRESS(ROW() + $A$9-7 + (ROW()-11)*4,3,1,1,"Internet")))&gt;1,INDIRECT(ADDRESS(ROW() + $A$9-7 + (ROW()-11)*4,3,1,1,"Internet"))," "))</f>
        <v xml:space="preserve"> </v>
      </c>
      <c r="Y48" s="319">
        <f ca="1">IF(N(U48)=0,9999,VLOOKUP(U48,Hraci!$A$1:$I$1500,8,0))</f>
        <v>9999</v>
      </c>
      <c r="Z48" s="386">
        <f ca="1">IF(N(U48)=0,0,VLOOKUP(U48,Hraci!$A$1:$I$1500,9,0))</f>
        <v>0</v>
      </c>
      <c r="AA48" s="383" t="str">
        <f t="shared" ca="1" si="13"/>
        <v/>
      </c>
      <c r="AB48" s="384" t="str">
        <f ca="1">IF(N(AA48)&gt;0,VLOOKUP(AA48,Hraci!$A$1:$I$1500,2,0)," ")</f>
        <v xml:space="preserve"> </v>
      </c>
      <c r="AC48" s="385" t="str">
        <f ca="1">IF(N(AA48)&gt;0,VLOOKUP(AA48,Hraci!$A$1:$I$1500,3,0)," ")</f>
        <v xml:space="preserve"> </v>
      </c>
      <c r="AD48" s="385" t="str">
        <f ca="1">IF(N(AA48)&gt;0,VLOOKUP(AA48,Hraci!$A$1:$I$1500,5,0)," ")</f>
        <v xml:space="preserve"> </v>
      </c>
      <c r="AE48" s="319">
        <f ca="1">IF(N(AA48)=0,9999,VLOOKUP(AA48,Hraci!$A$1:$I$1500,8,0))</f>
        <v>9999</v>
      </c>
      <c r="AF48" s="386">
        <f ca="1">IF(N(AA48)=0,0,VLOOKUP(AA48,Hraci!$A$1:$I$1500,9,0))</f>
        <v>0</v>
      </c>
      <c r="AG48" s="391"/>
      <c r="AH48" s="427">
        <f ca="1">IF(TYPE(VLOOKUP(H48,Centrum!$A$3:$E$130,5,0))&lt;4,VLOOKUP(H48,Centrum!$A$3:$E$130,5,0),0)</f>
        <v>32</v>
      </c>
      <c r="AI48" s="387">
        <f ca="1">IF(N($AH48)&gt;0,VLOOKUP($AH48,Body!$A$4:$F$259,5,0),"")</f>
        <v>38.328187499999999</v>
      </c>
      <c r="AJ48" s="388">
        <f ca="1">IF(N($AH48)&gt;0,VLOOKUP($AH48,Body!$A$4:$F$259,6,0),"")</f>
        <v>0</v>
      </c>
      <c r="AK48" s="387">
        <f ca="1">IF(N($AH48)&gt;0,VLOOKUP($AH48,Body!$A$4:$F$259,2,0),"")</f>
        <v>1</v>
      </c>
      <c r="AL48" s="389" t="str">
        <f t="shared" ca="1" si="19"/>
        <v>38 C.T.P. Club Ořech - Glaser Vladimír</v>
      </c>
      <c r="AM48" s="390">
        <f t="shared" ca="1" si="15"/>
        <v>7.6879999999999997</v>
      </c>
      <c r="AN48" s="319">
        <f ca="1">IF(OR(TYPE(I48)&gt;1,TYPE(MATCH(I48,I49:I$139,0))&gt;1),0,MATCH(I48,I49:I$139,0))+IF(OR(TYPE(I48)&gt;1,TYPE(MATCH(I48,O$11:O$139,0))&gt;1),0,MATCH(I48,O$11:O$139,0))+IF(OR(TYPE(I48)&gt;1,TYPE(MATCH(I48,U$11:U$139,0))&gt;1),0,MATCH(I48,U$11:U$139,0))+IF(OR(TYPE(I48)&gt;1,TYPE(MATCH(I48,AA$11:AA$139,0))&gt;1),0,MATCH(I48,AA$11:AA$139,0))</f>
        <v>0</v>
      </c>
      <c r="AO48" s="319">
        <f ca="1">IF(OR(TYPE(O48)&gt;1,TYPE(MATCH(O48,I$11:I$139,0))&gt;1),0,MATCH(O48,I$11:I$139,0))+IF(OR(TYPE(O48)&gt;1,TYPE(MATCH(O48,O49:O$139,0))&gt;1),0,MATCH(O48,O49:O$139,0))+IF(OR(TYPE(O48)&gt;1,TYPE(MATCH(O48,U$11:U$139,0))&gt;1),0,MATCH(O48,U$11:U$139,0))+IF(OR(TYPE(O48)&gt;1,TYPE(MATCH(O48,AA$11:AA$139,0))&gt;1),0,MATCH(O48,AA$11:AA$139,0))</f>
        <v>0</v>
      </c>
      <c r="AP48" s="319">
        <f ca="1">IF(OR(TYPE(U48)&gt;1,TYPE(MATCH(U48,I$11:I$139,0))&gt;1),0,MATCH(U48,I$11:I$139,0))+IF(OR(TYPE(U48)&gt;1,TYPE(MATCH(U48,O$11:O$139,0))&gt;1),0,MATCH(U48,O$11:O$139,0))+IF(OR(TYPE(U48)&gt;1,TYPE(MATCH(U48,U49:U$139,0))&gt;1),0,MATCH(U48,U49:U$139,0))+IF(OR(TYPE(U48)&gt;1,TYPE(MATCH(U48,AA$11:AA$139,0))&gt;1),0,MATCH(U48,AA$11:AA$139,0))</f>
        <v>0</v>
      </c>
      <c r="AQ48" s="319">
        <f ca="1">IF(OR(TYPE(AA48)&gt;1,TYPE(MATCH(AA48,I$11:I$139,0))&gt;1),0,MATCH(AA48,I$11:I$139,0))+IF(OR(TYPE(AA48)&gt;1,TYPE(MATCH(AA48,O$11:O$139,0))&gt;1),0,MATCH(AA48,O$11:O$139,0))+IF(OR(TYPE(AA48)&gt;1,TYPE(MATCH(AA48,U$11:U$139,0))&gt;1),0,MATCH(U48,U$11:U$139,0))+IF(OR(TYPE(AA48)&gt;1,TYPE(MATCH(AA48,AA49:AA$139,0))&gt;1),0,MATCH(AA48,AA49:AA$139,0))</f>
        <v>0</v>
      </c>
      <c r="AR48" s="319">
        <f t="shared" ca="1" si="18"/>
        <v>0</v>
      </c>
      <c r="AT48" s="318">
        <f t="shared" ca="1" si="16"/>
        <v>0</v>
      </c>
      <c r="AU48" s="318">
        <f ca="1">IF(AND(N(I48)&gt;0,TYPE(VLOOKUP(I48,Hraci!$A$5:$A$800,1,0))&gt;3),1,0) + IF(AND(N(O48)&gt;0,TYPE(VLOOKUP(O48,Hraci!$A$5:$A$800,1,0))&gt;3),1,0) + IF(AND(N(U48)&gt;0,TYPE(VLOOKUP(U48,Hraci!$A$5:$A$800,1,0))&gt;3),1,0)</f>
        <v>0</v>
      </c>
      <c r="BF48" s="319">
        <f t="shared" si="17"/>
        <v>38</v>
      </c>
    </row>
    <row r="49" spans="1:58" ht="12.9" x14ac:dyDescent="0.45">
      <c r="A49" s="302">
        <f t="shared" ca="1" si="2"/>
        <v>1</v>
      </c>
      <c r="B49" s="302">
        <f t="shared" ca="1" si="3"/>
        <v>1</v>
      </c>
      <c r="C49" s="302">
        <f t="shared" ca="1" si="4"/>
        <v>5.3129999999999997</v>
      </c>
      <c r="D49" s="302">
        <f t="shared" ca="1" si="5"/>
        <v>20396</v>
      </c>
      <c r="E49" s="302">
        <f t="shared" ca="1" si="6"/>
        <v>398</v>
      </c>
      <c r="F49" s="343" t="str">
        <f t="shared" ca="1" si="7"/>
        <v>01000000000000000000124152</v>
      </c>
      <c r="G49" s="381" t="b">
        <f t="shared" ca="1" si="8"/>
        <v>0</v>
      </c>
      <c r="H49" s="382">
        <f t="shared" si="9"/>
        <v>39</v>
      </c>
      <c r="I49" s="383">
        <f t="shared" ca="1" si="10"/>
        <v>24504</v>
      </c>
      <c r="J49" s="384" t="str">
        <f ca="1">IF(N(I49)&gt;0,VLOOKUP(I49,Hraci!$A$1:$I$1500,2,0),IF(TYPE(INDIRECT(ADDRESS(ROW() + $A$9-9 + (ROW()-11)*4,2,1,1,"Internet")))&gt;1,INDIRECT(ADDRESS(ROW() + $A$9-9 + (ROW()-11)*4,2,1,1,"Internet"))," "))</f>
        <v>Šnejdr</v>
      </c>
      <c r="K49" s="385" t="str">
        <f ca="1">IF(N(I49)&gt;0,VLOOKUP(I49,Hraci!$A$1:$I$1500,3,0)," ")</f>
        <v>Josef</v>
      </c>
      <c r="L49" s="385" t="str">
        <f ca="1">IF(N(I49)&gt;0,VLOOKUP(I49,Hraci!$A$1:$I$1500,5,0),IF(TYPE(INDIRECT(ADDRESS(ROW() + $A$9-9 + (ROW()-11)*4,3,1,1,"Internet")))&gt;1,INDIRECT(ADDRESS(ROW() + $A$9-9 + (ROW()-11)*4,3,1,1,"Internet"))," "))</f>
        <v>PC Přítkov</v>
      </c>
      <c r="M49" s="319">
        <f ca="1">IF(N(I49)=0,9999,VLOOKUP(I49,Hraci!$A$1:$I$1500,8,0))</f>
        <v>398</v>
      </c>
      <c r="N49" s="386">
        <f ca="1">IF(N(I49)=0,0,VLOOKUP(I49,Hraci!$A$1:$I$1500,9,0))</f>
        <v>5.3129999999999997</v>
      </c>
      <c r="O49" s="383" t="str">
        <f t="shared" ca="1" si="11"/>
        <v/>
      </c>
      <c r="P49" s="384" t="str">
        <f ca="1">IF(N(O49)&gt;0,VLOOKUP(O49,Hraci!$A$1:$I$1500,2,0),IF(TYPE(INDIRECT(ADDRESS(ROW() + $A$9-8 + (ROW()-11)*4,2,1,1,"Internet")))&gt;1,INDIRECT(ADDRESS(ROW() + $A$9-8 + (ROW()-11)*4,2,1,1,"Internet"))," "))</f>
        <v xml:space="preserve"> </v>
      </c>
      <c r="Q49" s="385" t="str">
        <f ca="1">IF(N(O49)&gt;0,VLOOKUP(O49,Hraci!$A$1:$I$1500,3,0)," ")</f>
        <v xml:space="preserve"> </v>
      </c>
      <c r="R49" s="385" t="str">
        <f ca="1">IF(N(O49)&gt;0,VLOOKUP(O49,Hraci!$A$1:$I$1500,5,0),IF(TYPE(INDIRECT(ADDRESS(ROW() + $A$9-8 + (ROW()-11)*4,3,1,1,"Internet")))&gt;1,INDIRECT(ADDRESS(ROW() + $A$9-8 + (ROW()-11)*4,3,1,1,"Internet"))," "))</f>
        <v xml:space="preserve"> </v>
      </c>
      <c r="S49" s="319">
        <f ca="1">IF(N(O49)=0,9999,VLOOKUP(O49,Hraci!$A$1:$I$1500,8,0))</f>
        <v>9999</v>
      </c>
      <c r="T49" s="386">
        <f ca="1">IF(N(O49)=0,0,VLOOKUP(O49,Hraci!$A$1:$I$1500,9,0))</f>
        <v>0</v>
      </c>
      <c r="U49" s="383" t="str">
        <f t="shared" ca="1" si="12"/>
        <v/>
      </c>
      <c r="V49" s="384" t="str">
        <f ca="1">IF(N(U49)&gt;0,VLOOKUP(U49,Hraci!$A$1:$I$1500,2,0),IF(TYPE(INDIRECT(ADDRESS(ROW() + $A$9-7 + (ROW()-11)*4,2,1,1,"Internet")))&gt;1,INDIRECT(ADDRESS(ROW() + $A$9-7 + (ROW()-11)*4,2,1,1,"Internet"))," "))</f>
        <v xml:space="preserve"> </v>
      </c>
      <c r="W49" s="385" t="str">
        <f ca="1">IF(N(U49)&gt;0,VLOOKUP(U49,Hraci!$A$1:$I$1500,3,0)," ")</f>
        <v xml:space="preserve"> </v>
      </c>
      <c r="X49" s="385" t="str">
        <f ca="1">IF(N(U49)&gt;0,VLOOKUP(U49,Hraci!$A$1:$I$1500,5,0),IF(TYPE(INDIRECT(ADDRESS(ROW() + $A$9-7 + (ROW()-11)*4,3,1,1,"Internet")))&gt;1,INDIRECT(ADDRESS(ROW() + $A$9-7 + (ROW()-11)*4,3,1,1,"Internet"))," "))</f>
        <v xml:space="preserve"> </v>
      </c>
      <c r="Y49" s="319">
        <f ca="1">IF(N(U49)=0,9999,VLOOKUP(U49,Hraci!$A$1:$I$1500,8,0))</f>
        <v>9999</v>
      </c>
      <c r="Z49" s="386">
        <f ca="1">IF(N(U49)=0,0,VLOOKUP(U49,Hraci!$A$1:$I$1500,9,0))</f>
        <v>0</v>
      </c>
      <c r="AA49" s="383" t="str">
        <f t="shared" ca="1" si="13"/>
        <v/>
      </c>
      <c r="AB49" s="384" t="str">
        <f ca="1">IF(N(AA49)&gt;0,VLOOKUP(AA49,Hraci!$A$1:$I$1500,2,0)," ")</f>
        <v xml:space="preserve"> </v>
      </c>
      <c r="AC49" s="385" t="str">
        <f ca="1">IF(N(AA49)&gt;0,VLOOKUP(AA49,Hraci!$A$1:$I$1500,3,0)," ")</f>
        <v xml:space="preserve"> </v>
      </c>
      <c r="AD49" s="385" t="str">
        <f ca="1">IF(N(AA49)&gt;0,VLOOKUP(AA49,Hraci!$A$1:$I$1500,5,0)," ")</f>
        <v xml:space="preserve"> </v>
      </c>
      <c r="AE49" s="319">
        <f ca="1">IF(N(AA49)=0,9999,VLOOKUP(AA49,Hraci!$A$1:$I$1500,8,0))</f>
        <v>9999</v>
      </c>
      <c r="AF49" s="386">
        <f ca="1">IF(N(AA49)=0,0,VLOOKUP(AA49,Hraci!$A$1:$I$1500,9,0))</f>
        <v>0</v>
      </c>
      <c r="AG49" s="391"/>
      <c r="AH49" s="427">
        <f ca="1">IF(TYPE(VLOOKUP(H49,Centrum!$A$3:$E$130,5,0))&lt;4,VLOOKUP(H49,Centrum!$A$3:$E$130,5,0),0)</f>
        <v>22</v>
      </c>
      <c r="AI49" s="387">
        <f ca="1">IF(N($AH49)&gt;0,VLOOKUP($AH49,Body!$A$4:$F$259,5,0),"")</f>
        <v>62.283304687499999</v>
      </c>
      <c r="AJ49" s="388">
        <f ca="1">IF(N($AH49)&gt;0,VLOOKUP($AH49,Body!$A$4:$F$259,6,0),"")</f>
        <v>0</v>
      </c>
      <c r="AK49" s="387">
        <f ca="1">IF(N($AH49)&gt;0,VLOOKUP($AH49,Body!$A$4:$F$259,2,0),"")</f>
        <v>1.625</v>
      </c>
      <c r="AL49" s="389" t="str">
        <f t="shared" ca="1" si="19"/>
        <v>39 PC Přítkov - Šnejdr Josef</v>
      </c>
      <c r="AM49" s="390">
        <f t="shared" ca="1" si="15"/>
        <v>5.3129999999999997</v>
      </c>
      <c r="AN49" s="319">
        <f ca="1">IF(OR(TYPE(I49)&gt;1,TYPE(MATCH(I49,I50:I$139,0))&gt;1),0,MATCH(I49,I50:I$139,0))+IF(OR(TYPE(I49)&gt;1,TYPE(MATCH(I49,O$11:O$139,0))&gt;1),0,MATCH(I49,O$11:O$139,0))+IF(OR(TYPE(I49)&gt;1,TYPE(MATCH(I49,U$11:U$139,0))&gt;1),0,MATCH(I49,U$11:U$139,0))+IF(OR(TYPE(I49)&gt;1,TYPE(MATCH(I49,AA$11:AA$139,0))&gt;1),0,MATCH(I49,AA$11:AA$139,0))</f>
        <v>0</v>
      </c>
      <c r="AO49" s="319">
        <f ca="1">IF(OR(TYPE(O49)&gt;1,TYPE(MATCH(O49,I$11:I$139,0))&gt;1),0,MATCH(O49,I$11:I$139,0))+IF(OR(TYPE(O49)&gt;1,TYPE(MATCH(O49,O50:O$139,0))&gt;1),0,MATCH(O49,O50:O$139,0))+IF(OR(TYPE(O49)&gt;1,TYPE(MATCH(O49,U$11:U$139,0))&gt;1),0,MATCH(O49,U$11:U$139,0))+IF(OR(TYPE(O49)&gt;1,TYPE(MATCH(O49,AA$11:AA$139,0))&gt;1),0,MATCH(O49,AA$11:AA$139,0))</f>
        <v>0</v>
      </c>
      <c r="AP49" s="319">
        <f ca="1">IF(OR(TYPE(U49)&gt;1,TYPE(MATCH(U49,I$11:I$139,0))&gt;1),0,MATCH(U49,I$11:I$139,0))+IF(OR(TYPE(U49)&gt;1,TYPE(MATCH(U49,O$11:O$139,0))&gt;1),0,MATCH(U49,O$11:O$139,0))+IF(OR(TYPE(U49)&gt;1,TYPE(MATCH(U49,U50:U$139,0))&gt;1),0,MATCH(U49,U50:U$139,0))+IF(OR(TYPE(U49)&gt;1,TYPE(MATCH(U49,AA$11:AA$139,0))&gt;1),0,MATCH(U49,AA$11:AA$139,0))</f>
        <v>0</v>
      </c>
      <c r="AQ49" s="319">
        <f ca="1">IF(OR(TYPE(AA49)&gt;1,TYPE(MATCH(AA49,I$11:I$139,0))&gt;1),0,MATCH(AA49,I$11:I$139,0))+IF(OR(TYPE(AA49)&gt;1,TYPE(MATCH(AA49,O$11:O$139,0))&gt;1),0,MATCH(AA49,O$11:O$139,0))+IF(OR(TYPE(AA49)&gt;1,TYPE(MATCH(AA49,U$11:U$139,0))&gt;1),0,MATCH(U49,U$11:U$139,0))+IF(OR(TYPE(AA49)&gt;1,TYPE(MATCH(AA49,AA50:AA$139,0))&gt;1),0,MATCH(AA49,AA50:AA$139,0))</f>
        <v>0</v>
      </c>
      <c r="AR49" s="319">
        <f t="shared" ca="1" si="18"/>
        <v>0</v>
      </c>
      <c r="AT49" s="318">
        <f t="shared" ca="1" si="16"/>
        <v>0</v>
      </c>
      <c r="AU49" s="318">
        <f ca="1">IF(AND(N(I49)&gt;0,TYPE(VLOOKUP(I49,Hraci!$A$5:$A$800,1,0))&gt;3),1,0) + IF(AND(N(O49)&gt;0,TYPE(VLOOKUP(O49,Hraci!$A$5:$A$800,1,0))&gt;3),1,0) + IF(AND(N(U49)&gt;0,TYPE(VLOOKUP(U49,Hraci!$A$5:$A$800,1,0))&gt;3),1,0)</f>
        <v>0</v>
      </c>
      <c r="BF49" s="319">
        <f t="shared" si="17"/>
        <v>39</v>
      </c>
    </row>
    <row r="50" spans="1:58" ht="12.9" x14ac:dyDescent="0.45">
      <c r="A50" s="302">
        <f t="shared" ca="1" si="2"/>
        <v>1</v>
      </c>
      <c r="B50" s="302">
        <f t="shared" ca="1" si="3"/>
        <v>1</v>
      </c>
      <c r="C50" s="302">
        <f t="shared" ca="1" si="4"/>
        <v>4.6280000000000001</v>
      </c>
      <c r="D50" s="302">
        <f t="shared" ca="1" si="5"/>
        <v>20376</v>
      </c>
      <c r="E50" s="302">
        <f t="shared" ca="1" si="6"/>
        <v>378</v>
      </c>
      <c r="F50" s="343" t="str">
        <f t="shared" ca="1" si="7"/>
        <v>01000000000000000000752199</v>
      </c>
      <c r="G50" s="381" t="b">
        <f t="shared" ca="1" si="8"/>
        <v>0</v>
      </c>
      <c r="H50" s="382">
        <f t="shared" si="9"/>
        <v>40</v>
      </c>
      <c r="I50" s="383">
        <f t="shared" ca="1" si="10"/>
        <v>23215</v>
      </c>
      <c r="J50" s="384" t="str">
        <f ca="1">IF(N(I50)&gt;0,VLOOKUP(I50,Hraci!$A$1:$I$1500,2,0),IF(TYPE(INDIRECT(ADDRESS(ROW() + $A$9-9 + (ROW()-11)*4,2,1,1,"Internet")))&gt;1,INDIRECT(ADDRESS(ROW() + $A$9-9 + (ROW()-11)*4,2,1,1,"Internet"))," "))</f>
        <v>Krhovská</v>
      </c>
      <c r="K50" s="385" t="str">
        <f ca="1">IF(N(I50)&gt;0,VLOOKUP(I50,Hraci!$A$1:$I$1500,3,0)," ")</f>
        <v>Dana</v>
      </c>
      <c r="L50" s="385" t="str">
        <f ca="1">IF(N(I50)&gt;0,VLOOKUP(I50,Hraci!$A$1:$I$1500,5,0),IF(TYPE(INDIRECT(ADDRESS(ROW() + $A$9-9 + (ROW()-11)*4,3,1,1,"Internet")))&gt;1,INDIRECT(ADDRESS(ROW() + $A$9-9 + (ROW()-11)*4,3,1,1,"Internet"))," "))</f>
        <v>SKP Kulová osma</v>
      </c>
      <c r="M50" s="319">
        <f ca="1">IF(N(I50)=0,9999,VLOOKUP(I50,Hraci!$A$1:$I$1500,8,0))</f>
        <v>378</v>
      </c>
      <c r="N50" s="386">
        <f ca="1">IF(N(I50)=0,0,VLOOKUP(I50,Hraci!$A$1:$I$1500,9,0))</f>
        <v>4.6280000000000001</v>
      </c>
      <c r="O50" s="383" t="str">
        <f t="shared" ca="1" si="11"/>
        <v/>
      </c>
      <c r="P50" s="384" t="str">
        <f ca="1">IF(N(O50)&gt;0,VLOOKUP(O50,Hraci!$A$1:$I$1500,2,0),IF(TYPE(INDIRECT(ADDRESS(ROW() + $A$9-8 + (ROW()-11)*4,2,1,1,"Internet")))&gt;1,INDIRECT(ADDRESS(ROW() + $A$9-8 + (ROW()-11)*4,2,1,1,"Internet"))," "))</f>
        <v xml:space="preserve"> </v>
      </c>
      <c r="Q50" s="385" t="str">
        <f ca="1">IF(N(O50)&gt;0,VLOOKUP(O50,Hraci!$A$1:$I$1500,3,0)," ")</f>
        <v xml:space="preserve"> </v>
      </c>
      <c r="R50" s="385" t="str">
        <f ca="1">IF(N(O50)&gt;0,VLOOKUP(O50,Hraci!$A$1:$I$1500,5,0),IF(TYPE(INDIRECT(ADDRESS(ROW() + $A$9-8 + (ROW()-11)*4,3,1,1,"Internet")))&gt;1,INDIRECT(ADDRESS(ROW() + $A$9-8 + (ROW()-11)*4,3,1,1,"Internet"))," "))</f>
        <v xml:space="preserve"> </v>
      </c>
      <c r="S50" s="319">
        <f ca="1">IF(N(O50)=0,9999,VLOOKUP(O50,Hraci!$A$1:$I$1500,8,0))</f>
        <v>9999</v>
      </c>
      <c r="T50" s="386">
        <f ca="1">IF(N(O50)=0,0,VLOOKUP(O50,Hraci!$A$1:$I$1500,9,0))</f>
        <v>0</v>
      </c>
      <c r="U50" s="383" t="str">
        <f t="shared" ca="1" si="12"/>
        <v/>
      </c>
      <c r="V50" s="384" t="str">
        <f ca="1">IF(N(U50)&gt;0,VLOOKUP(U50,Hraci!$A$1:$I$1500,2,0),IF(TYPE(INDIRECT(ADDRESS(ROW() + $A$9-7 + (ROW()-11)*4,2,1,1,"Internet")))&gt;1,INDIRECT(ADDRESS(ROW() + $A$9-7 + (ROW()-11)*4,2,1,1,"Internet"))," "))</f>
        <v xml:space="preserve"> </v>
      </c>
      <c r="W50" s="385" t="str">
        <f ca="1">IF(N(U50)&gt;0,VLOOKUP(U50,Hraci!$A$1:$I$1500,3,0)," ")</f>
        <v xml:space="preserve"> </v>
      </c>
      <c r="X50" s="385" t="str">
        <f ca="1">IF(N(U50)&gt;0,VLOOKUP(U50,Hraci!$A$1:$I$1500,5,0),IF(TYPE(INDIRECT(ADDRESS(ROW() + $A$9-7 + (ROW()-11)*4,3,1,1,"Internet")))&gt;1,INDIRECT(ADDRESS(ROW() + $A$9-7 + (ROW()-11)*4,3,1,1,"Internet"))," "))</f>
        <v xml:space="preserve"> </v>
      </c>
      <c r="Y50" s="319">
        <f ca="1">IF(N(U50)=0,9999,VLOOKUP(U50,Hraci!$A$1:$I$1500,8,0))</f>
        <v>9999</v>
      </c>
      <c r="Z50" s="386">
        <f ca="1">IF(N(U50)=0,0,VLOOKUP(U50,Hraci!$A$1:$I$1500,9,0))</f>
        <v>0</v>
      </c>
      <c r="AA50" s="383" t="str">
        <f t="shared" ca="1" si="13"/>
        <v/>
      </c>
      <c r="AB50" s="384" t="str">
        <f ca="1">IF(N(AA50)&gt;0,VLOOKUP(AA50,Hraci!$A$1:$I$1500,2,0)," ")</f>
        <v xml:space="preserve"> </v>
      </c>
      <c r="AC50" s="385" t="str">
        <f ca="1">IF(N(AA50)&gt;0,VLOOKUP(AA50,Hraci!$A$1:$I$1500,3,0)," ")</f>
        <v xml:space="preserve"> </v>
      </c>
      <c r="AD50" s="385" t="str">
        <f ca="1">IF(N(AA50)&gt;0,VLOOKUP(AA50,Hraci!$A$1:$I$1500,5,0)," ")</f>
        <v xml:space="preserve"> </v>
      </c>
      <c r="AE50" s="319">
        <f ca="1">IF(N(AA50)=0,9999,VLOOKUP(AA50,Hraci!$A$1:$I$1500,8,0))</f>
        <v>9999</v>
      </c>
      <c r="AF50" s="386">
        <f ca="1">IF(N(AA50)=0,0,VLOOKUP(AA50,Hraci!$A$1:$I$1500,9,0))</f>
        <v>0</v>
      </c>
      <c r="AG50" s="391"/>
      <c r="AH50" s="427">
        <f ca="1">IF(TYPE(VLOOKUP(H50,Centrum!$A$3:$E$130,5,0))&lt;4,VLOOKUP(H50,Centrum!$A$3:$E$130,5,0),0)</f>
        <v>35</v>
      </c>
      <c r="AI50" s="387">
        <f ca="1">IF(N($AH50)&gt;0,VLOOKUP($AH50,Body!$A$4:$F$259,5,0),"")</f>
        <v>34.734919921874997</v>
      </c>
      <c r="AJ50" s="388">
        <f ca="1">IF(N($AH50)&gt;0,VLOOKUP($AH50,Body!$A$4:$F$259,6,0),"")</f>
        <v>0</v>
      </c>
      <c r="AK50" s="387">
        <f ca="1">IF(N($AH50)&gt;0,VLOOKUP($AH50,Body!$A$4:$F$259,2,0),"")</f>
        <v>0.90625</v>
      </c>
      <c r="AL50" s="389" t="str">
        <f t="shared" ca="1" si="19"/>
        <v>40 SKP Kulová osma - Krhovská Dana</v>
      </c>
      <c r="AM50" s="390">
        <f t="shared" ca="1" si="15"/>
        <v>4.6280000000000001</v>
      </c>
      <c r="AN50" s="319">
        <f ca="1">IF(OR(TYPE(I50)&gt;1,TYPE(MATCH(I50,I51:I$139,0))&gt;1),0,MATCH(I50,I51:I$139,0))+IF(OR(TYPE(I50)&gt;1,TYPE(MATCH(I50,O$11:O$139,0))&gt;1),0,MATCH(I50,O$11:O$139,0))+IF(OR(TYPE(I50)&gt;1,TYPE(MATCH(I50,U$11:U$139,0))&gt;1),0,MATCH(I50,U$11:U$139,0))+IF(OR(TYPE(I50)&gt;1,TYPE(MATCH(I50,AA$11:AA$139,0))&gt;1),0,MATCH(I50,AA$11:AA$139,0))</f>
        <v>0</v>
      </c>
      <c r="AO50" s="319">
        <f ca="1">IF(OR(TYPE(O50)&gt;1,TYPE(MATCH(O50,I$11:I$139,0))&gt;1),0,MATCH(O50,I$11:I$139,0))+IF(OR(TYPE(O50)&gt;1,TYPE(MATCH(O50,O51:O$139,0))&gt;1),0,MATCH(O50,O51:O$139,0))+IF(OR(TYPE(O50)&gt;1,TYPE(MATCH(O50,U$11:U$139,0))&gt;1),0,MATCH(O50,U$11:U$139,0))+IF(OR(TYPE(O50)&gt;1,TYPE(MATCH(O50,AA$11:AA$139,0))&gt;1),0,MATCH(O50,AA$11:AA$139,0))</f>
        <v>0</v>
      </c>
      <c r="AP50" s="319">
        <f ca="1">IF(OR(TYPE(U50)&gt;1,TYPE(MATCH(U50,I$11:I$139,0))&gt;1),0,MATCH(U50,I$11:I$139,0))+IF(OR(TYPE(U50)&gt;1,TYPE(MATCH(U50,O$11:O$139,0))&gt;1),0,MATCH(U50,O$11:O$139,0))+IF(OR(TYPE(U50)&gt;1,TYPE(MATCH(U50,U51:U$139,0))&gt;1),0,MATCH(U50,U51:U$139,0))+IF(OR(TYPE(U50)&gt;1,TYPE(MATCH(U50,AA$11:AA$139,0))&gt;1),0,MATCH(U50,AA$11:AA$139,0))</f>
        <v>0</v>
      </c>
      <c r="AQ50" s="319">
        <f ca="1">IF(OR(TYPE(AA50)&gt;1,TYPE(MATCH(AA50,I$11:I$139,0))&gt;1),0,MATCH(AA50,I$11:I$139,0))+IF(OR(TYPE(AA50)&gt;1,TYPE(MATCH(AA50,O$11:O$139,0))&gt;1),0,MATCH(AA50,O$11:O$139,0))+IF(OR(TYPE(AA50)&gt;1,TYPE(MATCH(AA50,U$11:U$139,0))&gt;1),0,MATCH(U50,U$11:U$139,0))+IF(OR(TYPE(AA50)&gt;1,TYPE(MATCH(AA50,AA51:AA$139,0))&gt;1),0,MATCH(AA50,AA51:AA$139,0))</f>
        <v>0</v>
      </c>
      <c r="AR50" s="319">
        <f t="shared" ca="1" si="18"/>
        <v>0</v>
      </c>
      <c r="AT50" s="318">
        <f t="shared" ca="1" si="16"/>
        <v>0</v>
      </c>
      <c r="AU50" s="318">
        <f ca="1">IF(AND(N(I50)&gt;0,TYPE(VLOOKUP(I50,Hraci!$A$5:$A$800,1,0))&gt;3),1,0) + IF(AND(N(O50)&gt;0,TYPE(VLOOKUP(O50,Hraci!$A$5:$A$800,1,0))&gt;3),1,0) + IF(AND(N(U50)&gt;0,TYPE(VLOOKUP(U50,Hraci!$A$5:$A$800,1,0))&gt;3),1,0)</f>
        <v>0</v>
      </c>
      <c r="BF50" s="319">
        <f t="shared" si="17"/>
        <v>40</v>
      </c>
    </row>
    <row r="51" spans="1:58" ht="12.9" x14ac:dyDescent="0.45">
      <c r="A51" s="302">
        <f t="shared" ca="1" si="2"/>
        <v>1</v>
      </c>
      <c r="B51" s="302">
        <f t="shared" ca="1" si="3"/>
        <v>1</v>
      </c>
      <c r="C51" s="302">
        <f t="shared" ca="1" si="4"/>
        <v>2.375</v>
      </c>
      <c r="D51" s="302">
        <f t="shared" ca="1" si="5"/>
        <v>20502</v>
      </c>
      <c r="E51" s="302">
        <f t="shared" ca="1" si="6"/>
        <v>504</v>
      </c>
      <c r="F51" s="343" t="str">
        <f t="shared" ca="1" si="7"/>
        <v>01000000000000000000183722</v>
      </c>
      <c r="G51" s="381" t="b">
        <f t="shared" ca="1" si="8"/>
        <v>0</v>
      </c>
      <c r="H51" s="382">
        <f t="shared" si="9"/>
        <v>41</v>
      </c>
      <c r="I51" s="383">
        <f t="shared" ca="1" si="10"/>
        <v>24529</v>
      </c>
      <c r="J51" s="384" t="str">
        <f ca="1">IF(N(I51)&gt;0,VLOOKUP(I51,Hraci!$A$1:$I$1500,2,0),IF(TYPE(INDIRECT(ADDRESS(ROW() + $A$9-9 + (ROW()-11)*4,2,1,1,"Internet")))&gt;1,INDIRECT(ADDRESS(ROW() + $A$9-9 + (ROW()-11)*4,2,1,1,"Internet"))," "))</f>
        <v>Kovář</v>
      </c>
      <c r="K51" s="385" t="str">
        <f ca="1">IF(N(I51)&gt;0,VLOOKUP(I51,Hraci!$A$1:$I$1500,3,0)," ")</f>
        <v>Petr</v>
      </c>
      <c r="L51" s="385" t="str">
        <f ca="1">IF(N(I51)&gt;0,VLOOKUP(I51,Hraci!$A$1:$I$1500,5,0),IF(TYPE(INDIRECT(ADDRESS(ROW() + $A$9-9 + (ROW()-11)*4,3,1,1,"Internet")))&gt;1,INDIRECT(ADDRESS(ROW() + $A$9-9 + (ROW()-11)*4,3,1,1,"Internet"))," "))</f>
        <v>SKMZ Sport</v>
      </c>
      <c r="M51" s="319">
        <f ca="1">IF(N(I51)=0,9999,VLOOKUP(I51,Hraci!$A$1:$I$1500,8,0))</f>
        <v>504</v>
      </c>
      <c r="N51" s="386">
        <f ca="1">IF(N(I51)=0,0,VLOOKUP(I51,Hraci!$A$1:$I$1500,9,0))</f>
        <v>2.375</v>
      </c>
      <c r="O51" s="383" t="str">
        <f t="shared" ca="1" si="11"/>
        <v/>
      </c>
      <c r="P51" s="384" t="str">
        <f ca="1">IF(N(O51)&gt;0,VLOOKUP(O51,Hraci!$A$1:$I$1500,2,0),IF(TYPE(INDIRECT(ADDRESS(ROW() + $A$9-8 + (ROW()-11)*4,2,1,1,"Internet")))&gt;1,INDIRECT(ADDRESS(ROW() + $A$9-8 + (ROW()-11)*4,2,1,1,"Internet"))," "))</f>
        <v xml:space="preserve"> </v>
      </c>
      <c r="Q51" s="385" t="str">
        <f ca="1">IF(N(O51)&gt;0,VLOOKUP(O51,Hraci!$A$1:$I$1500,3,0)," ")</f>
        <v xml:space="preserve"> </v>
      </c>
      <c r="R51" s="385" t="str">
        <f ca="1">IF(N(O51)&gt;0,VLOOKUP(O51,Hraci!$A$1:$I$1500,5,0),IF(TYPE(INDIRECT(ADDRESS(ROW() + $A$9-8 + (ROW()-11)*4,3,1,1,"Internet")))&gt;1,INDIRECT(ADDRESS(ROW() + $A$9-8 + (ROW()-11)*4,3,1,1,"Internet"))," "))</f>
        <v xml:space="preserve"> </v>
      </c>
      <c r="S51" s="319">
        <f ca="1">IF(N(O51)=0,9999,VLOOKUP(O51,Hraci!$A$1:$I$1500,8,0))</f>
        <v>9999</v>
      </c>
      <c r="T51" s="386">
        <f ca="1">IF(N(O51)=0,0,VLOOKUP(O51,Hraci!$A$1:$I$1500,9,0))</f>
        <v>0</v>
      </c>
      <c r="U51" s="383" t="str">
        <f t="shared" ca="1" si="12"/>
        <v/>
      </c>
      <c r="V51" s="384" t="str">
        <f ca="1">IF(N(U51)&gt;0,VLOOKUP(U51,Hraci!$A$1:$I$1500,2,0),IF(TYPE(INDIRECT(ADDRESS(ROW() + $A$9-7 + (ROW()-11)*4,2,1,1,"Internet")))&gt;1,INDIRECT(ADDRESS(ROW() + $A$9-7 + (ROW()-11)*4,2,1,1,"Internet"))," "))</f>
        <v xml:space="preserve"> </v>
      </c>
      <c r="W51" s="385" t="str">
        <f ca="1">IF(N(U51)&gt;0,VLOOKUP(U51,Hraci!$A$1:$I$1500,3,0)," ")</f>
        <v xml:space="preserve"> </v>
      </c>
      <c r="X51" s="385" t="str">
        <f ca="1">IF(N(U51)&gt;0,VLOOKUP(U51,Hraci!$A$1:$I$1500,5,0),IF(TYPE(INDIRECT(ADDRESS(ROW() + $A$9-7 + (ROW()-11)*4,3,1,1,"Internet")))&gt;1,INDIRECT(ADDRESS(ROW() + $A$9-7 + (ROW()-11)*4,3,1,1,"Internet"))," "))</f>
        <v xml:space="preserve"> </v>
      </c>
      <c r="Y51" s="319">
        <f ca="1">IF(N(U51)=0,9999,VLOOKUP(U51,Hraci!$A$1:$I$1500,8,0))</f>
        <v>9999</v>
      </c>
      <c r="Z51" s="386">
        <f ca="1">IF(N(U51)=0,0,VLOOKUP(U51,Hraci!$A$1:$I$1500,9,0))</f>
        <v>0</v>
      </c>
      <c r="AA51" s="383" t="str">
        <f t="shared" ca="1" si="13"/>
        <v/>
      </c>
      <c r="AB51" s="384" t="str">
        <f ca="1">IF(N(AA51)&gt;0,VLOOKUP(AA51,Hraci!$A$1:$I$1500,2,0)," ")</f>
        <v xml:space="preserve"> </v>
      </c>
      <c r="AC51" s="385" t="str">
        <f ca="1">IF(N(AA51)&gt;0,VLOOKUP(AA51,Hraci!$A$1:$I$1500,3,0)," ")</f>
        <v xml:space="preserve"> </v>
      </c>
      <c r="AD51" s="385" t="str">
        <f ca="1">IF(N(AA51)&gt;0,VLOOKUP(AA51,Hraci!$A$1:$I$1500,5,0)," ")</f>
        <v xml:space="preserve"> </v>
      </c>
      <c r="AE51" s="319">
        <f ca="1">IF(N(AA51)=0,9999,VLOOKUP(AA51,Hraci!$A$1:$I$1500,8,0))</f>
        <v>9999</v>
      </c>
      <c r="AF51" s="386">
        <f ca="1">IF(N(AA51)=0,0,VLOOKUP(AA51,Hraci!$A$1:$I$1500,9,0))</f>
        <v>0</v>
      </c>
      <c r="AG51" s="391"/>
      <c r="AH51" s="427">
        <f ca="1">IF(TYPE(VLOOKUP(H51,Centrum!$A$3:$E$130,5,0))&lt;4,VLOOKUP(H51,Centrum!$A$3:$E$130,5,0),0)</f>
        <v>54</v>
      </c>
      <c r="AI51" s="387">
        <f ca="1">IF(N($AH51)&gt;0,VLOOKUP($AH51,Body!$A$4:$F$259,5,0),"")</f>
        <v>11.97755859375</v>
      </c>
      <c r="AJ51" s="388">
        <f ca="1">IF(N($AH51)&gt;0,VLOOKUP($AH51,Body!$A$4:$F$259,6,0),"")</f>
        <v>0</v>
      </c>
      <c r="AK51" s="387">
        <f ca="1">IF(N($AH51)&gt;0,VLOOKUP($AH51,Body!$A$4:$F$259,2,0),"")</f>
        <v>0.3125</v>
      </c>
      <c r="AL51" s="389" t="str">
        <f t="shared" ca="1" si="19"/>
        <v>41 SKMZ Sport - Kovář Petr</v>
      </c>
      <c r="AM51" s="390">
        <f t="shared" ca="1" si="15"/>
        <v>2.375</v>
      </c>
      <c r="AN51" s="319">
        <f ca="1">IF(OR(TYPE(I51)&gt;1,TYPE(MATCH(I51,I52:I$139,0))&gt;1),0,MATCH(I51,I52:I$139,0))+IF(OR(TYPE(I51)&gt;1,TYPE(MATCH(I51,O$11:O$139,0))&gt;1),0,MATCH(I51,O$11:O$139,0))+IF(OR(TYPE(I51)&gt;1,TYPE(MATCH(I51,U$11:U$139,0))&gt;1),0,MATCH(I51,U$11:U$139,0))+IF(OR(TYPE(I51)&gt;1,TYPE(MATCH(I51,AA$11:AA$139,0))&gt;1),0,MATCH(I51,AA$11:AA$139,0))</f>
        <v>0</v>
      </c>
      <c r="AO51" s="319">
        <f ca="1">IF(OR(TYPE(O51)&gt;1,TYPE(MATCH(O51,I$11:I$139,0))&gt;1),0,MATCH(O51,I$11:I$139,0))+IF(OR(TYPE(O51)&gt;1,TYPE(MATCH(O51,O52:O$139,0))&gt;1),0,MATCH(O51,O52:O$139,0))+IF(OR(TYPE(O51)&gt;1,TYPE(MATCH(O51,U$11:U$139,0))&gt;1),0,MATCH(O51,U$11:U$139,0))+IF(OR(TYPE(O51)&gt;1,TYPE(MATCH(O51,AA$11:AA$139,0))&gt;1),0,MATCH(O51,AA$11:AA$139,0))</f>
        <v>0</v>
      </c>
      <c r="AP51" s="319">
        <f ca="1">IF(OR(TYPE(U51)&gt;1,TYPE(MATCH(U51,I$11:I$139,0))&gt;1),0,MATCH(U51,I$11:I$139,0))+IF(OR(TYPE(U51)&gt;1,TYPE(MATCH(U51,O$11:O$139,0))&gt;1),0,MATCH(U51,O$11:O$139,0))+IF(OR(TYPE(U51)&gt;1,TYPE(MATCH(U51,U52:U$139,0))&gt;1),0,MATCH(U51,U52:U$139,0))+IF(OR(TYPE(U51)&gt;1,TYPE(MATCH(U51,AA$11:AA$139,0))&gt;1),0,MATCH(U51,AA$11:AA$139,0))</f>
        <v>0</v>
      </c>
      <c r="AQ51" s="319">
        <f ca="1">IF(OR(TYPE(AA51)&gt;1,TYPE(MATCH(AA51,I$11:I$139,0))&gt;1),0,MATCH(AA51,I$11:I$139,0))+IF(OR(TYPE(AA51)&gt;1,TYPE(MATCH(AA51,O$11:O$139,0))&gt;1),0,MATCH(AA51,O$11:O$139,0))+IF(OR(TYPE(AA51)&gt;1,TYPE(MATCH(AA51,U$11:U$139,0))&gt;1),0,MATCH(U51,U$11:U$139,0))+IF(OR(TYPE(AA51)&gt;1,TYPE(MATCH(AA51,AA52:AA$139,0))&gt;1),0,MATCH(AA51,AA52:AA$139,0))</f>
        <v>0</v>
      </c>
      <c r="AR51" s="319">
        <f t="shared" ca="1" si="18"/>
        <v>0</v>
      </c>
      <c r="AT51" s="318">
        <f t="shared" ca="1" si="16"/>
        <v>0</v>
      </c>
      <c r="AU51" s="318">
        <f ca="1">IF(AND(N(I51)&gt;0,TYPE(VLOOKUP(I51,Hraci!$A$5:$A$800,1,0))&gt;3),1,0) + IF(AND(N(O51)&gt;0,TYPE(VLOOKUP(O51,Hraci!$A$5:$A$800,1,0))&gt;3),1,0) + IF(AND(N(U51)&gt;0,TYPE(VLOOKUP(U51,Hraci!$A$5:$A$800,1,0))&gt;3),1,0)</f>
        <v>0</v>
      </c>
      <c r="BF51" s="319">
        <f t="shared" si="17"/>
        <v>41</v>
      </c>
    </row>
    <row r="52" spans="1:58" ht="12.9" x14ac:dyDescent="0.45">
      <c r="A52" s="302">
        <f t="shared" ca="1" si="2"/>
        <v>1</v>
      </c>
      <c r="B52" s="302">
        <f t="shared" ca="1" si="3"/>
        <v>1</v>
      </c>
      <c r="C52" s="302">
        <f t="shared" ca="1" si="4"/>
        <v>0.68799999999999994</v>
      </c>
      <c r="D52" s="302">
        <f t="shared" ca="1" si="5"/>
        <v>20560</v>
      </c>
      <c r="E52" s="302">
        <f t="shared" ca="1" si="6"/>
        <v>562</v>
      </c>
      <c r="F52" s="343" t="str">
        <f t="shared" ca="1" si="7"/>
        <v>01000000000000000000068860</v>
      </c>
      <c r="G52" s="381" t="b">
        <f t="shared" ca="1" si="8"/>
        <v>0</v>
      </c>
      <c r="H52" s="382">
        <f t="shared" si="9"/>
        <v>42</v>
      </c>
      <c r="I52" s="383">
        <f t="shared" ca="1" si="10"/>
        <v>96216</v>
      </c>
      <c r="J52" s="384" t="str">
        <f ca="1">IF(N(I52)&gt;0,VLOOKUP(I52,Hraci!$A$1:$I$1500,2,0),IF(TYPE(INDIRECT(ADDRESS(ROW() + $A$9-9 + (ROW()-11)*4,2,1,1,"Internet")))&gt;1,INDIRECT(ADDRESS(ROW() + $A$9-9 + (ROW()-11)*4,2,1,1,"Internet"))," "))</f>
        <v>Leiský</v>
      </c>
      <c r="K52" s="385" t="str">
        <f ca="1">IF(N(I52)&gt;0,VLOOKUP(I52,Hraci!$A$1:$I$1500,3,0)," ")</f>
        <v>Leander</v>
      </c>
      <c r="L52" s="385" t="str">
        <f ca="1">IF(N(I52)&gt;0,VLOOKUP(I52,Hraci!$A$1:$I$1500,5,0),IF(TYPE(INDIRECT(ADDRESS(ROW() + $A$9-9 + (ROW()-11)*4,3,1,1,"Internet")))&gt;1,INDIRECT(ADDRESS(ROW() + $A$9-9 + (ROW()-11)*4,3,1,1,"Internet"))," "))</f>
        <v>C.T.P. Club Ořech</v>
      </c>
      <c r="M52" s="319">
        <f ca="1">IF(N(I52)=0,9999,VLOOKUP(I52,Hraci!$A$1:$I$1500,8,0))</f>
        <v>562</v>
      </c>
      <c r="N52" s="386">
        <f ca="1">IF(N(I52)=0,0,VLOOKUP(I52,Hraci!$A$1:$I$1500,9,0))</f>
        <v>0.68799999999999994</v>
      </c>
      <c r="O52" s="383" t="str">
        <f t="shared" ca="1" si="11"/>
        <v/>
      </c>
      <c r="P52" s="384" t="str">
        <f ca="1">IF(N(O52)&gt;0,VLOOKUP(O52,Hraci!$A$1:$I$1500,2,0),IF(TYPE(INDIRECT(ADDRESS(ROW() + $A$9-8 + (ROW()-11)*4,2,1,1,"Internet")))&gt;1,INDIRECT(ADDRESS(ROW() + $A$9-8 + (ROW()-11)*4,2,1,1,"Internet"))," "))</f>
        <v xml:space="preserve"> </v>
      </c>
      <c r="Q52" s="385" t="str">
        <f ca="1">IF(N(O52)&gt;0,VLOOKUP(O52,Hraci!$A$1:$I$1500,3,0)," ")</f>
        <v xml:space="preserve"> </v>
      </c>
      <c r="R52" s="385" t="str">
        <f ca="1">IF(N(O52)&gt;0,VLOOKUP(O52,Hraci!$A$1:$I$1500,5,0),IF(TYPE(INDIRECT(ADDRESS(ROW() + $A$9-8 + (ROW()-11)*4,3,1,1,"Internet")))&gt;1,INDIRECT(ADDRESS(ROW() + $A$9-8 + (ROW()-11)*4,3,1,1,"Internet"))," "))</f>
        <v xml:space="preserve"> </v>
      </c>
      <c r="S52" s="319">
        <f ca="1">IF(N(O52)=0,9999,VLOOKUP(O52,Hraci!$A$1:$I$1500,8,0))</f>
        <v>9999</v>
      </c>
      <c r="T52" s="386">
        <f ca="1">IF(N(O52)=0,0,VLOOKUP(O52,Hraci!$A$1:$I$1500,9,0))</f>
        <v>0</v>
      </c>
      <c r="U52" s="383" t="str">
        <f t="shared" ca="1" si="12"/>
        <v/>
      </c>
      <c r="V52" s="384" t="str">
        <f ca="1">IF(N(U52)&gt;0,VLOOKUP(U52,Hraci!$A$1:$I$1500,2,0),IF(TYPE(INDIRECT(ADDRESS(ROW() + $A$9-7 + (ROW()-11)*4,2,1,1,"Internet")))&gt;1,INDIRECT(ADDRESS(ROW() + $A$9-7 + (ROW()-11)*4,2,1,1,"Internet"))," "))</f>
        <v xml:space="preserve"> </v>
      </c>
      <c r="W52" s="385" t="str">
        <f ca="1">IF(N(U52)&gt;0,VLOOKUP(U52,Hraci!$A$1:$I$1500,3,0)," ")</f>
        <v xml:space="preserve"> </v>
      </c>
      <c r="X52" s="385" t="str">
        <f ca="1">IF(N(U52)&gt;0,VLOOKUP(U52,Hraci!$A$1:$I$1500,5,0),IF(TYPE(INDIRECT(ADDRESS(ROW() + $A$9-7 + (ROW()-11)*4,3,1,1,"Internet")))&gt;1,INDIRECT(ADDRESS(ROW() + $A$9-7 + (ROW()-11)*4,3,1,1,"Internet"))," "))</f>
        <v xml:space="preserve"> </v>
      </c>
      <c r="Y52" s="319">
        <f ca="1">IF(N(U52)=0,9999,VLOOKUP(U52,Hraci!$A$1:$I$1500,8,0))</f>
        <v>9999</v>
      </c>
      <c r="Z52" s="386">
        <f ca="1">IF(N(U52)=0,0,VLOOKUP(U52,Hraci!$A$1:$I$1500,9,0))</f>
        <v>0</v>
      </c>
      <c r="AA52" s="383" t="str">
        <f t="shared" ca="1" si="13"/>
        <v/>
      </c>
      <c r="AB52" s="384" t="str">
        <f ca="1">IF(N(AA52)&gt;0,VLOOKUP(AA52,Hraci!$A$1:$I$1500,2,0)," ")</f>
        <v xml:space="preserve"> </v>
      </c>
      <c r="AC52" s="385" t="str">
        <f ca="1">IF(N(AA52)&gt;0,VLOOKUP(AA52,Hraci!$A$1:$I$1500,3,0)," ")</f>
        <v xml:space="preserve"> </v>
      </c>
      <c r="AD52" s="385" t="str">
        <f ca="1">IF(N(AA52)&gt;0,VLOOKUP(AA52,Hraci!$A$1:$I$1500,5,0)," ")</f>
        <v xml:space="preserve"> </v>
      </c>
      <c r="AE52" s="319">
        <f ca="1">IF(N(AA52)=0,9999,VLOOKUP(AA52,Hraci!$A$1:$I$1500,8,0))</f>
        <v>9999</v>
      </c>
      <c r="AF52" s="386">
        <f ca="1">IF(N(AA52)=0,0,VLOOKUP(AA52,Hraci!$A$1:$I$1500,9,0))</f>
        <v>0</v>
      </c>
      <c r="AG52" s="391"/>
      <c r="AH52" s="427">
        <f ca="1">IF(TYPE(VLOOKUP(H52,Centrum!$A$3:$E$130,5,0))&lt;4,VLOOKUP(H52,Centrum!$A$3:$E$130,5,0),0)</f>
        <v>27</v>
      </c>
      <c r="AI52" s="387">
        <f ca="1">IF(N($AH52)&gt;0,VLOOKUP($AH52,Body!$A$4:$F$259,5,0),"")</f>
        <v>50.305746093749995</v>
      </c>
      <c r="AJ52" s="388">
        <f ca="1">IF(N($AH52)&gt;0,VLOOKUP($AH52,Body!$A$4:$F$259,6,0),"")</f>
        <v>0</v>
      </c>
      <c r="AK52" s="387">
        <f ca="1">IF(N($AH52)&gt;0,VLOOKUP($AH52,Body!$A$4:$F$259,2,0),"")</f>
        <v>1.3125</v>
      </c>
      <c r="AL52" s="389" t="str">
        <f t="shared" ca="1" si="19"/>
        <v>42 C.T.P. Club Ořech - Leiský Leander</v>
      </c>
      <c r="AM52" s="390">
        <f t="shared" ca="1" si="15"/>
        <v>0.68799999999999994</v>
      </c>
      <c r="AN52" s="319">
        <f ca="1">IF(OR(TYPE(I52)&gt;1,TYPE(MATCH(I52,I53:I$139,0))&gt;1),0,MATCH(I52,I53:I$139,0))+IF(OR(TYPE(I52)&gt;1,TYPE(MATCH(I52,O$11:O$139,0))&gt;1),0,MATCH(I52,O$11:O$139,0))+IF(OR(TYPE(I52)&gt;1,TYPE(MATCH(I52,U$11:U$139,0))&gt;1),0,MATCH(I52,U$11:U$139,0))+IF(OR(TYPE(I52)&gt;1,TYPE(MATCH(I52,AA$11:AA$139,0))&gt;1),0,MATCH(I52,AA$11:AA$139,0))</f>
        <v>0</v>
      </c>
      <c r="AO52" s="319">
        <f ca="1">IF(OR(TYPE(O52)&gt;1,TYPE(MATCH(O52,I$11:I$139,0))&gt;1),0,MATCH(O52,I$11:I$139,0))+IF(OR(TYPE(O52)&gt;1,TYPE(MATCH(O52,O53:O$139,0))&gt;1),0,MATCH(O52,O53:O$139,0))+IF(OR(TYPE(O52)&gt;1,TYPE(MATCH(O52,U$11:U$139,0))&gt;1),0,MATCH(O52,U$11:U$139,0))+IF(OR(TYPE(O52)&gt;1,TYPE(MATCH(O52,AA$11:AA$139,0))&gt;1),0,MATCH(O52,AA$11:AA$139,0))</f>
        <v>0</v>
      </c>
      <c r="AP52" s="319">
        <f ca="1">IF(OR(TYPE(U52)&gt;1,TYPE(MATCH(U52,I$11:I$139,0))&gt;1),0,MATCH(U52,I$11:I$139,0))+IF(OR(TYPE(U52)&gt;1,TYPE(MATCH(U52,O$11:O$139,0))&gt;1),0,MATCH(U52,O$11:O$139,0))+IF(OR(TYPE(U52)&gt;1,TYPE(MATCH(U52,U53:U$139,0))&gt;1),0,MATCH(U52,U53:U$139,0))+IF(OR(TYPE(U52)&gt;1,TYPE(MATCH(U52,AA$11:AA$139,0))&gt;1),0,MATCH(U52,AA$11:AA$139,0))</f>
        <v>0</v>
      </c>
      <c r="AQ52" s="319">
        <f ca="1">IF(OR(TYPE(AA52)&gt;1,TYPE(MATCH(AA52,I$11:I$139,0))&gt;1),0,MATCH(AA52,I$11:I$139,0))+IF(OR(TYPE(AA52)&gt;1,TYPE(MATCH(AA52,O$11:O$139,0))&gt;1),0,MATCH(AA52,O$11:O$139,0))+IF(OR(TYPE(AA52)&gt;1,TYPE(MATCH(AA52,U$11:U$139,0))&gt;1),0,MATCH(U52,U$11:U$139,0))+IF(OR(TYPE(AA52)&gt;1,TYPE(MATCH(AA52,AA53:AA$139,0))&gt;1),0,MATCH(AA52,AA53:AA$139,0))</f>
        <v>0</v>
      </c>
      <c r="AR52" s="319">
        <f t="shared" ca="1" si="18"/>
        <v>0</v>
      </c>
      <c r="AT52" s="318">
        <f t="shared" ca="1" si="16"/>
        <v>0</v>
      </c>
      <c r="AU52" s="318">
        <f ca="1">IF(AND(N(I52)&gt;0,TYPE(VLOOKUP(I52,Hraci!$A$5:$A$800,1,0))&gt;3),1,0) + IF(AND(N(O52)&gt;0,TYPE(VLOOKUP(O52,Hraci!$A$5:$A$800,1,0))&gt;3),1,0) + IF(AND(N(U52)&gt;0,TYPE(VLOOKUP(U52,Hraci!$A$5:$A$800,1,0))&gt;3),1,0)</f>
        <v>0</v>
      </c>
      <c r="BF52" s="319">
        <f t="shared" si="17"/>
        <v>42</v>
      </c>
    </row>
    <row r="53" spans="1:58" ht="12.9" x14ac:dyDescent="0.45">
      <c r="A53" s="302">
        <f t="shared" ca="1" si="2"/>
        <v>1</v>
      </c>
      <c r="B53" s="302">
        <f t="shared" ca="1" si="3"/>
        <v>1</v>
      </c>
      <c r="C53" s="302">
        <f t="shared" ca="1" si="4"/>
        <v>0</v>
      </c>
      <c r="D53" s="302">
        <f t="shared" ca="1" si="5"/>
        <v>29997</v>
      </c>
      <c r="E53" s="302">
        <f t="shared" ca="1" si="6"/>
        <v>9999</v>
      </c>
      <c r="F53" s="343" t="str">
        <f t="shared" ca="1" si="7"/>
        <v>01000000000000000000278967</v>
      </c>
      <c r="G53" s="381" t="b">
        <f t="shared" ca="1" si="8"/>
        <v>0</v>
      </c>
      <c r="H53" s="382">
        <f t="shared" si="9"/>
        <v>43</v>
      </c>
      <c r="I53" s="383" t="str">
        <f t="shared" ca="1" si="10"/>
        <v/>
      </c>
      <c r="J53" s="384" t="str">
        <f ca="1">IF(N(I53)&gt;0,VLOOKUP(I53,Hraci!$A$1:$I$1500,2,0),IF(TYPE(INDIRECT(ADDRESS(ROW() + $A$9-9 + (ROW()-11)*4,2,1,1,"Internet")))&gt;1,INDIRECT(ADDRESS(ROW() + $A$9-9 + (ROW()-11)*4,2,1,1,"Internet"))," "))</f>
        <v>Mika, Dánsko</v>
      </c>
      <c r="K53" s="385" t="str">
        <f ca="1">IF(N(I53)&gt;0,VLOOKUP(I53,Hraci!$A$1:$I$1500,3,0)," ")</f>
        <v xml:space="preserve"> </v>
      </c>
      <c r="L53" s="385" t="str">
        <f ca="1">IF(N(I53)&gt;0,VLOOKUP(I53,Hraci!$A$1:$I$1500,5,0),IF(TYPE(INDIRECT(ADDRESS(ROW() + $A$9-9 + (ROW()-11)*4,3,1,1,"Internet")))&gt;1,INDIRECT(ADDRESS(ROW() + $A$9-9 + (ROW()-11)*4,3,1,1,"Internet"))," "))</f>
        <v xml:space="preserve"> </v>
      </c>
      <c r="M53" s="319">
        <f ca="1">IF(N(I53)=0,9999,VLOOKUP(I53,Hraci!$A$1:$I$1500,8,0))</f>
        <v>9999</v>
      </c>
      <c r="N53" s="386">
        <f ca="1">IF(N(I53)=0,0,VLOOKUP(I53,Hraci!$A$1:$I$1500,9,0))</f>
        <v>0</v>
      </c>
      <c r="O53" s="383" t="str">
        <f t="shared" ca="1" si="11"/>
        <v/>
      </c>
      <c r="P53" s="384" t="str">
        <f ca="1">IF(N(O53)&gt;0,VLOOKUP(O53,Hraci!$A$1:$I$1500,2,0),IF(TYPE(INDIRECT(ADDRESS(ROW() + $A$9-8 + (ROW()-11)*4,2,1,1,"Internet")))&gt;1,INDIRECT(ADDRESS(ROW() + $A$9-8 + (ROW()-11)*4,2,1,1,"Internet"))," "))</f>
        <v xml:space="preserve"> </v>
      </c>
      <c r="Q53" s="385" t="str">
        <f ca="1">IF(N(O53)&gt;0,VLOOKUP(O53,Hraci!$A$1:$I$1500,3,0)," ")</f>
        <v xml:space="preserve"> </v>
      </c>
      <c r="R53" s="385" t="str">
        <f ca="1">IF(N(O53)&gt;0,VLOOKUP(O53,Hraci!$A$1:$I$1500,5,0),IF(TYPE(INDIRECT(ADDRESS(ROW() + $A$9-8 + (ROW()-11)*4,3,1,1,"Internet")))&gt;1,INDIRECT(ADDRESS(ROW() + $A$9-8 + (ROW()-11)*4,3,1,1,"Internet"))," "))</f>
        <v xml:space="preserve"> </v>
      </c>
      <c r="S53" s="319">
        <f ca="1">IF(N(O53)=0,9999,VLOOKUP(O53,Hraci!$A$1:$I$1500,8,0))</f>
        <v>9999</v>
      </c>
      <c r="T53" s="386">
        <f ca="1">IF(N(O53)=0,0,VLOOKUP(O53,Hraci!$A$1:$I$1500,9,0))</f>
        <v>0</v>
      </c>
      <c r="U53" s="383" t="str">
        <f t="shared" ca="1" si="12"/>
        <v/>
      </c>
      <c r="V53" s="384" t="str">
        <f ca="1">IF(N(U53)&gt;0,VLOOKUP(U53,Hraci!$A$1:$I$1500,2,0),IF(TYPE(INDIRECT(ADDRESS(ROW() + $A$9-7 + (ROW()-11)*4,2,1,1,"Internet")))&gt;1,INDIRECT(ADDRESS(ROW() + $A$9-7 + (ROW()-11)*4,2,1,1,"Internet"))," "))</f>
        <v xml:space="preserve"> </v>
      </c>
      <c r="W53" s="385" t="str">
        <f ca="1">IF(N(U53)&gt;0,VLOOKUP(U53,Hraci!$A$1:$I$1500,3,0)," ")</f>
        <v xml:space="preserve"> </v>
      </c>
      <c r="X53" s="385" t="str">
        <f ca="1">IF(N(U53)&gt;0,VLOOKUP(U53,Hraci!$A$1:$I$1500,5,0),IF(TYPE(INDIRECT(ADDRESS(ROW() + $A$9-7 + (ROW()-11)*4,3,1,1,"Internet")))&gt;1,INDIRECT(ADDRESS(ROW() + $A$9-7 + (ROW()-11)*4,3,1,1,"Internet"))," "))</f>
        <v xml:space="preserve"> </v>
      </c>
      <c r="Y53" s="319">
        <f ca="1">IF(N(U53)=0,9999,VLOOKUP(U53,Hraci!$A$1:$I$1500,8,0))</f>
        <v>9999</v>
      </c>
      <c r="Z53" s="386">
        <f ca="1">IF(N(U53)=0,0,VLOOKUP(U53,Hraci!$A$1:$I$1500,9,0))</f>
        <v>0</v>
      </c>
      <c r="AA53" s="383" t="str">
        <f t="shared" ca="1" si="13"/>
        <v/>
      </c>
      <c r="AB53" s="384" t="str">
        <f ca="1">IF(N(AA53)&gt;0,VLOOKUP(AA53,Hraci!$A$1:$I$1500,2,0)," ")</f>
        <v xml:space="preserve"> </v>
      </c>
      <c r="AC53" s="385" t="str">
        <f ca="1">IF(N(AA53)&gt;0,VLOOKUP(AA53,Hraci!$A$1:$I$1500,3,0)," ")</f>
        <v xml:space="preserve"> </v>
      </c>
      <c r="AD53" s="385" t="str">
        <f ca="1">IF(N(AA53)&gt;0,VLOOKUP(AA53,Hraci!$A$1:$I$1500,5,0)," ")</f>
        <v xml:space="preserve"> </v>
      </c>
      <c r="AE53" s="319">
        <f ca="1">IF(N(AA53)=0,9999,VLOOKUP(AA53,Hraci!$A$1:$I$1500,8,0))</f>
        <v>9999</v>
      </c>
      <c r="AF53" s="386">
        <f ca="1">IF(N(AA53)=0,0,VLOOKUP(AA53,Hraci!$A$1:$I$1500,9,0))</f>
        <v>0</v>
      </c>
      <c r="AG53" s="391"/>
      <c r="AH53" s="427">
        <f ca="1">IF(TYPE(VLOOKUP(H53,Centrum!$A$3:$E$130,5,0))&lt;4,VLOOKUP(H53,Centrum!$A$3:$E$130,5,0),0)</f>
        <v>56</v>
      </c>
      <c r="AI53" s="387">
        <f ca="1">IF(N($AH53)&gt;0,VLOOKUP($AH53,Body!$A$4:$F$259,5,0),"")</f>
        <v>9.5820468749999996</v>
      </c>
      <c r="AJ53" s="388">
        <f ca="1">IF(N($AH53)&gt;0,VLOOKUP($AH53,Body!$A$4:$F$259,6,0),"")</f>
        <v>0</v>
      </c>
      <c r="AK53" s="387">
        <f ca="1">IF(N($AH53)&gt;0,VLOOKUP($AH53,Body!$A$4:$F$259,2,0),"")</f>
        <v>0.25</v>
      </c>
      <c r="AL53" s="389" t="str">
        <f t="shared" ca="1" si="19"/>
        <v xml:space="preserve">43   - Mika, Dánsko  </v>
      </c>
      <c r="AM53" s="390">
        <f t="shared" ca="1" si="15"/>
        <v>0</v>
      </c>
      <c r="AN53" s="319">
        <f ca="1">IF(OR(TYPE(I53)&gt;1,TYPE(MATCH(I53,I54:I$139,0))&gt;1),0,MATCH(I53,I54:I$139,0))+IF(OR(TYPE(I53)&gt;1,TYPE(MATCH(I53,O$11:O$139,0))&gt;1),0,MATCH(I53,O$11:O$139,0))+IF(OR(TYPE(I53)&gt;1,TYPE(MATCH(I53,U$11:U$139,0))&gt;1),0,MATCH(I53,U$11:U$139,0))+IF(OR(TYPE(I53)&gt;1,TYPE(MATCH(I53,AA$11:AA$139,0))&gt;1),0,MATCH(I53,AA$11:AA$139,0))</f>
        <v>0</v>
      </c>
      <c r="AO53" s="319">
        <f ca="1">IF(OR(TYPE(O53)&gt;1,TYPE(MATCH(O53,I$11:I$139,0))&gt;1),0,MATCH(O53,I$11:I$139,0))+IF(OR(TYPE(O53)&gt;1,TYPE(MATCH(O53,O54:O$139,0))&gt;1),0,MATCH(O53,O54:O$139,0))+IF(OR(TYPE(O53)&gt;1,TYPE(MATCH(O53,U$11:U$139,0))&gt;1),0,MATCH(O53,U$11:U$139,0))+IF(OR(TYPE(O53)&gt;1,TYPE(MATCH(O53,AA$11:AA$139,0))&gt;1),0,MATCH(O53,AA$11:AA$139,0))</f>
        <v>0</v>
      </c>
      <c r="AP53" s="319">
        <f ca="1">IF(OR(TYPE(U53)&gt;1,TYPE(MATCH(U53,I$11:I$139,0))&gt;1),0,MATCH(U53,I$11:I$139,0))+IF(OR(TYPE(U53)&gt;1,TYPE(MATCH(U53,O$11:O$139,0))&gt;1),0,MATCH(U53,O$11:O$139,0))+IF(OR(TYPE(U53)&gt;1,TYPE(MATCH(U53,U54:U$139,0))&gt;1),0,MATCH(U53,U54:U$139,0))+IF(OR(TYPE(U53)&gt;1,TYPE(MATCH(U53,AA$11:AA$139,0))&gt;1),0,MATCH(U53,AA$11:AA$139,0))</f>
        <v>0</v>
      </c>
      <c r="AQ53" s="319">
        <f ca="1">IF(OR(TYPE(AA53)&gt;1,TYPE(MATCH(AA53,I$11:I$139,0))&gt;1),0,MATCH(AA53,I$11:I$139,0))+IF(OR(TYPE(AA53)&gt;1,TYPE(MATCH(AA53,O$11:O$139,0))&gt;1),0,MATCH(AA53,O$11:O$139,0))+IF(OR(TYPE(AA53)&gt;1,TYPE(MATCH(AA53,U$11:U$139,0))&gt;1),0,MATCH(U53,U$11:U$139,0))+IF(OR(TYPE(AA53)&gt;1,TYPE(MATCH(AA53,AA54:AA$139,0))&gt;1),0,MATCH(AA53,AA54:AA$139,0))</f>
        <v>0</v>
      </c>
      <c r="AR53" s="319">
        <f t="shared" ca="1" si="18"/>
        <v>0</v>
      </c>
      <c r="AT53" s="318">
        <f t="shared" ca="1" si="16"/>
        <v>0</v>
      </c>
      <c r="AU53" s="318">
        <f ca="1">IF(AND(N(I53)&gt;0,TYPE(VLOOKUP(I53,Hraci!$A$5:$A$800,1,0))&gt;3),1,0) + IF(AND(N(O53)&gt;0,TYPE(VLOOKUP(O53,Hraci!$A$5:$A$800,1,0))&gt;3),1,0) + IF(AND(N(U53)&gt;0,TYPE(VLOOKUP(U53,Hraci!$A$5:$A$800,1,0))&gt;3),1,0)</f>
        <v>0</v>
      </c>
      <c r="BF53" s="319">
        <f t="shared" si="17"/>
        <v>43</v>
      </c>
    </row>
    <row r="54" spans="1:58" ht="12.9" x14ac:dyDescent="0.45">
      <c r="A54" s="302">
        <f t="shared" ca="1" si="2"/>
        <v>1</v>
      </c>
      <c r="B54" s="302">
        <f t="shared" ca="1" si="3"/>
        <v>1</v>
      </c>
      <c r="C54" s="302">
        <f t="shared" ca="1" si="4"/>
        <v>0</v>
      </c>
      <c r="D54" s="319">
        <f t="shared" ca="1" si="5"/>
        <v>29997</v>
      </c>
      <c r="E54" s="302">
        <f t="shared" ca="1" si="6"/>
        <v>9999</v>
      </c>
      <c r="F54" s="343" t="str">
        <f t="shared" ca="1" si="7"/>
        <v>01000000000000000000385863</v>
      </c>
      <c r="G54" s="381" t="b">
        <f t="shared" ca="1" si="8"/>
        <v>0</v>
      </c>
      <c r="H54" s="382">
        <f t="shared" si="9"/>
        <v>44</v>
      </c>
      <c r="I54" s="383" t="str">
        <f t="shared" ca="1" si="10"/>
        <v/>
      </c>
      <c r="J54" s="384" t="str">
        <f ca="1">IF(N(I54)&gt;0,VLOOKUP(I54,Hraci!$A$1:$I$1500,2,0),IF(TYPE(INDIRECT(ADDRESS(ROW() + $A$9-9 + (ROW()-11)*4,2,1,1,"Internet")))&gt;1,INDIRECT(ADDRESS(ROW() + $A$9-9 + (ROW()-11)*4,2,1,1,"Internet"))," "))</f>
        <v>michael dánsko</v>
      </c>
      <c r="K54" s="385" t="str">
        <f ca="1">IF(N(I54)&gt;0,VLOOKUP(I54,Hraci!$A$1:$I$1500,3,0)," ")</f>
        <v xml:space="preserve"> </v>
      </c>
      <c r="L54" s="385" t="str">
        <f ca="1">IF(N(I54)&gt;0,VLOOKUP(I54,Hraci!$A$1:$I$1500,5,0),IF(TYPE(INDIRECT(ADDRESS(ROW() + $A$9-9 + (ROW()-11)*4,3,1,1,"Internet")))&gt;1,INDIRECT(ADDRESS(ROW() + $A$9-9 + (ROW()-11)*4,3,1,1,"Internet"))," "))</f>
        <v xml:space="preserve"> </v>
      </c>
      <c r="M54" s="319">
        <f ca="1">IF(N(I54)=0,9999,VLOOKUP(I54,Hraci!$A$1:$I$1500,8,0))</f>
        <v>9999</v>
      </c>
      <c r="N54" s="386">
        <f ca="1">IF(N(I54)=0,0,VLOOKUP(I54,Hraci!$A$1:$I$1500,9,0))</f>
        <v>0</v>
      </c>
      <c r="O54" s="383" t="str">
        <f t="shared" ca="1" si="11"/>
        <v/>
      </c>
      <c r="P54" s="384" t="str">
        <f ca="1">IF(N(O54)&gt;0,VLOOKUP(O54,Hraci!$A$1:$I$1500,2,0),IF(TYPE(INDIRECT(ADDRESS(ROW() + $A$9-8 + (ROW()-11)*4,2,1,1,"Internet")))&gt;1,INDIRECT(ADDRESS(ROW() + $A$9-8 + (ROW()-11)*4,2,1,1,"Internet"))," "))</f>
        <v xml:space="preserve"> </v>
      </c>
      <c r="Q54" s="385" t="str">
        <f ca="1">IF(N(O54)&gt;0,VLOOKUP(O54,Hraci!$A$1:$I$1500,3,0)," ")</f>
        <v xml:space="preserve"> </v>
      </c>
      <c r="R54" s="385" t="str">
        <f ca="1">IF(N(O54)&gt;0,VLOOKUP(O54,Hraci!$A$1:$I$1500,5,0),IF(TYPE(INDIRECT(ADDRESS(ROW() + $A$9-8 + (ROW()-11)*4,3,1,1,"Internet")))&gt;1,INDIRECT(ADDRESS(ROW() + $A$9-8 + (ROW()-11)*4,3,1,1,"Internet"))," "))</f>
        <v xml:space="preserve"> </v>
      </c>
      <c r="S54" s="319">
        <f ca="1">IF(N(O54)=0,9999,VLOOKUP(O54,Hraci!$A$1:$I$1500,8,0))</f>
        <v>9999</v>
      </c>
      <c r="T54" s="386">
        <f ca="1">IF(N(O54)=0,0,VLOOKUP(O54,Hraci!$A$1:$I$1500,9,0))</f>
        <v>0</v>
      </c>
      <c r="U54" s="383" t="str">
        <f t="shared" ca="1" si="12"/>
        <v/>
      </c>
      <c r="V54" s="384" t="str">
        <f ca="1">IF(N(U54)&gt;0,VLOOKUP(U54,Hraci!$A$1:$I$1500,2,0),IF(TYPE(INDIRECT(ADDRESS(ROW() + $A$9-7 + (ROW()-11)*4,2,1,1,"Internet")))&gt;1,INDIRECT(ADDRESS(ROW() + $A$9-7 + (ROW()-11)*4,2,1,1,"Internet"))," "))</f>
        <v xml:space="preserve"> </v>
      </c>
      <c r="W54" s="385" t="str">
        <f ca="1">IF(N(U54)&gt;0,VLOOKUP(U54,Hraci!$A$1:$I$1500,3,0)," ")</f>
        <v xml:space="preserve"> </v>
      </c>
      <c r="X54" s="385" t="str">
        <f ca="1">IF(N(U54)&gt;0,VLOOKUP(U54,Hraci!$A$1:$I$1500,5,0),IF(TYPE(INDIRECT(ADDRESS(ROW() + $A$9-7 + (ROW()-11)*4,3,1,1,"Internet")))&gt;1,INDIRECT(ADDRESS(ROW() + $A$9-7 + (ROW()-11)*4,3,1,1,"Internet"))," "))</f>
        <v xml:space="preserve"> </v>
      </c>
      <c r="Y54" s="319">
        <f ca="1">IF(N(U54)=0,9999,VLOOKUP(U54,Hraci!$A$1:$I$1500,8,0))</f>
        <v>9999</v>
      </c>
      <c r="Z54" s="386">
        <f ca="1">IF(N(U54)=0,0,VLOOKUP(U54,Hraci!$A$1:$I$1500,9,0))</f>
        <v>0</v>
      </c>
      <c r="AA54" s="383" t="str">
        <f t="shared" ca="1" si="13"/>
        <v/>
      </c>
      <c r="AB54" s="384" t="str">
        <f ca="1">IF(N(AA54)&gt;0,VLOOKUP(AA54,Hraci!$A$1:$I$1500,2,0)," ")</f>
        <v xml:space="preserve"> </v>
      </c>
      <c r="AC54" s="385" t="str">
        <f ca="1">IF(N(AA54)&gt;0,VLOOKUP(AA54,Hraci!$A$1:$I$1500,3,0)," ")</f>
        <v xml:space="preserve"> </v>
      </c>
      <c r="AD54" s="385" t="str">
        <f ca="1">IF(N(AA54)&gt;0,VLOOKUP(AA54,Hraci!$A$1:$I$1500,5,0)," ")</f>
        <v xml:space="preserve"> </v>
      </c>
      <c r="AE54" s="319">
        <f ca="1">IF(N(AA54)=0,9999,VLOOKUP(AA54,Hraci!$A$1:$I$1500,8,0))</f>
        <v>9999</v>
      </c>
      <c r="AF54" s="386">
        <f ca="1">IF(N(AA54)=0,0,VLOOKUP(AA54,Hraci!$A$1:$I$1500,9,0))</f>
        <v>0</v>
      </c>
      <c r="AG54" s="391"/>
      <c r="AH54" s="427">
        <f ca="1">IF(TYPE(VLOOKUP(H54,Centrum!$A$3:$E$130,5,0))&lt;4,VLOOKUP(H54,Centrum!$A$3:$E$130,5,0),0)</f>
        <v>16</v>
      </c>
      <c r="AI54" s="387">
        <f ca="1">IF(N($AH54)&gt;0,VLOOKUP($AH54,Body!$A$4:$F$259,5,0),"")</f>
        <v>76.656374999999997</v>
      </c>
      <c r="AJ54" s="388">
        <f ca="1">IF(N($AH54)&gt;0,VLOOKUP($AH54,Body!$A$4:$F$259,6,0),"")</f>
        <v>0</v>
      </c>
      <c r="AK54" s="387">
        <f ca="1">IF(N($AH54)&gt;0,VLOOKUP($AH54,Body!$A$4:$F$259,2,0),"")</f>
        <v>2</v>
      </c>
      <c r="AL54" s="389" t="str">
        <f t="shared" ca="1" si="19"/>
        <v xml:space="preserve">44   - michael dánsko  </v>
      </c>
      <c r="AM54" s="390">
        <f t="shared" ca="1" si="15"/>
        <v>0</v>
      </c>
      <c r="AN54" s="319">
        <f ca="1">IF(OR(TYPE(I54)&gt;1,TYPE(MATCH(I54,I55:I$139,0))&gt;1),0,MATCH(I54,I55:I$139,0))+IF(OR(TYPE(I54)&gt;1,TYPE(MATCH(I54,O$11:O$139,0))&gt;1),0,MATCH(I54,O$11:O$139,0))+IF(OR(TYPE(I54)&gt;1,TYPE(MATCH(I54,U$11:U$139,0))&gt;1),0,MATCH(I54,U$11:U$139,0))+IF(OR(TYPE(I54)&gt;1,TYPE(MATCH(I54,AA$11:AA$139,0))&gt;1),0,MATCH(I54,AA$11:AA$139,0))</f>
        <v>0</v>
      </c>
      <c r="AO54" s="319">
        <f ca="1">IF(OR(TYPE(O54)&gt;1,TYPE(MATCH(O54,I$11:I$139,0))&gt;1),0,MATCH(O54,I$11:I$139,0))+IF(OR(TYPE(O54)&gt;1,TYPE(MATCH(O54,O55:O$139,0))&gt;1),0,MATCH(O54,O55:O$139,0))+IF(OR(TYPE(O54)&gt;1,TYPE(MATCH(O54,U$11:U$139,0))&gt;1),0,MATCH(O54,U$11:U$139,0))+IF(OR(TYPE(O54)&gt;1,TYPE(MATCH(O54,AA$11:AA$139,0))&gt;1),0,MATCH(O54,AA$11:AA$139,0))</f>
        <v>0</v>
      </c>
      <c r="AP54" s="319">
        <f ca="1">IF(OR(TYPE(U54)&gt;1,TYPE(MATCH(U54,I$11:I$139,0))&gt;1),0,MATCH(U54,I$11:I$139,0))+IF(OR(TYPE(U54)&gt;1,TYPE(MATCH(U54,O$11:O$139,0))&gt;1),0,MATCH(U54,O$11:O$139,0))+IF(OR(TYPE(U54)&gt;1,TYPE(MATCH(U54,U55:U$139,0))&gt;1),0,MATCH(U54,U55:U$139,0))+IF(OR(TYPE(U54)&gt;1,TYPE(MATCH(U54,AA$11:AA$139,0))&gt;1),0,MATCH(U54,AA$11:AA$139,0))</f>
        <v>0</v>
      </c>
      <c r="AQ54" s="319">
        <f ca="1">IF(OR(TYPE(AA54)&gt;1,TYPE(MATCH(AA54,I$11:I$139,0))&gt;1),0,MATCH(AA54,I$11:I$139,0))+IF(OR(TYPE(AA54)&gt;1,TYPE(MATCH(AA54,O$11:O$139,0))&gt;1),0,MATCH(AA54,O$11:O$139,0))+IF(OR(TYPE(AA54)&gt;1,TYPE(MATCH(AA54,U$11:U$139,0))&gt;1),0,MATCH(U54,U$11:U$139,0))+IF(OR(TYPE(AA54)&gt;1,TYPE(MATCH(AA54,AA55:AA$139,0))&gt;1),0,MATCH(AA54,AA55:AA$139,0))</f>
        <v>0</v>
      </c>
      <c r="AR54" s="319">
        <f t="shared" ca="1" si="18"/>
        <v>0</v>
      </c>
      <c r="AT54" s="318">
        <f t="shared" ca="1" si="16"/>
        <v>0</v>
      </c>
      <c r="AU54" s="318">
        <f ca="1">IF(AND(N(I54)&gt;0,TYPE(VLOOKUP(I54,Hraci!$A$5:$A$800,1,0))&gt;3),1,0) + IF(AND(N(O54)&gt;0,TYPE(VLOOKUP(O54,Hraci!$A$5:$A$800,1,0))&gt;3),1,0) + IF(AND(N(U54)&gt;0,TYPE(VLOOKUP(U54,Hraci!$A$5:$A$800,1,0))&gt;3),1,0)</f>
        <v>0</v>
      </c>
      <c r="BF54" s="319">
        <f t="shared" si="17"/>
        <v>44</v>
      </c>
    </row>
    <row r="55" spans="1:58" ht="12.9" x14ac:dyDescent="0.45">
      <c r="A55" s="302">
        <f t="shared" ca="1" si="2"/>
        <v>1</v>
      </c>
      <c r="B55" s="302">
        <f t="shared" ca="1" si="3"/>
        <v>1</v>
      </c>
      <c r="C55" s="302">
        <f t="shared" ca="1" si="4"/>
        <v>0</v>
      </c>
      <c r="D55" s="302">
        <f t="shared" ca="1" si="5"/>
        <v>29997</v>
      </c>
      <c r="E55" s="302">
        <f t="shared" ca="1" si="6"/>
        <v>9999</v>
      </c>
      <c r="F55" s="343" t="str">
        <f t="shared" ca="1" si="7"/>
        <v>01000000000000000000105048</v>
      </c>
      <c r="G55" s="381" t="b">
        <f t="shared" ca="1" si="8"/>
        <v>0</v>
      </c>
      <c r="H55" s="382">
        <f t="shared" si="9"/>
        <v>45</v>
      </c>
      <c r="I55" s="383" t="str">
        <f t="shared" ca="1" si="10"/>
        <v/>
      </c>
      <c r="J55" s="384" t="str">
        <f ca="1">IF(N(I55)&gt;0,VLOOKUP(I55,Hraci!$A$1:$I$1500,2,0),IF(TYPE(INDIRECT(ADDRESS(ROW() + $A$9-9 + (ROW()-11)*4,2,1,1,"Internet")))&gt;1,INDIRECT(ADDRESS(ROW() + $A$9-9 + (ROW()-11)*4,2,1,1,"Internet"))," "))</f>
        <v>kim, Dánsko</v>
      </c>
      <c r="K55" s="385" t="str">
        <f ca="1">IF(N(I55)&gt;0,VLOOKUP(I55,Hraci!$A$1:$I$1500,3,0)," ")</f>
        <v xml:space="preserve"> </v>
      </c>
      <c r="L55" s="385" t="str">
        <f ca="1">IF(N(I55)&gt;0,VLOOKUP(I55,Hraci!$A$1:$I$1500,5,0),IF(TYPE(INDIRECT(ADDRESS(ROW() + $A$9-9 + (ROW()-11)*4,3,1,1,"Internet")))&gt;1,INDIRECT(ADDRESS(ROW() + $A$9-9 + (ROW()-11)*4,3,1,1,"Internet"))," "))</f>
        <v xml:space="preserve"> </v>
      </c>
      <c r="M55" s="319">
        <f ca="1">IF(N(I55)=0,9999,VLOOKUP(I55,Hraci!$A$1:$I$1500,8,0))</f>
        <v>9999</v>
      </c>
      <c r="N55" s="386">
        <f ca="1">IF(N(I55)=0,0,VLOOKUP(I55,Hraci!$A$1:$I$1500,9,0))</f>
        <v>0</v>
      </c>
      <c r="O55" s="383" t="str">
        <f t="shared" ca="1" si="11"/>
        <v/>
      </c>
      <c r="P55" s="384" t="str">
        <f ca="1">IF(N(O55)&gt;0,VLOOKUP(O55,Hraci!$A$1:$I$1500,2,0),IF(TYPE(INDIRECT(ADDRESS(ROW() + $A$9-8 + (ROW()-11)*4,2,1,1,"Internet")))&gt;1,INDIRECT(ADDRESS(ROW() + $A$9-8 + (ROW()-11)*4,2,1,1,"Internet"))," "))</f>
        <v xml:space="preserve"> </v>
      </c>
      <c r="Q55" s="385" t="str">
        <f ca="1">IF(N(O55)&gt;0,VLOOKUP(O55,Hraci!$A$1:$I$1500,3,0)," ")</f>
        <v xml:space="preserve"> </v>
      </c>
      <c r="R55" s="385" t="str">
        <f ca="1">IF(N(O55)&gt;0,VLOOKUP(O55,Hraci!$A$1:$I$1500,5,0),IF(TYPE(INDIRECT(ADDRESS(ROW() + $A$9-8 + (ROW()-11)*4,3,1,1,"Internet")))&gt;1,INDIRECT(ADDRESS(ROW() + $A$9-8 + (ROW()-11)*4,3,1,1,"Internet"))," "))</f>
        <v xml:space="preserve"> </v>
      </c>
      <c r="S55" s="319">
        <f ca="1">IF(N(O55)=0,9999,VLOOKUP(O55,Hraci!$A$1:$I$1500,8,0))</f>
        <v>9999</v>
      </c>
      <c r="T55" s="386">
        <f ca="1">IF(N(O55)=0,0,VLOOKUP(O55,Hraci!$A$1:$I$1500,9,0))</f>
        <v>0</v>
      </c>
      <c r="U55" s="383" t="str">
        <f t="shared" ca="1" si="12"/>
        <v/>
      </c>
      <c r="V55" s="384" t="str">
        <f ca="1">IF(N(U55)&gt;0,VLOOKUP(U55,Hraci!$A$1:$I$1500,2,0),IF(TYPE(INDIRECT(ADDRESS(ROW() + $A$9-7 + (ROW()-11)*4,2,1,1,"Internet")))&gt;1,INDIRECT(ADDRESS(ROW() + $A$9-7 + (ROW()-11)*4,2,1,1,"Internet"))," "))</f>
        <v xml:space="preserve"> </v>
      </c>
      <c r="W55" s="385" t="str">
        <f ca="1">IF(N(U55)&gt;0,VLOOKUP(U55,Hraci!$A$1:$I$1500,3,0)," ")</f>
        <v xml:space="preserve"> </v>
      </c>
      <c r="X55" s="385" t="str">
        <f ca="1">IF(N(U55)&gt;0,VLOOKUP(U55,Hraci!$A$1:$I$1500,5,0),IF(TYPE(INDIRECT(ADDRESS(ROW() + $A$9-7 + (ROW()-11)*4,3,1,1,"Internet")))&gt;1,INDIRECT(ADDRESS(ROW() + $A$9-7 + (ROW()-11)*4,3,1,1,"Internet"))," "))</f>
        <v xml:space="preserve"> </v>
      </c>
      <c r="Y55" s="319">
        <f ca="1">IF(N(U55)=0,9999,VLOOKUP(U55,Hraci!$A$1:$I$1500,8,0))</f>
        <v>9999</v>
      </c>
      <c r="Z55" s="386">
        <f ca="1">IF(N(U55)=0,0,VLOOKUP(U55,Hraci!$A$1:$I$1500,9,0))</f>
        <v>0</v>
      </c>
      <c r="AA55" s="383" t="str">
        <f t="shared" ca="1" si="13"/>
        <v/>
      </c>
      <c r="AB55" s="384" t="str">
        <f ca="1">IF(N(AA55)&gt;0,VLOOKUP(AA55,Hraci!$A$1:$I$1500,2,0)," ")</f>
        <v xml:space="preserve"> </v>
      </c>
      <c r="AC55" s="385" t="str">
        <f ca="1">IF(N(AA55)&gt;0,VLOOKUP(AA55,Hraci!$A$1:$I$1500,3,0)," ")</f>
        <v xml:space="preserve"> </v>
      </c>
      <c r="AD55" s="385" t="str">
        <f ca="1">IF(N(AA55)&gt;0,VLOOKUP(AA55,Hraci!$A$1:$I$1500,5,0)," ")</f>
        <v xml:space="preserve"> </v>
      </c>
      <c r="AE55" s="319">
        <f ca="1">IF(N(AA55)=0,9999,VLOOKUP(AA55,Hraci!$A$1:$I$1500,8,0))</f>
        <v>9999</v>
      </c>
      <c r="AF55" s="386">
        <f ca="1">IF(N(AA55)=0,0,VLOOKUP(AA55,Hraci!$A$1:$I$1500,9,0))</f>
        <v>0</v>
      </c>
      <c r="AG55" s="391"/>
      <c r="AH55" s="427">
        <f ca="1">IF(TYPE(VLOOKUP(H55,Centrum!$A$3:$E$130,5,0))&lt;4,VLOOKUP(H55,Centrum!$A$3:$E$130,5,0),0)</f>
        <v>36</v>
      </c>
      <c r="AI55" s="387">
        <f ca="1">IF(N($AH55)&gt;0,VLOOKUP($AH55,Body!$A$4:$F$259,5,0),"")</f>
        <v>33.537164062499997</v>
      </c>
      <c r="AJ55" s="388">
        <f ca="1">IF(N($AH55)&gt;0,VLOOKUP($AH55,Body!$A$4:$F$259,6,0),"")</f>
        <v>0</v>
      </c>
      <c r="AK55" s="387">
        <f ca="1">IF(N($AH55)&gt;0,VLOOKUP($AH55,Body!$A$4:$F$259,2,0),"")</f>
        <v>0.875</v>
      </c>
      <c r="AL55" s="389" t="str">
        <f t="shared" ca="1" si="19"/>
        <v xml:space="preserve">45   - kim, Dánsko  </v>
      </c>
      <c r="AM55" s="390">
        <f t="shared" ca="1" si="15"/>
        <v>0</v>
      </c>
      <c r="AN55" s="319">
        <f ca="1">IF(OR(TYPE(I55)&gt;1,TYPE(MATCH(I55,I56:I$139,0))&gt;1),0,MATCH(I55,I56:I$139,0))+IF(OR(TYPE(I55)&gt;1,TYPE(MATCH(I55,O$11:O$139,0))&gt;1),0,MATCH(I55,O$11:O$139,0))+IF(OR(TYPE(I55)&gt;1,TYPE(MATCH(I55,U$11:U$139,0))&gt;1),0,MATCH(I55,U$11:U$139,0))+IF(OR(TYPE(I55)&gt;1,TYPE(MATCH(I55,AA$11:AA$139,0))&gt;1),0,MATCH(I55,AA$11:AA$139,0))</f>
        <v>0</v>
      </c>
      <c r="AO55" s="319">
        <f ca="1">IF(OR(TYPE(O55)&gt;1,TYPE(MATCH(O55,I$11:I$139,0))&gt;1),0,MATCH(O55,I$11:I$139,0))+IF(OR(TYPE(O55)&gt;1,TYPE(MATCH(O55,O56:O$139,0))&gt;1),0,MATCH(O55,O56:O$139,0))+IF(OR(TYPE(O55)&gt;1,TYPE(MATCH(O55,U$11:U$139,0))&gt;1),0,MATCH(O55,U$11:U$139,0))+IF(OR(TYPE(O55)&gt;1,TYPE(MATCH(O55,AA$11:AA$139,0))&gt;1),0,MATCH(O55,AA$11:AA$139,0))</f>
        <v>0</v>
      </c>
      <c r="AP55" s="319">
        <f ca="1">IF(OR(TYPE(U55)&gt;1,TYPE(MATCH(U55,I$11:I$139,0))&gt;1),0,MATCH(U55,I$11:I$139,0))+IF(OR(TYPE(U55)&gt;1,TYPE(MATCH(U55,O$11:O$139,0))&gt;1),0,MATCH(U55,O$11:O$139,0))+IF(OR(TYPE(U55)&gt;1,TYPE(MATCH(U55,U56:U$139,0))&gt;1),0,MATCH(U55,U56:U$139,0))+IF(OR(TYPE(U55)&gt;1,TYPE(MATCH(U55,AA$11:AA$139,0))&gt;1),0,MATCH(U55,AA$11:AA$139,0))</f>
        <v>0</v>
      </c>
      <c r="AQ55" s="319">
        <f ca="1">IF(OR(TYPE(AA55)&gt;1,TYPE(MATCH(AA55,I$11:I$139,0))&gt;1),0,MATCH(AA55,I$11:I$139,0))+IF(OR(TYPE(AA55)&gt;1,TYPE(MATCH(AA55,O$11:O$139,0))&gt;1),0,MATCH(AA55,O$11:O$139,0))+IF(OR(TYPE(AA55)&gt;1,TYPE(MATCH(AA55,U$11:U$139,0))&gt;1),0,MATCH(U55,U$11:U$139,0))+IF(OR(TYPE(AA55)&gt;1,TYPE(MATCH(AA55,AA56:AA$139,0))&gt;1),0,MATCH(AA55,AA56:AA$139,0))</f>
        <v>0</v>
      </c>
      <c r="AR55" s="319">
        <f t="shared" ca="1" si="18"/>
        <v>0</v>
      </c>
      <c r="AT55" s="318">
        <f t="shared" ca="1" si="16"/>
        <v>0</v>
      </c>
      <c r="AU55" s="318">
        <f ca="1">IF(AND(N(I55)&gt;0,TYPE(VLOOKUP(I55,Hraci!$A$5:$A$800,1,0))&gt;3),1,0) + IF(AND(N(O55)&gt;0,TYPE(VLOOKUP(O55,Hraci!$A$5:$A$800,1,0))&gt;3),1,0) + IF(AND(N(U55)&gt;0,TYPE(VLOOKUP(U55,Hraci!$A$5:$A$800,1,0))&gt;3),1,0)</f>
        <v>0</v>
      </c>
      <c r="BF55" s="319">
        <f t="shared" si="17"/>
        <v>45</v>
      </c>
    </row>
    <row r="56" spans="1:58" ht="12.9" x14ac:dyDescent="0.45">
      <c r="A56" s="302">
        <f t="shared" ca="1" si="2"/>
        <v>1</v>
      </c>
      <c r="B56" s="302">
        <f t="shared" ca="1" si="3"/>
        <v>1</v>
      </c>
      <c r="C56" s="302">
        <f t="shared" ca="1" si="4"/>
        <v>0</v>
      </c>
      <c r="D56" s="302">
        <f t="shared" ca="1" si="5"/>
        <v>29997</v>
      </c>
      <c r="E56" s="302">
        <f t="shared" ca="1" si="6"/>
        <v>9999</v>
      </c>
      <c r="F56" s="343" t="str">
        <f t="shared" ca="1" si="7"/>
        <v>01000000000000000000320995</v>
      </c>
      <c r="G56" s="381" t="b">
        <f t="shared" ca="1" si="8"/>
        <v>0</v>
      </c>
      <c r="H56" s="382">
        <f t="shared" si="9"/>
        <v>46</v>
      </c>
      <c r="I56" s="383" t="str">
        <f t="shared" ca="1" si="10"/>
        <v/>
      </c>
      <c r="J56" s="384" t="str">
        <f ca="1">IF(N(I56)&gt;0,VLOOKUP(I56,Hraci!$A$1:$I$1500,2,0),IF(TYPE(INDIRECT(ADDRESS(ROW() + $A$9-9 + (ROW()-11)*4,2,1,1,"Internet")))&gt;1,INDIRECT(ADDRESS(ROW() + $A$9-9 + (ROW()-11)*4,2,1,1,"Internet"))," "))</f>
        <v>Vladimír Chládek</v>
      </c>
      <c r="K56" s="385" t="str">
        <f ca="1">IF(N(I56)&gt;0,VLOOKUP(I56,Hraci!$A$1:$I$1500,3,0)," ")</f>
        <v xml:space="preserve"> </v>
      </c>
      <c r="L56" s="385" t="str">
        <f ca="1">IF(N(I56)&gt;0,VLOOKUP(I56,Hraci!$A$1:$I$1500,5,0),IF(TYPE(INDIRECT(ADDRESS(ROW() + $A$9-9 + (ROW()-11)*4,3,1,1,"Internet")))&gt;1,INDIRECT(ADDRESS(ROW() + $A$9-9 + (ROW()-11)*4,3,1,1,"Internet"))," "))</f>
        <v xml:space="preserve"> </v>
      </c>
      <c r="M56" s="319">
        <f ca="1">IF(N(I56)=0,9999,VLOOKUP(I56,Hraci!$A$1:$I$1500,8,0))</f>
        <v>9999</v>
      </c>
      <c r="N56" s="386">
        <f ca="1">IF(N(I56)=0,0,VLOOKUP(I56,Hraci!$A$1:$I$1500,9,0))</f>
        <v>0</v>
      </c>
      <c r="O56" s="383" t="str">
        <f t="shared" ca="1" si="11"/>
        <v/>
      </c>
      <c r="P56" s="384" t="str">
        <f ca="1">IF(N(O56)&gt;0,VLOOKUP(O56,Hraci!$A$1:$I$1500,2,0),IF(TYPE(INDIRECT(ADDRESS(ROW() + $A$9-8 + (ROW()-11)*4,2,1,1,"Internet")))&gt;1,INDIRECT(ADDRESS(ROW() + $A$9-8 + (ROW()-11)*4,2,1,1,"Internet"))," "))</f>
        <v xml:space="preserve"> </v>
      </c>
      <c r="Q56" s="385" t="str">
        <f ca="1">IF(N(O56)&gt;0,VLOOKUP(O56,Hraci!$A$1:$I$1500,3,0)," ")</f>
        <v xml:space="preserve"> </v>
      </c>
      <c r="R56" s="385" t="str">
        <f ca="1">IF(N(O56)&gt;0,VLOOKUP(O56,Hraci!$A$1:$I$1500,5,0),IF(TYPE(INDIRECT(ADDRESS(ROW() + $A$9-8 + (ROW()-11)*4,3,1,1,"Internet")))&gt;1,INDIRECT(ADDRESS(ROW() + $A$9-8 + (ROW()-11)*4,3,1,1,"Internet"))," "))</f>
        <v xml:space="preserve"> </v>
      </c>
      <c r="S56" s="319">
        <f ca="1">IF(N(O56)=0,9999,VLOOKUP(O56,Hraci!$A$1:$I$1500,8,0))</f>
        <v>9999</v>
      </c>
      <c r="T56" s="386">
        <f ca="1">IF(N(O56)=0,0,VLOOKUP(O56,Hraci!$A$1:$I$1500,9,0))</f>
        <v>0</v>
      </c>
      <c r="U56" s="383" t="str">
        <f t="shared" ca="1" si="12"/>
        <v/>
      </c>
      <c r="V56" s="384" t="str">
        <f ca="1">IF(N(U56)&gt;0,VLOOKUP(U56,Hraci!$A$1:$I$1500,2,0),IF(TYPE(INDIRECT(ADDRESS(ROW() + $A$9-7 + (ROW()-11)*4,2,1,1,"Internet")))&gt;1,INDIRECT(ADDRESS(ROW() + $A$9-7 + (ROW()-11)*4,2,1,1,"Internet"))," "))</f>
        <v xml:space="preserve"> </v>
      </c>
      <c r="W56" s="385" t="str">
        <f ca="1">IF(N(U56)&gt;0,VLOOKUP(U56,Hraci!$A$1:$I$1500,3,0)," ")</f>
        <v xml:space="preserve"> </v>
      </c>
      <c r="X56" s="385" t="str">
        <f ca="1">IF(N(U56)&gt;0,VLOOKUP(U56,Hraci!$A$1:$I$1500,5,0),IF(TYPE(INDIRECT(ADDRESS(ROW() + $A$9-7 + (ROW()-11)*4,3,1,1,"Internet")))&gt;1,INDIRECT(ADDRESS(ROW() + $A$9-7 + (ROW()-11)*4,3,1,1,"Internet"))," "))</f>
        <v xml:space="preserve"> </v>
      </c>
      <c r="Y56" s="319">
        <f ca="1">IF(N(U56)=0,9999,VLOOKUP(U56,Hraci!$A$1:$I$1500,8,0))</f>
        <v>9999</v>
      </c>
      <c r="Z56" s="386">
        <f ca="1">IF(N(U56)=0,0,VLOOKUP(U56,Hraci!$A$1:$I$1500,9,0))</f>
        <v>0</v>
      </c>
      <c r="AA56" s="383" t="str">
        <f t="shared" ca="1" si="13"/>
        <v/>
      </c>
      <c r="AB56" s="384" t="str">
        <f ca="1">IF(N(AA56)&gt;0,VLOOKUP(AA56,Hraci!$A$1:$I$1500,2,0)," ")</f>
        <v xml:space="preserve"> </v>
      </c>
      <c r="AC56" s="385" t="str">
        <f ca="1">IF(N(AA56)&gt;0,VLOOKUP(AA56,Hraci!$A$1:$I$1500,3,0)," ")</f>
        <v xml:space="preserve"> </v>
      </c>
      <c r="AD56" s="385" t="str">
        <f ca="1">IF(N(AA56)&gt;0,VLOOKUP(AA56,Hraci!$A$1:$I$1500,5,0)," ")</f>
        <v xml:space="preserve"> </v>
      </c>
      <c r="AE56" s="319">
        <f ca="1">IF(N(AA56)=0,9999,VLOOKUP(AA56,Hraci!$A$1:$I$1500,8,0))</f>
        <v>9999</v>
      </c>
      <c r="AF56" s="386">
        <f ca="1">IF(N(AA56)=0,0,VLOOKUP(AA56,Hraci!$A$1:$I$1500,9,0))</f>
        <v>0</v>
      </c>
      <c r="AG56" s="391"/>
      <c r="AH56" s="427">
        <f ca="1">IF(TYPE(VLOOKUP(H56,Centrum!$A$3:$E$130,5,0))&lt;4,VLOOKUP(H56,Centrum!$A$3:$E$130,5,0),0)</f>
        <v>48</v>
      </c>
      <c r="AI56" s="387">
        <f ca="1">IF(N($AH56)&gt;0,VLOOKUP($AH56,Body!$A$4:$F$259,5,0),"")</f>
        <v>19.164093749999999</v>
      </c>
      <c r="AJ56" s="388">
        <f ca="1">IF(N($AH56)&gt;0,VLOOKUP($AH56,Body!$A$4:$F$259,6,0),"")</f>
        <v>0</v>
      </c>
      <c r="AK56" s="387">
        <f ca="1">IF(N($AH56)&gt;0,VLOOKUP($AH56,Body!$A$4:$F$259,2,0),"")</f>
        <v>0.5</v>
      </c>
      <c r="AL56" s="389" t="str">
        <f t="shared" ca="1" si="19"/>
        <v xml:space="preserve">46   - Vladimír Chládek  </v>
      </c>
      <c r="AM56" s="390">
        <f t="shared" ca="1" si="15"/>
        <v>0</v>
      </c>
      <c r="AN56" s="319">
        <f ca="1">IF(OR(TYPE(I56)&gt;1,TYPE(MATCH(I56,I57:I$139,0))&gt;1),0,MATCH(I56,I57:I$139,0))+IF(OR(TYPE(I56)&gt;1,TYPE(MATCH(I56,O$11:O$139,0))&gt;1),0,MATCH(I56,O$11:O$139,0))+IF(OR(TYPE(I56)&gt;1,TYPE(MATCH(I56,U$11:U$139,0))&gt;1),0,MATCH(I56,U$11:U$139,0))+IF(OR(TYPE(I56)&gt;1,TYPE(MATCH(I56,AA$11:AA$139,0))&gt;1),0,MATCH(I56,AA$11:AA$139,0))</f>
        <v>0</v>
      </c>
      <c r="AO56" s="319">
        <f ca="1">IF(OR(TYPE(O56)&gt;1,TYPE(MATCH(O56,I$11:I$139,0))&gt;1),0,MATCH(O56,I$11:I$139,0))+IF(OR(TYPE(O56)&gt;1,TYPE(MATCH(O56,O57:O$139,0))&gt;1),0,MATCH(O56,O57:O$139,0))+IF(OR(TYPE(O56)&gt;1,TYPE(MATCH(O56,U$11:U$139,0))&gt;1),0,MATCH(O56,U$11:U$139,0))+IF(OR(TYPE(O56)&gt;1,TYPE(MATCH(O56,AA$11:AA$139,0))&gt;1),0,MATCH(O56,AA$11:AA$139,0))</f>
        <v>0</v>
      </c>
      <c r="AP56" s="319">
        <f ca="1">IF(OR(TYPE(U56)&gt;1,TYPE(MATCH(U56,I$11:I$139,0))&gt;1),0,MATCH(U56,I$11:I$139,0))+IF(OR(TYPE(U56)&gt;1,TYPE(MATCH(U56,O$11:O$139,0))&gt;1),0,MATCH(U56,O$11:O$139,0))+IF(OR(TYPE(U56)&gt;1,TYPE(MATCH(U56,U57:U$139,0))&gt;1),0,MATCH(U56,U57:U$139,0))+IF(OR(TYPE(U56)&gt;1,TYPE(MATCH(U56,AA$11:AA$139,0))&gt;1),0,MATCH(U56,AA$11:AA$139,0))</f>
        <v>0</v>
      </c>
      <c r="AQ56" s="319">
        <f ca="1">IF(OR(TYPE(AA56)&gt;1,TYPE(MATCH(AA56,I$11:I$139,0))&gt;1),0,MATCH(AA56,I$11:I$139,0))+IF(OR(TYPE(AA56)&gt;1,TYPE(MATCH(AA56,O$11:O$139,0))&gt;1),0,MATCH(AA56,O$11:O$139,0))+IF(OR(TYPE(AA56)&gt;1,TYPE(MATCH(AA56,U$11:U$139,0))&gt;1),0,MATCH(U56,U$11:U$139,0))+IF(OR(TYPE(AA56)&gt;1,TYPE(MATCH(AA56,AA57:AA$139,0))&gt;1),0,MATCH(AA56,AA57:AA$139,0))</f>
        <v>0</v>
      </c>
      <c r="AR56" s="319">
        <f t="shared" ca="1" si="18"/>
        <v>0</v>
      </c>
      <c r="AT56" s="318">
        <f t="shared" ca="1" si="16"/>
        <v>0</v>
      </c>
      <c r="AU56" s="318">
        <f ca="1">IF(AND(N(I56)&gt;0,TYPE(VLOOKUP(I56,Hraci!$A$5:$A$800,1,0))&gt;3),1,0) + IF(AND(N(O56)&gt;0,TYPE(VLOOKUP(O56,Hraci!$A$5:$A$800,1,0))&gt;3),1,0) + IF(AND(N(U56)&gt;0,TYPE(VLOOKUP(U56,Hraci!$A$5:$A$800,1,0))&gt;3),1,0)</f>
        <v>0</v>
      </c>
      <c r="BF56" s="319">
        <f t="shared" si="17"/>
        <v>46</v>
      </c>
    </row>
    <row r="57" spans="1:58" ht="12.9" x14ac:dyDescent="0.45">
      <c r="A57" s="302">
        <f t="shared" ca="1" si="2"/>
        <v>1</v>
      </c>
      <c r="B57" s="302">
        <f t="shared" ca="1" si="3"/>
        <v>1</v>
      </c>
      <c r="C57" s="302">
        <f t="shared" ca="1" si="4"/>
        <v>0</v>
      </c>
      <c r="D57" s="302">
        <f t="shared" ca="1" si="5"/>
        <v>29997</v>
      </c>
      <c r="E57" s="302">
        <f t="shared" ca="1" si="6"/>
        <v>9999</v>
      </c>
      <c r="F57" s="343" t="str">
        <f t="shared" ca="1" si="7"/>
        <v>01000000000000000000970382</v>
      </c>
      <c r="G57" s="381" t="b">
        <f t="shared" ca="1" si="8"/>
        <v>0</v>
      </c>
      <c r="H57" s="382">
        <f t="shared" si="9"/>
        <v>47</v>
      </c>
      <c r="I57" s="383" t="str">
        <f t="shared" ca="1" si="10"/>
        <v/>
      </c>
      <c r="J57" s="384" t="str">
        <f ca="1">IF(N(I57)&gt;0,VLOOKUP(I57,Hraci!$A$1:$I$1500,2,0),IF(TYPE(INDIRECT(ADDRESS(ROW() + $A$9-9 + (ROW()-11)*4,2,1,1,"Internet")))&gt;1,INDIRECT(ADDRESS(ROW() + $A$9-9 + (ROW()-11)*4,2,1,1,"Internet"))," "))</f>
        <v>Brian, Dánsko</v>
      </c>
      <c r="K57" s="385" t="str">
        <f ca="1">IF(N(I57)&gt;0,VLOOKUP(I57,Hraci!$A$1:$I$1500,3,0)," ")</f>
        <v xml:space="preserve"> </v>
      </c>
      <c r="L57" s="385" t="str">
        <f ca="1">IF(N(I57)&gt;0,VLOOKUP(I57,Hraci!$A$1:$I$1500,5,0),IF(TYPE(INDIRECT(ADDRESS(ROW() + $A$9-9 + (ROW()-11)*4,3,1,1,"Internet")))&gt;1,INDIRECT(ADDRESS(ROW() + $A$9-9 + (ROW()-11)*4,3,1,1,"Internet"))," "))</f>
        <v xml:space="preserve"> </v>
      </c>
      <c r="M57" s="319">
        <f ca="1">IF(N(I57)=0,9999,VLOOKUP(I57,Hraci!$A$1:$I$1500,8,0))</f>
        <v>9999</v>
      </c>
      <c r="N57" s="386">
        <f ca="1">IF(N(I57)=0,0,VLOOKUP(I57,Hraci!$A$1:$I$1500,9,0))</f>
        <v>0</v>
      </c>
      <c r="O57" s="383" t="str">
        <f t="shared" ca="1" si="11"/>
        <v/>
      </c>
      <c r="P57" s="384" t="str">
        <f ca="1">IF(N(O57)&gt;0,VLOOKUP(O57,Hraci!$A$1:$I$1500,2,0),IF(TYPE(INDIRECT(ADDRESS(ROW() + $A$9-8 + (ROW()-11)*4,2,1,1,"Internet")))&gt;1,INDIRECT(ADDRESS(ROW() + $A$9-8 + (ROW()-11)*4,2,1,1,"Internet"))," "))</f>
        <v xml:space="preserve"> </v>
      </c>
      <c r="Q57" s="385" t="str">
        <f ca="1">IF(N(O57)&gt;0,VLOOKUP(O57,Hraci!$A$1:$I$1500,3,0)," ")</f>
        <v xml:space="preserve"> </v>
      </c>
      <c r="R57" s="385" t="str">
        <f ca="1">IF(N(O57)&gt;0,VLOOKUP(O57,Hraci!$A$1:$I$1500,5,0),IF(TYPE(INDIRECT(ADDRESS(ROW() + $A$9-8 + (ROW()-11)*4,3,1,1,"Internet")))&gt;1,INDIRECT(ADDRESS(ROW() + $A$9-8 + (ROW()-11)*4,3,1,1,"Internet"))," "))</f>
        <v xml:space="preserve"> </v>
      </c>
      <c r="S57" s="319">
        <f ca="1">IF(N(O57)=0,9999,VLOOKUP(O57,Hraci!$A$1:$I$1500,8,0))</f>
        <v>9999</v>
      </c>
      <c r="T57" s="386">
        <f ca="1">IF(N(O57)=0,0,VLOOKUP(O57,Hraci!$A$1:$I$1500,9,0))</f>
        <v>0</v>
      </c>
      <c r="U57" s="383" t="str">
        <f t="shared" ca="1" si="12"/>
        <v/>
      </c>
      <c r="V57" s="384" t="str">
        <f ca="1">IF(N(U57)&gt;0,VLOOKUP(U57,Hraci!$A$1:$I$1500,2,0),IF(TYPE(INDIRECT(ADDRESS(ROW() + $A$9-7 + (ROW()-11)*4,2,1,1,"Internet")))&gt;1,INDIRECT(ADDRESS(ROW() + $A$9-7 + (ROW()-11)*4,2,1,1,"Internet"))," "))</f>
        <v xml:space="preserve"> </v>
      </c>
      <c r="W57" s="385" t="str">
        <f ca="1">IF(N(U57)&gt;0,VLOOKUP(U57,Hraci!$A$1:$I$1500,3,0)," ")</f>
        <v xml:space="preserve"> </v>
      </c>
      <c r="X57" s="385" t="str">
        <f ca="1">IF(N(U57)&gt;0,VLOOKUP(U57,Hraci!$A$1:$I$1500,5,0),IF(TYPE(INDIRECT(ADDRESS(ROW() + $A$9-7 + (ROW()-11)*4,3,1,1,"Internet")))&gt;1,INDIRECT(ADDRESS(ROW() + $A$9-7 + (ROW()-11)*4,3,1,1,"Internet"))," "))</f>
        <v xml:space="preserve"> </v>
      </c>
      <c r="Y57" s="319">
        <f ca="1">IF(N(U57)=0,9999,VLOOKUP(U57,Hraci!$A$1:$I$1500,8,0))</f>
        <v>9999</v>
      </c>
      <c r="Z57" s="386">
        <f ca="1">IF(N(U57)=0,0,VLOOKUP(U57,Hraci!$A$1:$I$1500,9,0))</f>
        <v>0</v>
      </c>
      <c r="AA57" s="383" t="str">
        <f t="shared" ca="1" si="13"/>
        <v/>
      </c>
      <c r="AB57" s="384" t="str">
        <f ca="1">IF(N(AA57)&gt;0,VLOOKUP(AA57,Hraci!$A$1:$I$1500,2,0)," ")</f>
        <v xml:space="preserve"> </v>
      </c>
      <c r="AC57" s="385" t="str">
        <f ca="1">IF(N(AA57)&gt;0,VLOOKUP(AA57,Hraci!$A$1:$I$1500,3,0)," ")</f>
        <v xml:space="preserve"> </v>
      </c>
      <c r="AD57" s="385" t="str">
        <f ca="1">IF(N(AA57)&gt;0,VLOOKUP(AA57,Hraci!$A$1:$I$1500,5,0)," ")</f>
        <v xml:space="preserve"> </v>
      </c>
      <c r="AE57" s="319">
        <f ca="1">IF(N(AA57)=0,9999,VLOOKUP(AA57,Hraci!$A$1:$I$1500,8,0))</f>
        <v>9999</v>
      </c>
      <c r="AF57" s="386">
        <f ca="1">IF(N(AA57)=0,0,VLOOKUP(AA57,Hraci!$A$1:$I$1500,9,0))</f>
        <v>0</v>
      </c>
      <c r="AG57" s="391"/>
      <c r="AH57" s="427">
        <f ca="1">IF(TYPE(VLOOKUP(H57,Centrum!$A$3:$E$130,5,0))&lt;4,VLOOKUP(H57,Centrum!$A$3:$E$130,5,0),0)</f>
        <v>44</v>
      </c>
      <c r="AI57" s="387">
        <f ca="1">IF(N($AH57)&gt;0,VLOOKUP($AH57,Body!$A$4:$F$259,5,0),"")</f>
        <v>23.955117187500001</v>
      </c>
      <c r="AJ57" s="388">
        <f ca="1">IF(N($AH57)&gt;0,VLOOKUP($AH57,Body!$A$4:$F$259,6,0),"")</f>
        <v>0</v>
      </c>
      <c r="AK57" s="387">
        <f ca="1">IF(N($AH57)&gt;0,VLOOKUP($AH57,Body!$A$4:$F$259,2,0),"")</f>
        <v>0.625</v>
      </c>
      <c r="AL57" s="389" t="str">
        <f t="shared" ca="1" si="19"/>
        <v xml:space="preserve">47   - Brian, Dánsko  </v>
      </c>
      <c r="AM57" s="390">
        <f t="shared" ca="1" si="15"/>
        <v>0</v>
      </c>
      <c r="AN57" s="319">
        <f ca="1">IF(OR(TYPE(I57)&gt;1,TYPE(MATCH(I57,I58:I$139,0))&gt;1),0,MATCH(I57,I58:I$139,0))+IF(OR(TYPE(I57)&gt;1,TYPE(MATCH(I57,O$11:O$139,0))&gt;1),0,MATCH(I57,O$11:O$139,0))+IF(OR(TYPE(I57)&gt;1,TYPE(MATCH(I57,U$11:U$139,0))&gt;1),0,MATCH(I57,U$11:U$139,0))+IF(OR(TYPE(I57)&gt;1,TYPE(MATCH(I57,AA$11:AA$139,0))&gt;1),0,MATCH(I57,AA$11:AA$139,0))</f>
        <v>0</v>
      </c>
      <c r="AO57" s="319">
        <f ca="1">IF(OR(TYPE(O57)&gt;1,TYPE(MATCH(O57,I$11:I$139,0))&gt;1),0,MATCH(O57,I$11:I$139,0))+IF(OR(TYPE(O57)&gt;1,TYPE(MATCH(O57,O58:O$139,0))&gt;1),0,MATCH(O57,O58:O$139,0))+IF(OR(TYPE(O57)&gt;1,TYPE(MATCH(O57,U$11:U$139,0))&gt;1),0,MATCH(O57,U$11:U$139,0))+IF(OR(TYPE(O57)&gt;1,TYPE(MATCH(O57,AA$11:AA$139,0))&gt;1),0,MATCH(O57,AA$11:AA$139,0))</f>
        <v>0</v>
      </c>
      <c r="AP57" s="319">
        <f ca="1">IF(OR(TYPE(U57)&gt;1,TYPE(MATCH(U57,I$11:I$139,0))&gt;1),0,MATCH(U57,I$11:I$139,0))+IF(OR(TYPE(U57)&gt;1,TYPE(MATCH(U57,O$11:O$139,0))&gt;1),0,MATCH(U57,O$11:O$139,0))+IF(OR(TYPE(U57)&gt;1,TYPE(MATCH(U57,U58:U$139,0))&gt;1),0,MATCH(U57,U58:U$139,0))+IF(OR(TYPE(U57)&gt;1,TYPE(MATCH(U57,AA$11:AA$139,0))&gt;1),0,MATCH(U57,AA$11:AA$139,0))</f>
        <v>0</v>
      </c>
      <c r="AQ57" s="319">
        <f ca="1">IF(OR(TYPE(AA57)&gt;1,TYPE(MATCH(AA57,I$11:I$139,0))&gt;1),0,MATCH(AA57,I$11:I$139,0))+IF(OR(TYPE(AA57)&gt;1,TYPE(MATCH(AA57,O$11:O$139,0))&gt;1),0,MATCH(AA57,O$11:O$139,0))+IF(OR(TYPE(AA57)&gt;1,TYPE(MATCH(AA57,U$11:U$139,0))&gt;1),0,MATCH(U57,U$11:U$139,0))+IF(OR(TYPE(AA57)&gt;1,TYPE(MATCH(AA57,AA58:AA$139,0))&gt;1),0,MATCH(AA57,AA58:AA$139,0))</f>
        <v>0</v>
      </c>
      <c r="AR57" s="319">
        <f t="shared" ca="1" si="18"/>
        <v>0</v>
      </c>
      <c r="AT57" s="318">
        <f t="shared" ca="1" si="16"/>
        <v>0</v>
      </c>
      <c r="AU57" s="318">
        <f ca="1">IF(AND(N(I57)&gt;0,TYPE(VLOOKUP(I57,Hraci!$A$5:$A$800,1,0))&gt;3),1,0) + IF(AND(N(O57)&gt;0,TYPE(VLOOKUP(O57,Hraci!$A$5:$A$800,1,0))&gt;3),1,0) + IF(AND(N(U57)&gt;0,TYPE(VLOOKUP(U57,Hraci!$A$5:$A$800,1,0))&gt;3),1,0)</f>
        <v>0</v>
      </c>
      <c r="BF57" s="319">
        <f t="shared" si="17"/>
        <v>47</v>
      </c>
    </row>
    <row r="58" spans="1:58" ht="12.9" x14ac:dyDescent="0.45">
      <c r="A58" s="302">
        <f t="shared" ca="1" si="2"/>
        <v>1</v>
      </c>
      <c r="B58" s="302">
        <f t="shared" ca="1" si="3"/>
        <v>1</v>
      </c>
      <c r="C58" s="302">
        <f t="shared" ca="1" si="4"/>
        <v>0</v>
      </c>
      <c r="D58" s="302">
        <f t="shared" ca="1" si="5"/>
        <v>29997</v>
      </c>
      <c r="E58" s="302">
        <f t="shared" ca="1" si="6"/>
        <v>9999</v>
      </c>
      <c r="F58" s="343" t="str">
        <f t="shared" ca="1" si="7"/>
        <v>01000000000000000000208795</v>
      </c>
      <c r="G58" s="381" t="b">
        <f t="shared" ca="1" si="8"/>
        <v>0</v>
      </c>
      <c r="H58" s="382">
        <f t="shared" si="9"/>
        <v>48</v>
      </c>
      <c r="I58" s="383" t="str">
        <f t="shared" ca="1" si="10"/>
        <v/>
      </c>
      <c r="J58" s="384" t="str">
        <f ca="1">IF(N(I58)&gt;0,VLOOKUP(I58,Hraci!$A$1:$I$1500,2,0),IF(TYPE(INDIRECT(ADDRESS(ROW() + $A$9-9 + (ROW()-11)*4,2,1,1,"Internet")))&gt;1,INDIRECT(ADDRESS(ROW() + $A$9-9 + (ROW()-11)*4,2,1,1,"Internet"))," "))</f>
        <v>Tony, Dánsko</v>
      </c>
      <c r="K58" s="385" t="str">
        <f ca="1">IF(N(I58)&gt;0,VLOOKUP(I58,Hraci!$A$1:$I$1500,3,0)," ")</f>
        <v xml:space="preserve"> </v>
      </c>
      <c r="L58" s="385" t="str">
        <f ca="1">IF(N(I58)&gt;0,VLOOKUP(I58,Hraci!$A$1:$I$1500,5,0),IF(TYPE(INDIRECT(ADDRESS(ROW() + $A$9-9 + (ROW()-11)*4,3,1,1,"Internet")))&gt;1,INDIRECT(ADDRESS(ROW() + $A$9-9 + (ROW()-11)*4,3,1,1,"Internet"))," "))</f>
        <v xml:space="preserve"> </v>
      </c>
      <c r="M58" s="319">
        <f ca="1">IF(N(I58)=0,9999,VLOOKUP(I58,Hraci!$A$1:$I$1500,8,0))</f>
        <v>9999</v>
      </c>
      <c r="N58" s="386">
        <f ca="1">IF(N(I58)=0,0,VLOOKUP(I58,Hraci!$A$1:$I$1500,9,0))</f>
        <v>0</v>
      </c>
      <c r="O58" s="383" t="str">
        <f t="shared" ca="1" si="11"/>
        <v/>
      </c>
      <c r="P58" s="384" t="str">
        <f ca="1">IF(N(O58)&gt;0,VLOOKUP(O58,Hraci!$A$1:$I$1500,2,0),IF(TYPE(INDIRECT(ADDRESS(ROW() + $A$9-8 + (ROW()-11)*4,2,1,1,"Internet")))&gt;1,INDIRECT(ADDRESS(ROW() + $A$9-8 + (ROW()-11)*4,2,1,1,"Internet"))," "))</f>
        <v xml:space="preserve"> </v>
      </c>
      <c r="Q58" s="385" t="str">
        <f ca="1">IF(N(O58)&gt;0,VLOOKUP(O58,Hraci!$A$1:$I$1500,3,0)," ")</f>
        <v xml:space="preserve"> </v>
      </c>
      <c r="R58" s="385" t="str">
        <f ca="1">IF(N(O58)&gt;0,VLOOKUP(O58,Hraci!$A$1:$I$1500,5,0),IF(TYPE(INDIRECT(ADDRESS(ROW() + $A$9-8 + (ROW()-11)*4,3,1,1,"Internet")))&gt;1,INDIRECT(ADDRESS(ROW() + $A$9-8 + (ROW()-11)*4,3,1,1,"Internet"))," "))</f>
        <v xml:space="preserve"> </v>
      </c>
      <c r="S58" s="319">
        <f ca="1">IF(N(O58)=0,9999,VLOOKUP(O58,Hraci!$A$1:$I$1500,8,0))</f>
        <v>9999</v>
      </c>
      <c r="T58" s="386">
        <f ca="1">IF(N(O58)=0,0,VLOOKUP(O58,Hraci!$A$1:$I$1500,9,0))</f>
        <v>0</v>
      </c>
      <c r="U58" s="383" t="str">
        <f t="shared" ca="1" si="12"/>
        <v/>
      </c>
      <c r="V58" s="384" t="str">
        <f ca="1">IF(N(U58)&gt;0,VLOOKUP(U58,Hraci!$A$1:$I$1500,2,0),IF(TYPE(INDIRECT(ADDRESS(ROW() + $A$9-7 + (ROW()-11)*4,2,1,1,"Internet")))&gt;1,INDIRECT(ADDRESS(ROW() + $A$9-7 + (ROW()-11)*4,2,1,1,"Internet"))," "))</f>
        <v xml:space="preserve"> </v>
      </c>
      <c r="W58" s="385" t="str">
        <f ca="1">IF(N(U58)&gt;0,VLOOKUP(U58,Hraci!$A$1:$I$1500,3,0)," ")</f>
        <v xml:space="preserve"> </v>
      </c>
      <c r="X58" s="385" t="str">
        <f ca="1">IF(N(U58)&gt;0,VLOOKUP(U58,Hraci!$A$1:$I$1500,5,0),IF(TYPE(INDIRECT(ADDRESS(ROW() + $A$9-7 + (ROW()-11)*4,3,1,1,"Internet")))&gt;1,INDIRECT(ADDRESS(ROW() + $A$9-7 + (ROW()-11)*4,3,1,1,"Internet"))," "))</f>
        <v xml:space="preserve"> </v>
      </c>
      <c r="Y58" s="319">
        <f ca="1">IF(N(U58)=0,9999,VLOOKUP(U58,Hraci!$A$1:$I$1500,8,0))</f>
        <v>9999</v>
      </c>
      <c r="Z58" s="386">
        <f ca="1">IF(N(U58)=0,0,VLOOKUP(U58,Hraci!$A$1:$I$1500,9,0))</f>
        <v>0</v>
      </c>
      <c r="AA58" s="383" t="str">
        <f t="shared" ca="1" si="13"/>
        <v/>
      </c>
      <c r="AB58" s="384" t="str">
        <f ca="1">IF(N(AA58)&gt;0,VLOOKUP(AA58,Hraci!$A$1:$I$1500,2,0)," ")</f>
        <v xml:space="preserve"> </v>
      </c>
      <c r="AC58" s="385" t="str">
        <f ca="1">IF(N(AA58)&gt;0,VLOOKUP(AA58,Hraci!$A$1:$I$1500,3,0)," ")</f>
        <v xml:space="preserve"> </v>
      </c>
      <c r="AD58" s="385" t="str">
        <f ca="1">IF(N(AA58)&gt;0,VLOOKUP(AA58,Hraci!$A$1:$I$1500,5,0)," ")</f>
        <v xml:space="preserve"> </v>
      </c>
      <c r="AE58" s="319">
        <f ca="1">IF(N(AA58)=0,9999,VLOOKUP(AA58,Hraci!$A$1:$I$1500,8,0))</f>
        <v>9999</v>
      </c>
      <c r="AF58" s="386">
        <f ca="1">IF(N(AA58)=0,0,VLOOKUP(AA58,Hraci!$A$1:$I$1500,9,0))</f>
        <v>0</v>
      </c>
      <c r="AG58" s="391"/>
      <c r="AH58" s="427">
        <f ca="1">IF(TYPE(VLOOKUP(H58,Centrum!$A$3:$E$130,5,0))&lt;4,VLOOKUP(H58,Centrum!$A$3:$E$130,5,0),0)</f>
        <v>57</v>
      </c>
      <c r="AI58" s="387">
        <f ca="1">IF(N($AH58)&gt;0,VLOOKUP($AH58,Body!$A$4:$F$259,5,0),"")</f>
        <v>1</v>
      </c>
      <c r="AJ58" s="388">
        <f ca="1">IF(N($AH58)&gt;0,VLOOKUP($AH58,Body!$A$4:$F$259,6,0),"")</f>
        <v>0</v>
      </c>
      <c r="AK58" s="387">
        <f ca="1">IF(N($AH58)&gt;0,VLOOKUP($AH58,Body!$A$4:$F$259,2,0),"")</f>
        <v>0</v>
      </c>
      <c r="AL58" s="389" t="str">
        <f t="shared" ca="1" si="19"/>
        <v xml:space="preserve">48   - Tony, Dánsko  </v>
      </c>
      <c r="AM58" s="390">
        <f t="shared" ca="1" si="15"/>
        <v>0</v>
      </c>
      <c r="AN58" s="319">
        <f ca="1">IF(OR(TYPE(I58)&gt;1,TYPE(MATCH(I58,I59:I$139,0))&gt;1),0,MATCH(I58,I59:I$139,0))+IF(OR(TYPE(I58)&gt;1,TYPE(MATCH(I58,O$11:O$139,0))&gt;1),0,MATCH(I58,O$11:O$139,0))+IF(OR(TYPE(I58)&gt;1,TYPE(MATCH(I58,U$11:U$139,0))&gt;1),0,MATCH(I58,U$11:U$139,0))+IF(OR(TYPE(I58)&gt;1,TYPE(MATCH(I58,AA$11:AA$139,0))&gt;1),0,MATCH(I58,AA$11:AA$139,0))</f>
        <v>0</v>
      </c>
      <c r="AO58" s="319">
        <f ca="1">IF(OR(TYPE(O58)&gt;1,TYPE(MATCH(O58,I$11:I$139,0))&gt;1),0,MATCH(O58,I$11:I$139,0))+IF(OR(TYPE(O58)&gt;1,TYPE(MATCH(O58,O59:O$139,0))&gt;1),0,MATCH(O58,O59:O$139,0))+IF(OR(TYPE(O58)&gt;1,TYPE(MATCH(O58,U$11:U$139,0))&gt;1),0,MATCH(O58,U$11:U$139,0))+IF(OR(TYPE(O58)&gt;1,TYPE(MATCH(O58,AA$11:AA$139,0))&gt;1),0,MATCH(O58,AA$11:AA$139,0))</f>
        <v>0</v>
      </c>
      <c r="AP58" s="319">
        <f ca="1">IF(OR(TYPE(U58)&gt;1,TYPE(MATCH(U58,I$11:I$139,0))&gt;1),0,MATCH(U58,I$11:I$139,0))+IF(OR(TYPE(U58)&gt;1,TYPE(MATCH(U58,O$11:O$139,0))&gt;1),0,MATCH(U58,O$11:O$139,0))+IF(OR(TYPE(U58)&gt;1,TYPE(MATCH(U58,U59:U$139,0))&gt;1),0,MATCH(U58,U59:U$139,0))+IF(OR(TYPE(U58)&gt;1,TYPE(MATCH(U58,AA$11:AA$139,0))&gt;1),0,MATCH(U58,AA$11:AA$139,0))</f>
        <v>0</v>
      </c>
      <c r="AQ58" s="319">
        <f ca="1">IF(OR(TYPE(AA58)&gt;1,TYPE(MATCH(AA58,I$11:I$139,0))&gt;1),0,MATCH(AA58,I$11:I$139,0))+IF(OR(TYPE(AA58)&gt;1,TYPE(MATCH(AA58,O$11:O$139,0))&gt;1),0,MATCH(AA58,O$11:O$139,0))+IF(OR(TYPE(AA58)&gt;1,TYPE(MATCH(AA58,U$11:U$139,0))&gt;1),0,MATCH(U58,U$11:U$139,0))+IF(OR(TYPE(AA58)&gt;1,TYPE(MATCH(AA58,AA59:AA$139,0))&gt;1),0,MATCH(AA58,AA59:AA$139,0))</f>
        <v>0</v>
      </c>
      <c r="AR58" s="319">
        <f t="shared" ca="1" si="18"/>
        <v>0</v>
      </c>
      <c r="AT58" s="318">
        <f t="shared" ca="1" si="16"/>
        <v>0</v>
      </c>
      <c r="AU58" s="318">
        <f ca="1">IF(AND(N(I58)&gt;0,TYPE(VLOOKUP(I58,Hraci!$A$5:$A$800,1,0))&gt;3),1,0) + IF(AND(N(O58)&gt;0,TYPE(VLOOKUP(O58,Hraci!$A$5:$A$800,1,0))&gt;3),1,0) + IF(AND(N(U58)&gt;0,TYPE(VLOOKUP(U58,Hraci!$A$5:$A$800,1,0))&gt;3),1,0)</f>
        <v>0</v>
      </c>
      <c r="BF58" s="319">
        <f t="shared" si="17"/>
        <v>48</v>
      </c>
    </row>
    <row r="59" spans="1:58" ht="12.9" x14ac:dyDescent="0.45">
      <c r="A59" s="302">
        <f t="shared" ca="1" si="2"/>
        <v>1</v>
      </c>
      <c r="B59" s="302">
        <f t="shared" ca="1" si="3"/>
        <v>1</v>
      </c>
      <c r="C59" s="302">
        <f t="shared" ca="1" si="4"/>
        <v>0</v>
      </c>
      <c r="D59" s="302">
        <f t="shared" ca="1" si="5"/>
        <v>29997</v>
      </c>
      <c r="E59" s="302">
        <f t="shared" ca="1" si="6"/>
        <v>9999</v>
      </c>
      <c r="F59" s="343" t="str">
        <f t="shared" ca="1" si="7"/>
        <v>01000000000000000000751128</v>
      </c>
      <c r="G59" s="381" t="b">
        <f t="shared" ca="1" si="8"/>
        <v>0</v>
      </c>
      <c r="H59" s="382">
        <f t="shared" si="9"/>
        <v>49</v>
      </c>
      <c r="I59" s="383" t="str">
        <f t="shared" ca="1" si="10"/>
        <v/>
      </c>
      <c r="J59" s="384" t="str">
        <f ca="1">IF(N(I59)&gt;0,VLOOKUP(I59,Hraci!$A$1:$I$1500,2,0),IF(TYPE(INDIRECT(ADDRESS(ROW() + $A$9-9 + (ROW()-11)*4,2,1,1,"Internet")))&gt;1,INDIRECT(ADDRESS(ROW() + $A$9-9 + (ROW()-11)*4,2,1,1,"Internet"))," "))</f>
        <v>František Kožený</v>
      </c>
      <c r="K59" s="385" t="str">
        <f ca="1">IF(N(I59)&gt;0,VLOOKUP(I59,Hraci!$A$1:$I$1500,3,0)," ")</f>
        <v xml:space="preserve"> </v>
      </c>
      <c r="L59" s="385" t="str">
        <f ca="1">IF(N(I59)&gt;0,VLOOKUP(I59,Hraci!$A$1:$I$1500,5,0),IF(TYPE(INDIRECT(ADDRESS(ROW() + $A$9-9 + (ROW()-11)*4,3,1,1,"Internet")))&gt;1,INDIRECT(ADDRESS(ROW() + $A$9-9 + (ROW()-11)*4,3,1,1,"Internet"))," "))</f>
        <v xml:space="preserve"> </v>
      </c>
      <c r="M59" s="319">
        <f ca="1">IF(N(I59)=0,9999,VLOOKUP(I59,Hraci!$A$1:$I$1500,8,0))</f>
        <v>9999</v>
      </c>
      <c r="N59" s="386">
        <f ca="1">IF(N(I59)=0,0,VLOOKUP(I59,Hraci!$A$1:$I$1500,9,0))</f>
        <v>0</v>
      </c>
      <c r="O59" s="383" t="str">
        <f t="shared" ca="1" si="11"/>
        <v/>
      </c>
      <c r="P59" s="384" t="str">
        <f ca="1">IF(N(O59)&gt;0,VLOOKUP(O59,Hraci!$A$1:$I$1500,2,0),IF(TYPE(INDIRECT(ADDRESS(ROW() + $A$9-8 + (ROW()-11)*4,2,1,1,"Internet")))&gt;1,INDIRECT(ADDRESS(ROW() + $A$9-8 + (ROW()-11)*4,2,1,1,"Internet"))," "))</f>
        <v xml:space="preserve"> </v>
      </c>
      <c r="Q59" s="385" t="str">
        <f ca="1">IF(N(O59)&gt;0,VLOOKUP(O59,Hraci!$A$1:$I$1500,3,0)," ")</f>
        <v xml:space="preserve"> </v>
      </c>
      <c r="R59" s="385" t="str">
        <f ca="1">IF(N(O59)&gt;0,VLOOKUP(O59,Hraci!$A$1:$I$1500,5,0),IF(TYPE(INDIRECT(ADDRESS(ROW() + $A$9-8 + (ROW()-11)*4,3,1,1,"Internet")))&gt;1,INDIRECT(ADDRESS(ROW() + $A$9-8 + (ROW()-11)*4,3,1,1,"Internet"))," "))</f>
        <v xml:space="preserve"> </v>
      </c>
      <c r="S59" s="319">
        <f ca="1">IF(N(O59)=0,9999,VLOOKUP(O59,Hraci!$A$1:$I$1500,8,0))</f>
        <v>9999</v>
      </c>
      <c r="T59" s="386">
        <f ca="1">IF(N(O59)=0,0,VLOOKUP(O59,Hraci!$A$1:$I$1500,9,0))</f>
        <v>0</v>
      </c>
      <c r="U59" s="383" t="str">
        <f t="shared" ca="1" si="12"/>
        <v/>
      </c>
      <c r="V59" s="384" t="str">
        <f ca="1">IF(N(U59)&gt;0,VLOOKUP(U59,Hraci!$A$1:$I$1500,2,0),IF(TYPE(INDIRECT(ADDRESS(ROW() + $A$9-7 + (ROW()-11)*4,2,1,1,"Internet")))&gt;1,INDIRECT(ADDRESS(ROW() + $A$9-7 + (ROW()-11)*4,2,1,1,"Internet"))," "))</f>
        <v xml:space="preserve"> </v>
      </c>
      <c r="W59" s="385" t="str">
        <f ca="1">IF(N(U59)&gt;0,VLOOKUP(U59,Hraci!$A$1:$I$1500,3,0)," ")</f>
        <v xml:space="preserve"> </v>
      </c>
      <c r="X59" s="385" t="str">
        <f ca="1">IF(N(U59)&gt;0,VLOOKUP(U59,Hraci!$A$1:$I$1500,5,0),IF(TYPE(INDIRECT(ADDRESS(ROW() + $A$9-7 + (ROW()-11)*4,3,1,1,"Internet")))&gt;1,INDIRECT(ADDRESS(ROW() + $A$9-7 + (ROW()-11)*4,3,1,1,"Internet"))," "))</f>
        <v xml:space="preserve"> </v>
      </c>
      <c r="Y59" s="319">
        <f ca="1">IF(N(U59)=0,9999,VLOOKUP(U59,Hraci!$A$1:$I$1500,8,0))</f>
        <v>9999</v>
      </c>
      <c r="Z59" s="386">
        <f ca="1">IF(N(U59)=0,0,VLOOKUP(U59,Hraci!$A$1:$I$1500,9,0))</f>
        <v>0</v>
      </c>
      <c r="AA59" s="383" t="str">
        <f t="shared" ca="1" si="13"/>
        <v/>
      </c>
      <c r="AB59" s="384" t="str">
        <f ca="1">IF(N(AA59)&gt;0,VLOOKUP(AA59,Hraci!$A$1:$I$1500,2,0)," ")</f>
        <v xml:space="preserve"> </v>
      </c>
      <c r="AC59" s="385" t="str">
        <f ca="1">IF(N(AA59)&gt;0,VLOOKUP(AA59,Hraci!$A$1:$I$1500,3,0)," ")</f>
        <v xml:space="preserve"> </v>
      </c>
      <c r="AD59" s="385" t="str">
        <f ca="1">IF(N(AA59)&gt;0,VLOOKUP(AA59,Hraci!$A$1:$I$1500,5,0)," ")</f>
        <v xml:space="preserve"> </v>
      </c>
      <c r="AE59" s="319">
        <f ca="1">IF(N(AA59)=0,9999,VLOOKUP(AA59,Hraci!$A$1:$I$1500,8,0))</f>
        <v>9999</v>
      </c>
      <c r="AF59" s="386">
        <f ca="1">IF(N(AA59)=0,0,VLOOKUP(AA59,Hraci!$A$1:$I$1500,9,0))</f>
        <v>0</v>
      </c>
      <c r="AG59" s="391"/>
      <c r="AH59" s="427">
        <f ca="1">IF(TYPE(VLOOKUP(H59,Centrum!$A$3:$E$130,5,0))&lt;4,VLOOKUP(H59,Centrum!$A$3:$E$130,5,0),0)</f>
        <v>20</v>
      </c>
      <c r="AI59" s="387">
        <f ca="1">IF(N($AH59)&gt;0,VLOOKUP($AH59,Body!$A$4:$F$259,5,0),"")</f>
        <v>67.074328124999994</v>
      </c>
      <c r="AJ59" s="388">
        <f ca="1">IF(N($AH59)&gt;0,VLOOKUP($AH59,Body!$A$4:$F$259,6,0),"")</f>
        <v>0</v>
      </c>
      <c r="AK59" s="387">
        <f ca="1">IF(N($AH59)&gt;0,VLOOKUP($AH59,Body!$A$4:$F$259,2,0),"")</f>
        <v>1.75</v>
      </c>
      <c r="AL59" s="389" t="str">
        <f t="shared" ca="1" si="19"/>
        <v xml:space="preserve">49   - František Kožený  </v>
      </c>
      <c r="AM59" s="390">
        <f t="shared" ca="1" si="15"/>
        <v>0</v>
      </c>
      <c r="AN59" s="319">
        <f ca="1">IF(OR(TYPE(I59)&gt;1,TYPE(MATCH(I59,I60:I$139,0))&gt;1),0,MATCH(I59,I60:I$139,0))+IF(OR(TYPE(I59)&gt;1,TYPE(MATCH(I59,O$11:O$139,0))&gt;1),0,MATCH(I59,O$11:O$139,0))+IF(OR(TYPE(I59)&gt;1,TYPE(MATCH(I59,U$11:U$139,0))&gt;1),0,MATCH(I59,U$11:U$139,0))+IF(OR(TYPE(I59)&gt;1,TYPE(MATCH(I59,AA$11:AA$139,0))&gt;1),0,MATCH(I59,AA$11:AA$139,0))</f>
        <v>0</v>
      </c>
      <c r="AO59" s="319">
        <f ca="1">IF(OR(TYPE(O59)&gt;1,TYPE(MATCH(O59,I$11:I$139,0))&gt;1),0,MATCH(O59,I$11:I$139,0))+IF(OR(TYPE(O59)&gt;1,TYPE(MATCH(O59,O60:O$139,0))&gt;1),0,MATCH(O59,O60:O$139,0))+IF(OR(TYPE(O59)&gt;1,TYPE(MATCH(O59,U$11:U$139,0))&gt;1),0,MATCH(O59,U$11:U$139,0))+IF(OR(TYPE(O59)&gt;1,TYPE(MATCH(O59,AA$11:AA$139,0))&gt;1),0,MATCH(O59,AA$11:AA$139,0))</f>
        <v>0</v>
      </c>
      <c r="AP59" s="319">
        <f ca="1">IF(OR(TYPE(U59)&gt;1,TYPE(MATCH(U59,I$11:I$139,0))&gt;1),0,MATCH(U59,I$11:I$139,0))+IF(OR(TYPE(U59)&gt;1,TYPE(MATCH(U59,O$11:O$139,0))&gt;1),0,MATCH(U59,O$11:O$139,0))+IF(OR(TYPE(U59)&gt;1,TYPE(MATCH(U59,U60:U$139,0))&gt;1),0,MATCH(U59,U60:U$139,0))+IF(OR(TYPE(U59)&gt;1,TYPE(MATCH(U59,AA$11:AA$139,0))&gt;1),0,MATCH(U59,AA$11:AA$139,0))</f>
        <v>0</v>
      </c>
      <c r="AQ59" s="319">
        <f ca="1">IF(OR(TYPE(AA59)&gt;1,TYPE(MATCH(AA59,I$11:I$139,0))&gt;1),0,MATCH(AA59,I$11:I$139,0))+IF(OR(TYPE(AA59)&gt;1,TYPE(MATCH(AA59,O$11:O$139,0))&gt;1),0,MATCH(AA59,O$11:O$139,0))+IF(OR(TYPE(AA59)&gt;1,TYPE(MATCH(AA59,U$11:U$139,0))&gt;1),0,MATCH(U59,U$11:U$139,0))+IF(OR(TYPE(AA59)&gt;1,TYPE(MATCH(AA59,AA60:AA$139,0))&gt;1),0,MATCH(AA59,AA60:AA$139,0))</f>
        <v>0</v>
      </c>
      <c r="AR59" s="319">
        <f t="shared" ca="1" si="18"/>
        <v>0</v>
      </c>
      <c r="AT59" s="318">
        <f t="shared" ca="1" si="16"/>
        <v>0</v>
      </c>
      <c r="AU59" s="318">
        <f ca="1">IF(AND(N(I59)&gt;0,TYPE(VLOOKUP(I59,Hraci!$A$5:$A$800,1,0))&gt;3),1,0) + IF(AND(N(O59)&gt;0,TYPE(VLOOKUP(O59,Hraci!$A$5:$A$800,1,0))&gt;3),1,0) + IF(AND(N(U59)&gt;0,TYPE(VLOOKUP(U59,Hraci!$A$5:$A$800,1,0))&gt;3),1,0)</f>
        <v>0</v>
      </c>
      <c r="BF59" s="319">
        <f t="shared" si="17"/>
        <v>49</v>
      </c>
    </row>
    <row r="60" spans="1:58" ht="12.9" x14ac:dyDescent="0.45">
      <c r="A60" s="302">
        <f t="shared" ca="1" si="2"/>
        <v>1</v>
      </c>
      <c r="B60" s="302">
        <f t="shared" ca="1" si="3"/>
        <v>1</v>
      </c>
      <c r="C60" s="302">
        <f t="shared" ca="1" si="4"/>
        <v>0</v>
      </c>
      <c r="D60" s="302">
        <f t="shared" ca="1" si="5"/>
        <v>29997</v>
      </c>
      <c r="E60" s="302">
        <f t="shared" ca="1" si="6"/>
        <v>9999</v>
      </c>
      <c r="F60" s="343" t="str">
        <f t="shared" ca="1" si="7"/>
        <v>01000000000000000000465835</v>
      </c>
      <c r="G60" s="381" t="b">
        <f t="shared" ca="1" si="8"/>
        <v>0</v>
      </c>
      <c r="H60" s="382">
        <f t="shared" si="9"/>
        <v>50</v>
      </c>
      <c r="I60" s="383" t="str">
        <f t="shared" ca="1" si="10"/>
        <v/>
      </c>
      <c r="J60" s="384" t="str">
        <f ca="1">IF(N(I60)&gt;0,VLOOKUP(I60,Hraci!$A$1:$I$1500,2,0),IF(TYPE(INDIRECT(ADDRESS(ROW() + $A$9-9 + (ROW()-11)*4,2,1,1,"Internet")))&gt;1,INDIRECT(ADDRESS(ROW() + $A$9-9 + (ROW()-11)*4,2,1,1,"Internet"))," "))</f>
        <v>Jesper K, Dánsko</v>
      </c>
      <c r="K60" s="385" t="str">
        <f ca="1">IF(N(I60)&gt;0,VLOOKUP(I60,Hraci!$A$1:$I$1500,3,0)," ")</f>
        <v xml:space="preserve"> </v>
      </c>
      <c r="L60" s="385" t="str">
        <f ca="1">IF(N(I60)&gt;0,VLOOKUP(I60,Hraci!$A$1:$I$1500,5,0),IF(TYPE(INDIRECT(ADDRESS(ROW() + $A$9-9 + (ROW()-11)*4,3,1,1,"Internet")))&gt;1,INDIRECT(ADDRESS(ROW() + $A$9-9 + (ROW()-11)*4,3,1,1,"Internet"))," "))</f>
        <v xml:space="preserve"> </v>
      </c>
      <c r="M60" s="319">
        <f ca="1">IF(N(I60)=0,9999,VLOOKUP(I60,Hraci!$A$1:$I$1500,8,0))</f>
        <v>9999</v>
      </c>
      <c r="N60" s="386">
        <f ca="1">IF(N(I60)=0,0,VLOOKUP(I60,Hraci!$A$1:$I$1500,9,0))</f>
        <v>0</v>
      </c>
      <c r="O60" s="383" t="str">
        <f t="shared" ca="1" si="11"/>
        <v/>
      </c>
      <c r="P60" s="384" t="str">
        <f ca="1">IF(N(O60)&gt;0,VLOOKUP(O60,Hraci!$A$1:$I$1500,2,0),IF(TYPE(INDIRECT(ADDRESS(ROW() + $A$9-8 + (ROW()-11)*4,2,1,1,"Internet")))&gt;1,INDIRECT(ADDRESS(ROW() + $A$9-8 + (ROW()-11)*4,2,1,1,"Internet"))," "))</f>
        <v xml:space="preserve"> </v>
      </c>
      <c r="Q60" s="385" t="str">
        <f ca="1">IF(N(O60)&gt;0,VLOOKUP(O60,Hraci!$A$1:$I$1500,3,0)," ")</f>
        <v xml:space="preserve"> </v>
      </c>
      <c r="R60" s="385" t="str">
        <f ca="1">IF(N(O60)&gt;0,VLOOKUP(O60,Hraci!$A$1:$I$1500,5,0),IF(TYPE(INDIRECT(ADDRESS(ROW() + $A$9-8 + (ROW()-11)*4,3,1,1,"Internet")))&gt;1,INDIRECT(ADDRESS(ROW() + $A$9-8 + (ROW()-11)*4,3,1,1,"Internet"))," "))</f>
        <v xml:space="preserve"> </v>
      </c>
      <c r="S60" s="319">
        <f ca="1">IF(N(O60)=0,9999,VLOOKUP(O60,Hraci!$A$1:$I$1500,8,0))</f>
        <v>9999</v>
      </c>
      <c r="T60" s="386">
        <f ca="1">IF(N(O60)=0,0,VLOOKUP(O60,Hraci!$A$1:$I$1500,9,0))</f>
        <v>0</v>
      </c>
      <c r="U60" s="383" t="str">
        <f t="shared" ca="1" si="12"/>
        <v/>
      </c>
      <c r="V60" s="384" t="str">
        <f ca="1">IF(N(U60)&gt;0,VLOOKUP(U60,Hraci!$A$1:$I$1500,2,0),IF(TYPE(INDIRECT(ADDRESS(ROW() + $A$9-7 + (ROW()-11)*4,2,1,1,"Internet")))&gt;1,INDIRECT(ADDRESS(ROW() + $A$9-7 + (ROW()-11)*4,2,1,1,"Internet"))," "))</f>
        <v xml:space="preserve"> </v>
      </c>
      <c r="W60" s="385" t="str">
        <f ca="1">IF(N(U60)&gt;0,VLOOKUP(U60,Hraci!$A$1:$I$1500,3,0)," ")</f>
        <v xml:space="preserve"> </v>
      </c>
      <c r="X60" s="385" t="str">
        <f ca="1">IF(N(U60)&gt;0,VLOOKUP(U60,Hraci!$A$1:$I$1500,5,0),IF(TYPE(INDIRECT(ADDRESS(ROW() + $A$9-7 + (ROW()-11)*4,3,1,1,"Internet")))&gt;1,INDIRECT(ADDRESS(ROW() + $A$9-7 + (ROW()-11)*4,3,1,1,"Internet"))," "))</f>
        <v xml:space="preserve"> </v>
      </c>
      <c r="Y60" s="319">
        <f ca="1">IF(N(U60)=0,9999,VLOOKUP(U60,Hraci!$A$1:$I$1500,8,0))</f>
        <v>9999</v>
      </c>
      <c r="Z60" s="386">
        <f ca="1">IF(N(U60)=0,0,VLOOKUP(U60,Hraci!$A$1:$I$1500,9,0))</f>
        <v>0</v>
      </c>
      <c r="AA60" s="383" t="str">
        <f t="shared" ca="1" si="13"/>
        <v/>
      </c>
      <c r="AB60" s="384" t="str">
        <f ca="1">IF(N(AA60)&gt;0,VLOOKUP(AA60,Hraci!$A$1:$I$1500,2,0)," ")</f>
        <v xml:space="preserve"> </v>
      </c>
      <c r="AC60" s="385" t="str">
        <f ca="1">IF(N(AA60)&gt;0,VLOOKUP(AA60,Hraci!$A$1:$I$1500,3,0)," ")</f>
        <v xml:space="preserve"> </v>
      </c>
      <c r="AD60" s="385" t="str">
        <f ca="1">IF(N(AA60)&gt;0,VLOOKUP(AA60,Hraci!$A$1:$I$1500,5,0)," ")</f>
        <v xml:space="preserve"> </v>
      </c>
      <c r="AE60" s="319">
        <f ca="1">IF(N(AA60)=0,9999,VLOOKUP(AA60,Hraci!$A$1:$I$1500,8,0))</f>
        <v>9999</v>
      </c>
      <c r="AF60" s="386">
        <f ca="1">IF(N(AA60)=0,0,VLOOKUP(AA60,Hraci!$A$1:$I$1500,9,0))</f>
        <v>0</v>
      </c>
      <c r="AG60" s="391"/>
      <c r="AH60" s="427">
        <f ca="1">IF(TYPE(VLOOKUP(H60,Centrum!$A$3:$E$130,5,0))&lt;4,VLOOKUP(H60,Centrum!$A$3:$E$130,5,0),0)</f>
        <v>38</v>
      </c>
      <c r="AI60" s="387">
        <f ca="1">IF(N($AH60)&gt;0,VLOOKUP($AH60,Body!$A$4:$F$259,5,0),"")</f>
        <v>31.14165234375</v>
      </c>
      <c r="AJ60" s="388">
        <f ca="1">IF(N($AH60)&gt;0,VLOOKUP($AH60,Body!$A$4:$F$259,6,0),"")</f>
        <v>0</v>
      </c>
      <c r="AK60" s="387">
        <f ca="1">IF(N($AH60)&gt;0,VLOOKUP($AH60,Body!$A$4:$F$259,2,0),"")</f>
        <v>0.8125</v>
      </c>
      <c r="AL60" s="389" t="str">
        <f t="shared" ca="1" si="19"/>
        <v xml:space="preserve">50   - Jesper K, Dánsko  </v>
      </c>
      <c r="AM60" s="390">
        <f t="shared" ca="1" si="15"/>
        <v>0</v>
      </c>
      <c r="AN60" s="319">
        <f ca="1">IF(OR(TYPE(I60)&gt;1,TYPE(MATCH(I60,I61:I$139,0))&gt;1),0,MATCH(I60,I61:I$139,0))+IF(OR(TYPE(I60)&gt;1,TYPE(MATCH(I60,O$11:O$139,0))&gt;1),0,MATCH(I60,O$11:O$139,0))+IF(OR(TYPE(I60)&gt;1,TYPE(MATCH(I60,U$11:U$139,0))&gt;1),0,MATCH(I60,U$11:U$139,0))+IF(OR(TYPE(I60)&gt;1,TYPE(MATCH(I60,AA$11:AA$139,0))&gt;1),0,MATCH(I60,AA$11:AA$139,0))</f>
        <v>0</v>
      </c>
      <c r="AO60" s="319">
        <f ca="1">IF(OR(TYPE(O60)&gt;1,TYPE(MATCH(O60,I$11:I$139,0))&gt;1),0,MATCH(O60,I$11:I$139,0))+IF(OR(TYPE(O60)&gt;1,TYPE(MATCH(O60,O61:O$139,0))&gt;1),0,MATCH(O60,O61:O$139,0))+IF(OR(TYPE(O60)&gt;1,TYPE(MATCH(O60,U$11:U$139,0))&gt;1),0,MATCH(O60,U$11:U$139,0))+IF(OR(TYPE(O60)&gt;1,TYPE(MATCH(O60,AA$11:AA$139,0))&gt;1),0,MATCH(O60,AA$11:AA$139,0))</f>
        <v>0</v>
      </c>
      <c r="AP60" s="319">
        <f ca="1">IF(OR(TYPE(U60)&gt;1,TYPE(MATCH(U60,I$11:I$139,0))&gt;1),0,MATCH(U60,I$11:I$139,0))+IF(OR(TYPE(U60)&gt;1,TYPE(MATCH(U60,O$11:O$139,0))&gt;1),0,MATCH(U60,O$11:O$139,0))+IF(OR(TYPE(U60)&gt;1,TYPE(MATCH(U60,U61:U$139,0))&gt;1),0,MATCH(U60,U61:U$139,0))+IF(OR(TYPE(U60)&gt;1,TYPE(MATCH(U60,AA$11:AA$139,0))&gt;1),0,MATCH(U60,AA$11:AA$139,0))</f>
        <v>0</v>
      </c>
      <c r="AQ60" s="319">
        <f ca="1">IF(OR(TYPE(AA60)&gt;1,TYPE(MATCH(AA60,I$11:I$139,0))&gt;1),0,MATCH(AA60,I$11:I$139,0))+IF(OR(TYPE(AA60)&gt;1,TYPE(MATCH(AA60,O$11:O$139,0))&gt;1),0,MATCH(AA60,O$11:O$139,0))+IF(OR(TYPE(AA60)&gt;1,TYPE(MATCH(AA60,U$11:U$139,0))&gt;1),0,MATCH(U60,U$11:U$139,0))+IF(OR(TYPE(AA60)&gt;1,TYPE(MATCH(AA60,AA61:AA$139,0))&gt;1),0,MATCH(AA60,AA61:AA$139,0))</f>
        <v>0</v>
      </c>
      <c r="AR60" s="319">
        <f t="shared" ca="1" si="18"/>
        <v>0</v>
      </c>
      <c r="AT60" s="318">
        <f t="shared" ca="1" si="16"/>
        <v>0</v>
      </c>
      <c r="AU60" s="318">
        <f ca="1">IF(AND(N(I60)&gt;0,TYPE(VLOOKUP(I60,Hraci!$A$5:$A$800,1,0))&gt;3),1,0) + IF(AND(N(O60)&gt;0,TYPE(VLOOKUP(O60,Hraci!$A$5:$A$800,1,0))&gt;3),1,0) + IF(AND(N(U60)&gt;0,TYPE(VLOOKUP(U60,Hraci!$A$5:$A$800,1,0))&gt;3),1,0)</f>
        <v>0</v>
      </c>
      <c r="BF60" s="319">
        <f t="shared" si="17"/>
        <v>50</v>
      </c>
    </row>
    <row r="61" spans="1:58" ht="12.9" x14ac:dyDescent="0.45">
      <c r="A61" s="302">
        <f t="shared" ca="1" si="2"/>
        <v>1</v>
      </c>
      <c r="B61" s="302">
        <f t="shared" ca="1" si="3"/>
        <v>1</v>
      </c>
      <c r="C61" s="302">
        <f t="shared" ca="1" si="4"/>
        <v>0</v>
      </c>
      <c r="D61" s="302">
        <f t="shared" ca="1" si="5"/>
        <v>29997</v>
      </c>
      <c r="E61" s="302">
        <f t="shared" ca="1" si="6"/>
        <v>9999</v>
      </c>
      <c r="F61" s="343" t="str">
        <f t="shared" ca="1" si="7"/>
        <v>01000000000000000000498394</v>
      </c>
      <c r="G61" s="381" t="b">
        <f t="shared" ca="1" si="8"/>
        <v>0</v>
      </c>
      <c r="H61" s="382">
        <f t="shared" si="9"/>
        <v>51</v>
      </c>
      <c r="I61" s="383" t="str">
        <f t="shared" ca="1" si="10"/>
        <v/>
      </c>
      <c r="J61" s="384" t="str">
        <f ca="1">IF(N(I61)&gt;0,VLOOKUP(I61,Hraci!$A$1:$I$1500,2,0),IF(TYPE(INDIRECT(ADDRESS(ROW() + $A$9-9 + (ROW()-11)*4,2,1,1,"Internet")))&gt;1,INDIRECT(ADDRESS(ROW() + $A$9-9 + (ROW()-11)*4,2,1,1,"Internet"))," "))</f>
        <v>Erik, Dánsko</v>
      </c>
      <c r="K61" s="385" t="str">
        <f ca="1">IF(N(I61)&gt;0,VLOOKUP(I61,Hraci!$A$1:$I$1500,3,0)," ")</f>
        <v xml:space="preserve"> </v>
      </c>
      <c r="L61" s="385" t="str">
        <f ca="1">IF(N(I61)&gt;0,VLOOKUP(I61,Hraci!$A$1:$I$1500,5,0),IF(TYPE(INDIRECT(ADDRESS(ROW() + $A$9-9 + (ROW()-11)*4,3,1,1,"Internet")))&gt;1,INDIRECT(ADDRESS(ROW() + $A$9-9 + (ROW()-11)*4,3,1,1,"Internet"))," "))</f>
        <v xml:space="preserve"> </v>
      </c>
      <c r="M61" s="319">
        <f ca="1">IF(N(I61)=0,9999,VLOOKUP(I61,Hraci!$A$1:$I$1500,8,0))</f>
        <v>9999</v>
      </c>
      <c r="N61" s="386">
        <f ca="1">IF(N(I61)=0,0,VLOOKUP(I61,Hraci!$A$1:$I$1500,9,0))</f>
        <v>0</v>
      </c>
      <c r="O61" s="383" t="str">
        <f t="shared" ca="1" si="11"/>
        <v/>
      </c>
      <c r="P61" s="384" t="str">
        <f ca="1">IF(N(O61)&gt;0,VLOOKUP(O61,Hraci!$A$1:$I$1500,2,0),IF(TYPE(INDIRECT(ADDRESS(ROW() + $A$9-8 + (ROW()-11)*4,2,1,1,"Internet")))&gt;1,INDIRECT(ADDRESS(ROW() + $A$9-8 + (ROW()-11)*4,2,1,1,"Internet"))," "))</f>
        <v xml:space="preserve"> </v>
      </c>
      <c r="Q61" s="385" t="str">
        <f ca="1">IF(N(O61)&gt;0,VLOOKUP(O61,Hraci!$A$1:$I$1500,3,0)," ")</f>
        <v xml:space="preserve"> </v>
      </c>
      <c r="R61" s="385" t="str">
        <f ca="1">IF(N(O61)&gt;0,VLOOKUP(O61,Hraci!$A$1:$I$1500,5,0),IF(TYPE(INDIRECT(ADDRESS(ROW() + $A$9-8 + (ROW()-11)*4,3,1,1,"Internet")))&gt;1,INDIRECT(ADDRESS(ROW() + $A$9-8 + (ROW()-11)*4,3,1,1,"Internet"))," "))</f>
        <v xml:space="preserve"> </v>
      </c>
      <c r="S61" s="319">
        <f ca="1">IF(N(O61)=0,9999,VLOOKUP(O61,Hraci!$A$1:$I$1500,8,0))</f>
        <v>9999</v>
      </c>
      <c r="T61" s="386">
        <f ca="1">IF(N(O61)=0,0,VLOOKUP(O61,Hraci!$A$1:$I$1500,9,0))</f>
        <v>0</v>
      </c>
      <c r="U61" s="383" t="str">
        <f t="shared" ca="1" si="12"/>
        <v/>
      </c>
      <c r="V61" s="384" t="str">
        <f ca="1">IF(N(U61)&gt;0,VLOOKUP(U61,Hraci!$A$1:$I$1500,2,0),IF(TYPE(INDIRECT(ADDRESS(ROW() + $A$9-7 + (ROW()-11)*4,2,1,1,"Internet")))&gt;1,INDIRECT(ADDRESS(ROW() + $A$9-7 + (ROW()-11)*4,2,1,1,"Internet"))," "))</f>
        <v xml:space="preserve"> </v>
      </c>
      <c r="W61" s="385" t="str">
        <f ca="1">IF(N(U61)&gt;0,VLOOKUP(U61,Hraci!$A$1:$I$1500,3,0)," ")</f>
        <v xml:space="preserve"> </v>
      </c>
      <c r="X61" s="385" t="str">
        <f ca="1">IF(N(U61)&gt;0,VLOOKUP(U61,Hraci!$A$1:$I$1500,5,0),IF(TYPE(INDIRECT(ADDRESS(ROW() + $A$9-7 + (ROW()-11)*4,3,1,1,"Internet")))&gt;1,INDIRECT(ADDRESS(ROW() + $A$9-7 + (ROW()-11)*4,3,1,1,"Internet"))," "))</f>
        <v xml:space="preserve"> </v>
      </c>
      <c r="Y61" s="319">
        <f ca="1">IF(N(U61)=0,9999,VLOOKUP(U61,Hraci!$A$1:$I$1500,8,0))</f>
        <v>9999</v>
      </c>
      <c r="Z61" s="386">
        <f ca="1">IF(N(U61)=0,0,VLOOKUP(U61,Hraci!$A$1:$I$1500,9,0))</f>
        <v>0</v>
      </c>
      <c r="AA61" s="383" t="str">
        <f t="shared" ca="1" si="13"/>
        <v/>
      </c>
      <c r="AB61" s="384" t="str">
        <f ca="1">IF(N(AA61)&gt;0,VLOOKUP(AA61,Hraci!$A$1:$I$1500,2,0)," ")</f>
        <v xml:space="preserve"> </v>
      </c>
      <c r="AC61" s="385" t="str">
        <f ca="1">IF(N(AA61)&gt;0,VLOOKUP(AA61,Hraci!$A$1:$I$1500,3,0)," ")</f>
        <v xml:space="preserve"> </v>
      </c>
      <c r="AD61" s="385" t="str">
        <f ca="1">IF(N(AA61)&gt;0,VLOOKUP(AA61,Hraci!$A$1:$I$1500,5,0)," ")</f>
        <v xml:space="preserve"> </v>
      </c>
      <c r="AE61" s="319">
        <f ca="1">IF(N(AA61)=0,9999,VLOOKUP(AA61,Hraci!$A$1:$I$1500,8,0))</f>
        <v>9999</v>
      </c>
      <c r="AF61" s="386">
        <f ca="1">IF(N(AA61)=0,0,VLOOKUP(AA61,Hraci!$A$1:$I$1500,9,0))</f>
        <v>0</v>
      </c>
      <c r="AG61" s="391"/>
      <c r="AH61" s="427">
        <f ca="1">IF(TYPE(VLOOKUP(H61,Centrum!$A$3:$E$130,5,0))&lt;4,VLOOKUP(H61,Centrum!$A$3:$E$130,5,0),0)</f>
        <v>8</v>
      </c>
      <c r="AI61" s="387">
        <f ca="1">IF(N($AH61)&gt;0,VLOOKUP($AH61,Body!$A$4:$F$259,5,0),"")</f>
        <v>114.9845625</v>
      </c>
      <c r="AJ61" s="388">
        <f ca="1">IF(N($AH61)&gt;0,VLOOKUP($AH61,Body!$A$4:$F$259,6,0),"")</f>
        <v>0</v>
      </c>
      <c r="AK61" s="387">
        <f ca="1">IF(N($AH61)&gt;0,VLOOKUP($AH61,Body!$A$4:$F$259,2,0),"")</f>
        <v>3</v>
      </c>
      <c r="AL61" s="389" t="str">
        <f t="shared" ca="1" si="19"/>
        <v xml:space="preserve">51   - Erik, Dánsko  </v>
      </c>
      <c r="AM61" s="390">
        <f t="shared" ca="1" si="15"/>
        <v>0</v>
      </c>
      <c r="AN61" s="319">
        <f ca="1">IF(OR(TYPE(I61)&gt;1,TYPE(MATCH(I61,I62:I$139,0))&gt;1),0,MATCH(I61,I62:I$139,0))+IF(OR(TYPE(I61)&gt;1,TYPE(MATCH(I61,O$11:O$139,0))&gt;1),0,MATCH(I61,O$11:O$139,0))+IF(OR(TYPE(I61)&gt;1,TYPE(MATCH(I61,U$11:U$139,0))&gt;1),0,MATCH(I61,U$11:U$139,0))+IF(OR(TYPE(I61)&gt;1,TYPE(MATCH(I61,AA$11:AA$139,0))&gt;1),0,MATCH(I61,AA$11:AA$139,0))</f>
        <v>0</v>
      </c>
      <c r="AO61" s="319">
        <f ca="1">IF(OR(TYPE(O61)&gt;1,TYPE(MATCH(O61,I$11:I$139,0))&gt;1),0,MATCH(O61,I$11:I$139,0))+IF(OR(TYPE(O61)&gt;1,TYPE(MATCH(O61,O62:O$139,0))&gt;1),0,MATCH(O61,O62:O$139,0))+IF(OR(TYPE(O61)&gt;1,TYPE(MATCH(O61,U$11:U$139,0))&gt;1),0,MATCH(O61,U$11:U$139,0))+IF(OR(TYPE(O61)&gt;1,TYPE(MATCH(O61,AA$11:AA$139,0))&gt;1),0,MATCH(O61,AA$11:AA$139,0))</f>
        <v>0</v>
      </c>
      <c r="AP61" s="319">
        <f ca="1">IF(OR(TYPE(U61)&gt;1,TYPE(MATCH(U61,I$11:I$139,0))&gt;1),0,MATCH(U61,I$11:I$139,0))+IF(OR(TYPE(U61)&gt;1,TYPE(MATCH(U61,O$11:O$139,0))&gt;1),0,MATCH(U61,O$11:O$139,0))+IF(OR(TYPE(U61)&gt;1,TYPE(MATCH(U61,U62:U$139,0))&gt;1),0,MATCH(U61,U62:U$139,0))+IF(OR(TYPE(U61)&gt;1,TYPE(MATCH(U61,AA$11:AA$139,0))&gt;1),0,MATCH(U61,AA$11:AA$139,0))</f>
        <v>0</v>
      </c>
      <c r="AQ61" s="319">
        <f ca="1">IF(OR(TYPE(AA61)&gt;1,TYPE(MATCH(AA61,I$11:I$139,0))&gt;1),0,MATCH(AA61,I$11:I$139,0))+IF(OR(TYPE(AA61)&gt;1,TYPE(MATCH(AA61,O$11:O$139,0))&gt;1),0,MATCH(AA61,O$11:O$139,0))+IF(OR(TYPE(AA61)&gt;1,TYPE(MATCH(AA61,U$11:U$139,0))&gt;1),0,MATCH(U61,U$11:U$139,0))+IF(OR(TYPE(AA61)&gt;1,TYPE(MATCH(AA61,AA62:AA$139,0))&gt;1),0,MATCH(AA61,AA62:AA$139,0))</f>
        <v>0</v>
      </c>
      <c r="AR61" s="319">
        <f t="shared" ca="1" si="18"/>
        <v>0</v>
      </c>
      <c r="AT61" s="318">
        <f t="shared" ca="1" si="16"/>
        <v>0</v>
      </c>
      <c r="AU61" s="318">
        <f ca="1">IF(AND(N(I61)&gt;0,TYPE(VLOOKUP(I61,Hraci!$A$5:$A$800,1,0))&gt;3),1,0) + IF(AND(N(O61)&gt;0,TYPE(VLOOKUP(O61,Hraci!$A$5:$A$800,1,0))&gt;3),1,0) + IF(AND(N(U61)&gt;0,TYPE(VLOOKUP(U61,Hraci!$A$5:$A$800,1,0))&gt;3),1,0)</f>
        <v>0</v>
      </c>
      <c r="BF61" s="319">
        <f t="shared" si="17"/>
        <v>51</v>
      </c>
    </row>
    <row r="62" spans="1:58" ht="12.9" x14ac:dyDescent="0.45">
      <c r="A62" s="302">
        <f t="shared" ca="1" si="2"/>
        <v>1</v>
      </c>
      <c r="B62" s="302">
        <f t="shared" ca="1" si="3"/>
        <v>1</v>
      </c>
      <c r="C62" s="302">
        <f t="shared" ca="1" si="4"/>
        <v>0</v>
      </c>
      <c r="D62" s="302">
        <f t="shared" ca="1" si="5"/>
        <v>29997</v>
      </c>
      <c r="E62" s="302">
        <f t="shared" ca="1" si="6"/>
        <v>9999</v>
      </c>
      <c r="F62" s="343" t="str">
        <f t="shared" ca="1" si="7"/>
        <v>01000000000000000000217999</v>
      </c>
      <c r="G62" s="381" t="b">
        <f t="shared" ca="1" si="8"/>
        <v>0</v>
      </c>
      <c r="H62" s="382">
        <f t="shared" si="9"/>
        <v>52</v>
      </c>
      <c r="I62" s="383" t="str">
        <f t="shared" ca="1" si="10"/>
        <v/>
      </c>
      <c r="J62" s="384" t="str">
        <f ca="1">IF(N(I62)&gt;0,VLOOKUP(I62,Hraci!$A$1:$I$1500,2,0),IF(TYPE(INDIRECT(ADDRESS(ROW() + $A$9-9 + (ROW()-11)*4,2,1,1,"Internet")))&gt;1,INDIRECT(ADDRESS(ROW() + $A$9-9 + (ROW()-11)*4,2,1,1,"Internet"))," "))</f>
        <v>Jesper R, Dánsko</v>
      </c>
      <c r="K62" s="385" t="str">
        <f ca="1">IF(N(I62)&gt;0,VLOOKUP(I62,Hraci!$A$1:$I$1500,3,0)," ")</f>
        <v xml:space="preserve"> </v>
      </c>
      <c r="L62" s="385" t="str">
        <f ca="1">IF(N(I62)&gt;0,VLOOKUP(I62,Hraci!$A$1:$I$1500,5,0),IF(TYPE(INDIRECT(ADDRESS(ROW() + $A$9-9 + (ROW()-11)*4,3,1,1,"Internet")))&gt;1,INDIRECT(ADDRESS(ROW() + $A$9-9 + (ROW()-11)*4,3,1,1,"Internet"))," "))</f>
        <v xml:space="preserve"> </v>
      </c>
      <c r="M62" s="319">
        <f ca="1">IF(N(I62)=0,9999,VLOOKUP(I62,Hraci!$A$1:$I$1500,8,0))</f>
        <v>9999</v>
      </c>
      <c r="N62" s="386">
        <f ca="1">IF(N(I62)=0,0,VLOOKUP(I62,Hraci!$A$1:$I$1500,9,0))</f>
        <v>0</v>
      </c>
      <c r="O62" s="383" t="str">
        <f t="shared" ca="1" si="11"/>
        <v/>
      </c>
      <c r="P62" s="384" t="str">
        <f ca="1">IF(N(O62)&gt;0,VLOOKUP(O62,Hraci!$A$1:$I$1500,2,0),IF(TYPE(INDIRECT(ADDRESS(ROW() + $A$9-8 + (ROW()-11)*4,2,1,1,"Internet")))&gt;1,INDIRECT(ADDRESS(ROW() + $A$9-8 + (ROW()-11)*4,2,1,1,"Internet"))," "))</f>
        <v xml:space="preserve"> </v>
      </c>
      <c r="Q62" s="385" t="str">
        <f ca="1">IF(N(O62)&gt;0,VLOOKUP(O62,Hraci!$A$1:$I$1500,3,0)," ")</f>
        <v xml:space="preserve"> </v>
      </c>
      <c r="R62" s="385" t="str">
        <f ca="1">IF(N(O62)&gt;0,VLOOKUP(O62,Hraci!$A$1:$I$1500,5,0),IF(TYPE(INDIRECT(ADDRESS(ROW() + $A$9-8 + (ROW()-11)*4,3,1,1,"Internet")))&gt;1,INDIRECT(ADDRESS(ROW() + $A$9-8 + (ROW()-11)*4,3,1,1,"Internet"))," "))</f>
        <v xml:space="preserve"> </v>
      </c>
      <c r="S62" s="319">
        <f ca="1">IF(N(O62)=0,9999,VLOOKUP(O62,Hraci!$A$1:$I$1500,8,0))</f>
        <v>9999</v>
      </c>
      <c r="T62" s="386">
        <f ca="1">IF(N(O62)=0,0,VLOOKUP(O62,Hraci!$A$1:$I$1500,9,0))</f>
        <v>0</v>
      </c>
      <c r="U62" s="383" t="str">
        <f t="shared" ca="1" si="12"/>
        <v/>
      </c>
      <c r="V62" s="384" t="str">
        <f ca="1">IF(N(U62)&gt;0,VLOOKUP(U62,Hraci!$A$1:$I$1500,2,0),IF(TYPE(INDIRECT(ADDRESS(ROW() + $A$9-7 + (ROW()-11)*4,2,1,1,"Internet")))&gt;1,INDIRECT(ADDRESS(ROW() + $A$9-7 + (ROW()-11)*4,2,1,1,"Internet"))," "))</f>
        <v xml:space="preserve"> </v>
      </c>
      <c r="W62" s="385" t="str">
        <f ca="1">IF(N(U62)&gt;0,VLOOKUP(U62,Hraci!$A$1:$I$1500,3,0)," ")</f>
        <v xml:space="preserve"> </v>
      </c>
      <c r="X62" s="385" t="str">
        <f ca="1">IF(N(U62)&gt;0,VLOOKUP(U62,Hraci!$A$1:$I$1500,5,0),IF(TYPE(INDIRECT(ADDRESS(ROW() + $A$9-7 + (ROW()-11)*4,3,1,1,"Internet")))&gt;1,INDIRECT(ADDRESS(ROW() + $A$9-7 + (ROW()-11)*4,3,1,1,"Internet"))," "))</f>
        <v xml:space="preserve"> </v>
      </c>
      <c r="Y62" s="319">
        <f ca="1">IF(N(U62)=0,9999,VLOOKUP(U62,Hraci!$A$1:$I$1500,8,0))</f>
        <v>9999</v>
      </c>
      <c r="Z62" s="386">
        <f ca="1">IF(N(U62)=0,0,VLOOKUP(U62,Hraci!$A$1:$I$1500,9,0))</f>
        <v>0</v>
      </c>
      <c r="AA62" s="383" t="str">
        <f t="shared" ca="1" si="13"/>
        <v/>
      </c>
      <c r="AB62" s="384" t="str">
        <f ca="1">IF(N(AA62)&gt;0,VLOOKUP(AA62,Hraci!$A$1:$I$1500,2,0)," ")</f>
        <v xml:space="preserve"> </v>
      </c>
      <c r="AC62" s="385" t="str">
        <f ca="1">IF(N(AA62)&gt;0,VLOOKUP(AA62,Hraci!$A$1:$I$1500,3,0)," ")</f>
        <v xml:space="preserve"> </v>
      </c>
      <c r="AD62" s="385" t="str">
        <f ca="1">IF(N(AA62)&gt;0,VLOOKUP(AA62,Hraci!$A$1:$I$1500,5,0)," ")</f>
        <v xml:space="preserve"> </v>
      </c>
      <c r="AE62" s="319">
        <f ca="1">IF(N(AA62)=0,9999,VLOOKUP(AA62,Hraci!$A$1:$I$1500,8,0))</f>
        <v>9999</v>
      </c>
      <c r="AF62" s="386">
        <f ca="1">IF(N(AA62)=0,0,VLOOKUP(AA62,Hraci!$A$1:$I$1500,9,0))</f>
        <v>0</v>
      </c>
      <c r="AG62" s="391"/>
      <c r="AH62" s="427">
        <f ca="1">IF(TYPE(VLOOKUP(H62,Centrum!$A$3:$E$130,5,0))&lt;4,VLOOKUP(H62,Centrum!$A$3:$E$130,5,0),0)</f>
        <v>16</v>
      </c>
      <c r="AI62" s="387">
        <f ca="1">IF(N($AH62)&gt;0,VLOOKUP($AH62,Body!$A$4:$F$259,5,0),"")</f>
        <v>76.656374999999997</v>
      </c>
      <c r="AJ62" s="388">
        <f ca="1">IF(N($AH62)&gt;0,VLOOKUP($AH62,Body!$A$4:$F$259,6,0),"")</f>
        <v>0</v>
      </c>
      <c r="AK62" s="387">
        <f ca="1">IF(N($AH62)&gt;0,VLOOKUP($AH62,Body!$A$4:$F$259,2,0),"")</f>
        <v>2</v>
      </c>
      <c r="AL62" s="389" t="str">
        <f t="shared" ca="1" si="19"/>
        <v xml:space="preserve">52   - Jesper R, Dánsko  </v>
      </c>
      <c r="AM62" s="390">
        <f t="shared" ca="1" si="15"/>
        <v>0</v>
      </c>
      <c r="AN62" s="319">
        <f ca="1">IF(OR(TYPE(I62)&gt;1,TYPE(MATCH(I62,I63:I$139,0))&gt;1),0,MATCH(I62,I63:I$139,0))+IF(OR(TYPE(I62)&gt;1,TYPE(MATCH(I62,O$11:O$139,0))&gt;1),0,MATCH(I62,O$11:O$139,0))+IF(OR(TYPE(I62)&gt;1,TYPE(MATCH(I62,U$11:U$139,0))&gt;1),0,MATCH(I62,U$11:U$139,0))+IF(OR(TYPE(I62)&gt;1,TYPE(MATCH(I62,AA$11:AA$139,0))&gt;1),0,MATCH(I62,AA$11:AA$139,0))</f>
        <v>0</v>
      </c>
      <c r="AO62" s="319">
        <f ca="1">IF(OR(TYPE(O62)&gt;1,TYPE(MATCH(O62,I$11:I$139,0))&gt;1),0,MATCH(O62,I$11:I$139,0))+IF(OR(TYPE(O62)&gt;1,TYPE(MATCH(O62,O63:O$139,0))&gt;1),0,MATCH(O62,O63:O$139,0))+IF(OR(TYPE(O62)&gt;1,TYPE(MATCH(O62,U$11:U$139,0))&gt;1),0,MATCH(O62,U$11:U$139,0))+IF(OR(TYPE(O62)&gt;1,TYPE(MATCH(O62,AA$11:AA$139,0))&gt;1),0,MATCH(O62,AA$11:AA$139,0))</f>
        <v>0</v>
      </c>
      <c r="AP62" s="319">
        <f ca="1">IF(OR(TYPE(U62)&gt;1,TYPE(MATCH(U62,I$11:I$139,0))&gt;1),0,MATCH(U62,I$11:I$139,0))+IF(OR(TYPE(U62)&gt;1,TYPE(MATCH(U62,O$11:O$139,0))&gt;1),0,MATCH(U62,O$11:O$139,0))+IF(OR(TYPE(U62)&gt;1,TYPE(MATCH(U62,U63:U$139,0))&gt;1),0,MATCH(U62,U63:U$139,0))+IF(OR(TYPE(U62)&gt;1,TYPE(MATCH(U62,AA$11:AA$139,0))&gt;1),0,MATCH(U62,AA$11:AA$139,0))</f>
        <v>0</v>
      </c>
      <c r="AQ62" s="319">
        <f ca="1">IF(OR(TYPE(AA62)&gt;1,TYPE(MATCH(AA62,I$11:I$139,0))&gt;1),0,MATCH(AA62,I$11:I$139,0))+IF(OR(TYPE(AA62)&gt;1,TYPE(MATCH(AA62,O$11:O$139,0))&gt;1),0,MATCH(AA62,O$11:O$139,0))+IF(OR(TYPE(AA62)&gt;1,TYPE(MATCH(AA62,U$11:U$139,0))&gt;1),0,MATCH(U62,U$11:U$139,0))+IF(OR(TYPE(AA62)&gt;1,TYPE(MATCH(AA62,AA63:AA$139,0))&gt;1),0,MATCH(AA62,AA63:AA$139,0))</f>
        <v>0</v>
      </c>
      <c r="AR62" s="319">
        <f t="shared" ca="1" si="18"/>
        <v>0</v>
      </c>
      <c r="AT62" s="318">
        <f t="shared" ca="1" si="16"/>
        <v>0</v>
      </c>
      <c r="AU62" s="318">
        <f ca="1">IF(AND(N(I62)&gt;0,TYPE(VLOOKUP(I62,Hraci!$A$5:$A$800,1,0))&gt;3),1,0) + IF(AND(N(O62)&gt;0,TYPE(VLOOKUP(O62,Hraci!$A$5:$A$800,1,0))&gt;3),1,0) + IF(AND(N(U62)&gt;0,TYPE(VLOOKUP(U62,Hraci!$A$5:$A$800,1,0))&gt;3),1,0)</f>
        <v>0</v>
      </c>
      <c r="BF62" s="319">
        <f t="shared" si="17"/>
        <v>52</v>
      </c>
    </row>
    <row r="63" spans="1:58" ht="12.9" x14ac:dyDescent="0.45">
      <c r="A63" s="302">
        <f t="shared" ca="1" si="2"/>
        <v>1</v>
      </c>
      <c r="B63" s="302">
        <f t="shared" ca="1" si="3"/>
        <v>1</v>
      </c>
      <c r="C63" s="302">
        <f t="shared" ca="1" si="4"/>
        <v>0</v>
      </c>
      <c r="D63" s="302">
        <f t="shared" ca="1" si="5"/>
        <v>29997</v>
      </c>
      <c r="E63" s="302">
        <f t="shared" ca="1" si="6"/>
        <v>9999</v>
      </c>
      <c r="F63" s="343" t="str">
        <f t="shared" ca="1" si="7"/>
        <v>01000000000000000000590901</v>
      </c>
      <c r="G63" s="381" t="b">
        <f t="shared" ca="1" si="8"/>
        <v>0</v>
      </c>
      <c r="H63" s="382">
        <f t="shared" si="9"/>
        <v>53</v>
      </c>
      <c r="I63" s="383" t="str">
        <f t="shared" ca="1" si="10"/>
        <v/>
      </c>
      <c r="J63" s="384" t="str">
        <f ca="1">IF(N(I63)&gt;0,VLOOKUP(I63,Hraci!$A$1:$I$1500,2,0),IF(TYPE(INDIRECT(ADDRESS(ROW() + $A$9-9 + (ROW()-11)*4,2,1,1,"Internet")))&gt;1,INDIRECT(ADDRESS(ROW() + $A$9-9 + (ROW()-11)*4,2,1,1,"Internet"))," "))</f>
        <v>Lars Eriksen, Dánsko</v>
      </c>
      <c r="K63" s="385" t="str">
        <f ca="1">IF(N(I63)&gt;0,VLOOKUP(I63,Hraci!$A$1:$I$1500,3,0)," ")</f>
        <v xml:space="preserve"> </v>
      </c>
      <c r="L63" s="385" t="str">
        <f ca="1">IF(N(I63)&gt;0,VLOOKUP(I63,Hraci!$A$1:$I$1500,5,0),IF(TYPE(INDIRECT(ADDRESS(ROW() + $A$9-9 + (ROW()-11)*4,3,1,1,"Internet")))&gt;1,INDIRECT(ADDRESS(ROW() + $A$9-9 + (ROW()-11)*4,3,1,1,"Internet"))," "))</f>
        <v xml:space="preserve"> </v>
      </c>
      <c r="M63" s="319">
        <f ca="1">IF(N(I63)=0,9999,VLOOKUP(I63,Hraci!$A$1:$I$1500,8,0))</f>
        <v>9999</v>
      </c>
      <c r="N63" s="386">
        <f ca="1">IF(N(I63)=0,0,VLOOKUP(I63,Hraci!$A$1:$I$1500,9,0))</f>
        <v>0</v>
      </c>
      <c r="O63" s="383" t="str">
        <f t="shared" ca="1" si="11"/>
        <v/>
      </c>
      <c r="P63" s="384" t="str">
        <f ca="1">IF(N(O63)&gt;0,VLOOKUP(O63,Hraci!$A$1:$I$1500,2,0),IF(TYPE(INDIRECT(ADDRESS(ROW() + $A$9-8 + (ROW()-11)*4,2,1,1,"Internet")))&gt;1,INDIRECT(ADDRESS(ROW() + $A$9-8 + (ROW()-11)*4,2,1,1,"Internet"))," "))</f>
        <v xml:space="preserve"> </v>
      </c>
      <c r="Q63" s="385" t="str">
        <f ca="1">IF(N(O63)&gt;0,VLOOKUP(O63,Hraci!$A$1:$I$1500,3,0)," ")</f>
        <v xml:space="preserve"> </v>
      </c>
      <c r="R63" s="385" t="str">
        <f ca="1">IF(N(O63)&gt;0,VLOOKUP(O63,Hraci!$A$1:$I$1500,5,0),IF(TYPE(INDIRECT(ADDRESS(ROW() + $A$9-8 + (ROW()-11)*4,3,1,1,"Internet")))&gt;1,INDIRECT(ADDRESS(ROW() + $A$9-8 + (ROW()-11)*4,3,1,1,"Internet"))," "))</f>
        <v xml:space="preserve"> </v>
      </c>
      <c r="S63" s="319">
        <f ca="1">IF(N(O63)=0,9999,VLOOKUP(O63,Hraci!$A$1:$I$1500,8,0))</f>
        <v>9999</v>
      </c>
      <c r="T63" s="386">
        <f ca="1">IF(N(O63)=0,0,VLOOKUP(O63,Hraci!$A$1:$I$1500,9,0))</f>
        <v>0</v>
      </c>
      <c r="U63" s="383" t="str">
        <f t="shared" ca="1" si="12"/>
        <v/>
      </c>
      <c r="V63" s="384" t="str">
        <f ca="1">IF(N(U63)&gt;0,VLOOKUP(U63,Hraci!$A$1:$I$1500,2,0),IF(TYPE(INDIRECT(ADDRESS(ROW() + $A$9-7 + (ROW()-11)*4,2,1,1,"Internet")))&gt;1,INDIRECT(ADDRESS(ROW() + $A$9-7 + (ROW()-11)*4,2,1,1,"Internet"))," "))</f>
        <v xml:space="preserve"> </v>
      </c>
      <c r="W63" s="385" t="str">
        <f ca="1">IF(N(U63)&gt;0,VLOOKUP(U63,Hraci!$A$1:$I$1500,3,0)," ")</f>
        <v xml:space="preserve"> </v>
      </c>
      <c r="X63" s="385" t="str">
        <f ca="1">IF(N(U63)&gt;0,VLOOKUP(U63,Hraci!$A$1:$I$1500,5,0),IF(TYPE(INDIRECT(ADDRESS(ROW() + $A$9-7 + (ROW()-11)*4,3,1,1,"Internet")))&gt;1,INDIRECT(ADDRESS(ROW() + $A$9-7 + (ROW()-11)*4,3,1,1,"Internet"))," "))</f>
        <v xml:space="preserve"> </v>
      </c>
      <c r="Y63" s="319">
        <f ca="1">IF(N(U63)=0,9999,VLOOKUP(U63,Hraci!$A$1:$I$1500,8,0))</f>
        <v>9999</v>
      </c>
      <c r="Z63" s="386">
        <f ca="1">IF(N(U63)=0,0,VLOOKUP(U63,Hraci!$A$1:$I$1500,9,0))</f>
        <v>0</v>
      </c>
      <c r="AA63" s="383" t="str">
        <f t="shared" ca="1" si="13"/>
        <v/>
      </c>
      <c r="AB63" s="384" t="str">
        <f ca="1">IF(N(AA63)&gt;0,VLOOKUP(AA63,Hraci!$A$1:$I$1500,2,0)," ")</f>
        <v xml:space="preserve"> </v>
      </c>
      <c r="AC63" s="385" t="str">
        <f ca="1">IF(N(AA63)&gt;0,VLOOKUP(AA63,Hraci!$A$1:$I$1500,3,0)," ")</f>
        <v xml:space="preserve"> </v>
      </c>
      <c r="AD63" s="385" t="str">
        <f ca="1">IF(N(AA63)&gt;0,VLOOKUP(AA63,Hraci!$A$1:$I$1500,5,0)," ")</f>
        <v xml:space="preserve"> </v>
      </c>
      <c r="AE63" s="319">
        <f ca="1">IF(N(AA63)=0,9999,VLOOKUP(AA63,Hraci!$A$1:$I$1500,8,0))</f>
        <v>9999</v>
      </c>
      <c r="AF63" s="386">
        <f ca="1">IF(N(AA63)=0,0,VLOOKUP(AA63,Hraci!$A$1:$I$1500,9,0))</f>
        <v>0</v>
      </c>
      <c r="AG63" s="391"/>
      <c r="AH63" s="427">
        <f ca="1">IF(TYPE(VLOOKUP(H63,Centrum!$A$3:$E$130,5,0))&lt;4,VLOOKUP(H63,Centrum!$A$3:$E$130,5,0),0)</f>
        <v>30</v>
      </c>
      <c r="AI63" s="387">
        <f ca="1">IF(N($AH63)&gt;0,VLOOKUP($AH63,Body!$A$4:$F$259,5,0),"")</f>
        <v>43.1192109375</v>
      </c>
      <c r="AJ63" s="388">
        <f ca="1">IF(N($AH63)&gt;0,VLOOKUP($AH63,Body!$A$4:$F$259,6,0),"")</f>
        <v>0</v>
      </c>
      <c r="AK63" s="387">
        <f ca="1">IF(N($AH63)&gt;0,VLOOKUP($AH63,Body!$A$4:$F$259,2,0),"")</f>
        <v>1.125</v>
      </c>
      <c r="AL63" s="389" t="str">
        <f t="shared" ca="1" si="19"/>
        <v xml:space="preserve">53   - Lars Eriksen, Dánsko  </v>
      </c>
      <c r="AM63" s="390">
        <f t="shared" ca="1" si="15"/>
        <v>0</v>
      </c>
      <c r="AN63" s="319">
        <f ca="1">IF(OR(TYPE(I63)&gt;1,TYPE(MATCH(I63,I64:I$139,0))&gt;1),0,MATCH(I63,I64:I$139,0))+IF(OR(TYPE(I63)&gt;1,TYPE(MATCH(I63,O$11:O$139,0))&gt;1),0,MATCH(I63,O$11:O$139,0))+IF(OR(TYPE(I63)&gt;1,TYPE(MATCH(I63,U$11:U$139,0))&gt;1),0,MATCH(I63,U$11:U$139,0))+IF(OR(TYPE(I63)&gt;1,TYPE(MATCH(I63,AA$11:AA$139,0))&gt;1),0,MATCH(I63,AA$11:AA$139,0))</f>
        <v>0</v>
      </c>
      <c r="AO63" s="319">
        <f ca="1">IF(OR(TYPE(O63)&gt;1,TYPE(MATCH(O63,I$11:I$139,0))&gt;1),0,MATCH(O63,I$11:I$139,0))+IF(OR(TYPE(O63)&gt;1,TYPE(MATCH(O63,O64:O$139,0))&gt;1),0,MATCH(O63,O64:O$139,0))+IF(OR(TYPE(O63)&gt;1,TYPE(MATCH(O63,U$11:U$139,0))&gt;1),0,MATCH(O63,U$11:U$139,0))+IF(OR(TYPE(O63)&gt;1,TYPE(MATCH(O63,AA$11:AA$139,0))&gt;1),0,MATCH(O63,AA$11:AA$139,0))</f>
        <v>0</v>
      </c>
      <c r="AP63" s="319">
        <f ca="1">IF(OR(TYPE(U63)&gt;1,TYPE(MATCH(U63,I$11:I$139,0))&gt;1),0,MATCH(U63,I$11:I$139,0))+IF(OR(TYPE(U63)&gt;1,TYPE(MATCH(U63,O$11:O$139,0))&gt;1),0,MATCH(U63,O$11:O$139,0))+IF(OR(TYPE(U63)&gt;1,TYPE(MATCH(U63,U64:U$139,0))&gt;1),0,MATCH(U63,U64:U$139,0))+IF(OR(TYPE(U63)&gt;1,TYPE(MATCH(U63,AA$11:AA$139,0))&gt;1),0,MATCH(U63,AA$11:AA$139,0))</f>
        <v>0</v>
      </c>
      <c r="AQ63" s="319">
        <f ca="1">IF(OR(TYPE(AA63)&gt;1,TYPE(MATCH(AA63,I$11:I$139,0))&gt;1),0,MATCH(AA63,I$11:I$139,0))+IF(OR(TYPE(AA63)&gt;1,TYPE(MATCH(AA63,O$11:O$139,0))&gt;1),0,MATCH(AA63,O$11:O$139,0))+IF(OR(TYPE(AA63)&gt;1,TYPE(MATCH(AA63,U$11:U$139,0))&gt;1),0,MATCH(U63,U$11:U$139,0))+IF(OR(TYPE(AA63)&gt;1,TYPE(MATCH(AA63,AA64:AA$139,0))&gt;1),0,MATCH(AA63,AA64:AA$139,0))</f>
        <v>0</v>
      </c>
      <c r="AR63" s="319">
        <f t="shared" ca="1" si="18"/>
        <v>0</v>
      </c>
      <c r="AT63" s="318">
        <f t="shared" ca="1" si="16"/>
        <v>0</v>
      </c>
      <c r="AU63" s="318">
        <f ca="1">IF(AND(N(I63)&gt;0,TYPE(VLOOKUP(I63,Hraci!$A$5:$A$800,1,0))&gt;3),1,0) + IF(AND(N(O63)&gt;0,TYPE(VLOOKUP(O63,Hraci!$A$5:$A$800,1,0))&gt;3),1,0) + IF(AND(N(U63)&gt;0,TYPE(VLOOKUP(U63,Hraci!$A$5:$A$800,1,0))&gt;3),1,0)</f>
        <v>0</v>
      </c>
      <c r="BF63" s="319">
        <f t="shared" si="17"/>
        <v>53</v>
      </c>
    </row>
    <row r="64" spans="1:58" ht="12.9" x14ac:dyDescent="0.45">
      <c r="A64" s="302">
        <f t="shared" ca="1" si="2"/>
        <v>1</v>
      </c>
      <c r="B64" s="302">
        <f t="shared" ca="1" si="3"/>
        <v>1</v>
      </c>
      <c r="C64" s="302">
        <f t="shared" ca="1" si="4"/>
        <v>0</v>
      </c>
      <c r="D64" s="302">
        <f t="shared" ca="1" si="5"/>
        <v>29997</v>
      </c>
      <c r="E64" s="302">
        <f t="shared" ca="1" si="6"/>
        <v>9999</v>
      </c>
      <c r="F64" s="343" t="str">
        <f t="shared" ca="1" si="7"/>
        <v>01000000000000000000158396</v>
      </c>
      <c r="G64" s="381" t="b">
        <f t="shared" ca="1" si="8"/>
        <v>0</v>
      </c>
      <c r="H64" s="382">
        <f t="shared" si="9"/>
        <v>54</v>
      </c>
      <c r="I64" s="383" t="str">
        <f t="shared" ca="1" si="10"/>
        <v/>
      </c>
      <c r="J64" s="384" t="str">
        <f ca="1">IF(N(I64)&gt;0,VLOOKUP(I64,Hraci!$A$1:$I$1500,2,0),IF(TYPE(INDIRECT(ADDRESS(ROW() + $A$9-9 + (ROW()-11)*4,2,1,1,"Internet")))&gt;1,INDIRECT(ADDRESS(ROW() + $A$9-9 + (ROW()-11)*4,2,1,1,"Internet"))," "))</f>
        <v>Schwede Detlef, Chemnitz, Německo</v>
      </c>
      <c r="K64" s="385" t="str">
        <f ca="1">IF(N(I64)&gt;0,VLOOKUP(I64,Hraci!$A$1:$I$1500,3,0)," ")</f>
        <v xml:space="preserve"> </v>
      </c>
      <c r="L64" s="385" t="str">
        <f ca="1">IF(N(I64)&gt;0,VLOOKUP(I64,Hraci!$A$1:$I$1500,5,0),IF(TYPE(INDIRECT(ADDRESS(ROW() + $A$9-9 + (ROW()-11)*4,3,1,1,"Internet")))&gt;1,INDIRECT(ADDRESS(ROW() + $A$9-9 + (ROW()-11)*4,3,1,1,"Internet"))," "))</f>
        <v xml:space="preserve"> </v>
      </c>
      <c r="M64" s="319">
        <f ca="1">IF(N(I64)=0,9999,VLOOKUP(I64,Hraci!$A$1:$I$1500,8,0))</f>
        <v>9999</v>
      </c>
      <c r="N64" s="386">
        <f ca="1">IF(N(I64)=0,0,VLOOKUP(I64,Hraci!$A$1:$I$1500,9,0))</f>
        <v>0</v>
      </c>
      <c r="O64" s="383" t="str">
        <f t="shared" ca="1" si="11"/>
        <v/>
      </c>
      <c r="P64" s="384" t="str">
        <f ca="1">IF(N(O64)&gt;0,VLOOKUP(O64,Hraci!$A$1:$I$1500,2,0),IF(TYPE(INDIRECT(ADDRESS(ROW() + $A$9-8 + (ROW()-11)*4,2,1,1,"Internet")))&gt;1,INDIRECT(ADDRESS(ROW() + $A$9-8 + (ROW()-11)*4,2,1,1,"Internet"))," "))</f>
        <v xml:space="preserve"> </v>
      </c>
      <c r="Q64" s="385" t="str">
        <f ca="1">IF(N(O64)&gt;0,VLOOKUP(O64,Hraci!$A$1:$I$1500,3,0)," ")</f>
        <v xml:space="preserve"> </v>
      </c>
      <c r="R64" s="385" t="str">
        <f ca="1">IF(N(O64)&gt;0,VLOOKUP(O64,Hraci!$A$1:$I$1500,5,0),IF(TYPE(INDIRECT(ADDRESS(ROW() + $A$9-8 + (ROW()-11)*4,3,1,1,"Internet")))&gt;1,INDIRECT(ADDRESS(ROW() + $A$9-8 + (ROW()-11)*4,3,1,1,"Internet"))," "))</f>
        <v xml:space="preserve"> </v>
      </c>
      <c r="S64" s="319">
        <f ca="1">IF(N(O64)=0,9999,VLOOKUP(O64,Hraci!$A$1:$I$1500,8,0))</f>
        <v>9999</v>
      </c>
      <c r="T64" s="386">
        <f ca="1">IF(N(O64)=0,0,VLOOKUP(O64,Hraci!$A$1:$I$1500,9,0))</f>
        <v>0</v>
      </c>
      <c r="U64" s="383" t="str">
        <f t="shared" ca="1" si="12"/>
        <v/>
      </c>
      <c r="V64" s="384" t="str">
        <f ca="1">IF(N(U64)&gt;0,VLOOKUP(U64,Hraci!$A$1:$I$1500,2,0),IF(TYPE(INDIRECT(ADDRESS(ROW() + $A$9-7 + (ROW()-11)*4,2,1,1,"Internet")))&gt;1,INDIRECT(ADDRESS(ROW() + $A$9-7 + (ROW()-11)*4,2,1,1,"Internet"))," "))</f>
        <v xml:space="preserve"> </v>
      </c>
      <c r="W64" s="385" t="str">
        <f ca="1">IF(N(U64)&gt;0,VLOOKUP(U64,Hraci!$A$1:$I$1500,3,0)," ")</f>
        <v xml:space="preserve"> </v>
      </c>
      <c r="X64" s="385" t="str">
        <f ca="1">IF(N(U64)&gt;0,VLOOKUP(U64,Hraci!$A$1:$I$1500,5,0),IF(TYPE(INDIRECT(ADDRESS(ROW() + $A$9-7 + (ROW()-11)*4,3,1,1,"Internet")))&gt;1,INDIRECT(ADDRESS(ROW() + $A$9-7 + (ROW()-11)*4,3,1,1,"Internet"))," "))</f>
        <v xml:space="preserve"> </v>
      </c>
      <c r="Y64" s="319">
        <f ca="1">IF(N(U64)=0,9999,VLOOKUP(U64,Hraci!$A$1:$I$1500,8,0))</f>
        <v>9999</v>
      </c>
      <c r="Z64" s="386">
        <f ca="1">IF(N(U64)=0,0,VLOOKUP(U64,Hraci!$A$1:$I$1500,9,0))</f>
        <v>0</v>
      </c>
      <c r="AA64" s="383" t="str">
        <f t="shared" ca="1" si="13"/>
        <v/>
      </c>
      <c r="AB64" s="384" t="str">
        <f ca="1">IF(N(AA64)&gt;0,VLOOKUP(AA64,Hraci!$A$1:$I$1500,2,0)," ")</f>
        <v xml:space="preserve"> </v>
      </c>
      <c r="AC64" s="385" t="str">
        <f ca="1">IF(N(AA64)&gt;0,VLOOKUP(AA64,Hraci!$A$1:$I$1500,3,0)," ")</f>
        <v xml:space="preserve"> </v>
      </c>
      <c r="AD64" s="385" t="str">
        <f ca="1">IF(N(AA64)&gt;0,VLOOKUP(AA64,Hraci!$A$1:$I$1500,5,0)," ")</f>
        <v xml:space="preserve"> </v>
      </c>
      <c r="AE64" s="319">
        <f ca="1">IF(N(AA64)=0,9999,VLOOKUP(AA64,Hraci!$A$1:$I$1500,8,0))</f>
        <v>9999</v>
      </c>
      <c r="AF64" s="386">
        <f ca="1">IF(N(AA64)=0,0,VLOOKUP(AA64,Hraci!$A$1:$I$1500,9,0))</f>
        <v>0</v>
      </c>
      <c r="AG64" s="391"/>
      <c r="AH64" s="427">
        <f ca="1">IF(TYPE(VLOOKUP(H64,Centrum!$A$3:$E$130,5,0))&lt;4,VLOOKUP(H64,Centrum!$A$3:$E$130,5,0),0)</f>
        <v>26</v>
      </c>
      <c r="AI64" s="387">
        <f ca="1">IF(N($AH64)&gt;0,VLOOKUP($AH64,Body!$A$4:$F$259,5,0),"")</f>
        <v>52.701257812499996</v>
      </c>
      <c r="AJ64" s="388">
        <f ca="1">IF(N($AH64)&gt;0,VLOOKUP($AH64,Body!$A$4:$F$259,6,0),"")</f>
        <v>0</v>
      </c>
      <c r="AK64" s="387">
        <f ca="1">IF(N($AH64)&gt;0,VLOOKUP($AH64,Body!$A$4:$F$259,2,0),"")</f>
        <v>1.375</v>
      </c>
      <c r="AL64" s="389" t="str">
        <f t="shared" ca="1" si="19"/>
        <v xml:space="preserve">54   - Schwede Detlef, Chemnitz, Německo  </v>
      </c>
      <c r="AM64" s="390">
        <f t="shared" ca="1" si="15"/>
        <v>0</v>
      </c>
      <c r="AN64" s="319">
        <f ca="1">IF(OR(TYPE(I64)&gt;1,TYPE(MATCH(I64,I65:I$139,0))&gt;1),0,MATCH(I64,I65:I$139,0))+IF(OR(TYPE(I64)&gt;1,TYPE(MATCH(I64,O$11:O$139,0))&gt;1),0,MATCH(I64,O$11:O$139,0))+IF(OR(TYPE(I64)&gt;1,TYPE(MATCH(I64,U$11:U$139,0))&gt;1),0,MATCH(I64,U$11:U$139,0))+IF(OR(TYPE(I64)&gt;1,TYPE(MATCH(I64,AA$11:AA$139,0))&gt;1),0,MATCH(I64,AA$11:AA$139,0))</f>
        <v>0</v>
      </c>
      <c r="AO64" s="319">
        <f ca="1">IF(OR(TYPE(O64)&gt;1,TYPE(MATCH(O64,I$11:I$139,0))&gt;1),0,MATCH(O64,I$11:I$139,0))+IF(OR(TYPE(O64)&gt;1,TYPE(MATCH(O64,O65:O$139,0))&gt;1),0,MATCH(O64,O65:O$139,0))+IF(OR(TYPE(O64)&gt;1,TYPE(MATCH(O64,U$11:U$139,0))&gt;1),0,MATCH(O64,U$11:U$139,0))+IF(OR(TYPE(O64)&gt;1,TYPE(MATCH(O64,AA$11:AA$139,0))&gt;1),0,MATCH(O64,AA$11:AA$139,0))</f>
        <v>0</v>
      </c>
      <c r="AP64" s="319">
        <f ca="1">IF(OR(TYPE(U64)&gt;1,TYPE(MATCH(U64,I$11:I$139,0))&gt;1),0,MATCH(U64,I$11:I$139,0))+IF(OR(TYPE(U64)&gt;1,TYPE(MATCH(U64,O$11:O$139,0))&gt;1),0,MATCH(U64,O$11:O$139,0))+IF(OR(TYPE(U64)&gt;1,TYPE(MATCH(U64,U65:U$139,0))&gt;1),0,MATCH(U64,U65:U$139,0))+IF(OR(TYPE(U64)&gt;1,TYPE(MATCH(U64,AA$11:AA$139,0))&gt;1),0,MATCH(U64,AA$11:AA$139,0))</f>
        <v>0</v>
      </c>
      <c r="AQ64" s="319">
        <f ca="1">IF(OR(TYPE(AA64)&gt;1,TYPE(MATCH(AA64,I$11:I$139,0))&gt;1),0,MATCH(AA64,I$11:I$139,0))+IF(OR(TYPE(AA64)&gt;1,TYPE(MATCH(AA64,O$11:O$139,0))&gt;1),0,MATCH(AA64,O$11:O$139,0))+IF(OR(TYPE(AA64)&gt;1,TYPE(MATCH(AA64,U$11:U$139,0))&gt;1),0,MATCH(U64,U$11:U$139,0))+IF(OR(TYPE(AA64)&gt;1,TYPE(MATCH(AA64,AA65:AA$139,0))&gt;1),0,MATCH(AA64,AA65:AA$139,0))</f>
        <v>0</v>
      </c>
      <c r="AR64" s="319">
        <f t="shared" ca="1" si="18"/>
        <v>0</v>
      </c>
      <c r="AT64" s="318">
        <f t="shared" ca="1" si="16"/>
        <v>0</v>
      </c>
      <c r="AU64" s="318">
        <f ca="1">IF(AND(N(I64)&gt;0,TYPE(VLOOKUP(I64,Hraci!$A$5:$A$800,1,0))&gt;3),1,0) + IF(AND(N(O64)&gt;0,TYPE(VLOOKUP(O64,Hraci!$A$5:$A$800,1,0))&gt;3),1,0) + IF(AND(N(U64)&gt;0,TYPE(VLOOKUP(U64,Hraci!$A$5:$A$800,1,0))&gt;3),1,0)</f>
        <v>0</v>
      </c>
      <c r="BF64" s="319">
        <f t="shared" si="17"/>
        <v>54</v>
      </c>
    </row>
    <row r="65" spans="1:58" ht="12.9" x14ac:dyDescent="0.45">
      <c r="A65" s="302">
        <f t="shared" ca="1" si="2"/>
        <v>1</v>
      </c>
      <c r="B65" s="302">
        <f t="shared" ca="1" si="3"/>
        <v>1</v>
      </c>
      <c r="C65" s="302">
        <f t="shared" ca="1" si="4"/>
        <v>0</v>
      </c>
      <c r="D65" s="302">
        <f t="shared" ca="1" si="5"/>
        <v>29997</v>
      </c>
      <c r="E65" s="302">
        <f t="shared" ca="1" si="6"/>
        <v>9999</v>
      </c>
      <c r="F65" s="343" t="str">
        <f t="shared" ca="1" si="7"/>
        <v>01000000000000000000949111</v>
      </c>
      <c r="G65" s="381" t="b">
        <f t="shared" ca="1" si="8"/>
        <v>0</v>
      </c>
      <c r="H65" s="382">
        <f t="shared" si="9"/>
        <v>55</v>
      </c>
      <c r="I65" s="383" t="str">
        <f t="shared" ca="1" si="10"/>
        <v/>
      </c>
      <c r="J65" s="384" t="str">
        <f ca="1">IF(N(I65)&gt;0,VLOOKUP(I65,Hraci!$A$1:$I$1500,2,0),IF(TYPE(INDIRECT(ADDRESS(ROW() + $A$9-9 + (ROW()-11)*4,2,1,1,"Internet")))&gt;1,INDIRECT(ADDRESS(ROW() + $A$9-9 + (ROW()-11)*4,2,1,1,"Internet"))," "))</f>
        <v>Bjarne, Dánsko</v>
      </c>
      <c r="K65" s="385" t="str">
        <f ca="1">IF(N(I65)&gt;0,VLOOKUP(I65,Hraci!$A$1:$I$1500,3,0)," ")</f>
        <v xml:space="preserve"> </v>
      </c>
      <c r="L65" s="385" t="str">
        <f ca="1">IF(N(I65)&gt;0,VLOOKUP(I65,Hraci!$A$1:$I$1500,5,0),IF(TYPE(INDIRECT(ADDRESS(ROW() + $A$9-9 + (ROW()-11)*4,3,1,1,"Internet")))&gt;1,INDIRECT(ADDRESS(ROW() + $A$9-9 + (ROW()-11)*4,3,1,1,"Internet"))," "))</f>
        <v xml:space="preserve"> </v>
      </c>
      <c r="M65" s="319">
        <f ca="1">IF(N(I65)=0,9999,VLOOKUP(I65,Hraci!$A$1:$I$1500,8,0))</f>
        <v>9999</v>
      </c>
      <c r="N65" s="386">
        <f ca="1">IF(N(I65)=0,0,VLOOKUP(I65,Hraci!$A$1:$I$1500,9,0))</f>
        <v>0</v>
      </c>
      <c r="O65" s="383" t="str">
        <f t="shared" ca="1" si="11"/>
        <v/>
      </c>
      <c r="P65" s="384" t="str">
        <f ca="1">IF(N(O65)&gt;0,VLOOKUP(O65,Hraci!$A$1:$I$1500,2,0),IF(TYPE(INDIRECT(ADDRESS(ROW() + $A$9-8 + (ROW()-11)*4,2,1,1,"Internet")))&gt;1,INDIRECT(ADDRESS(ROW() + $A$9-8 + (ROW()-11)*4,2,1,1,"Internet"))," "))</f>
        <v xml:space="preserve"> </v>
      </c>
      <c r="Q65" s="385" t="str">
        <f ca="1">IF(N(O65)&gt;0,VLOOKUP(O65,Hraci!$A$1:$I$1500,3,0)," ")</f>
        <v xml:space="preserve"> </v>
      </c>
      <c r="R65" s="385" t="str">
        <f ca="1">IF(N(O65)&gt;0,VLOOKUP(O65,Hraci!$A$1:$I$1500,5,0),IF(TYPE(INDIRECT(ADDRESS(ROW() + $A$9-8 + (ROW()-11)*4,3,1,1,"Internet")))&gt;1,INDIRECT(ADDRESS(ROW() + $A$9-8 + (ROW()-11)*4,3,1,1,"Internet"))," "))</f>
        <v xml:space="preserve"> </v>
      </c>
      <c r="S65" s="319">
        <f ca="1">IF(N(O65)=0,9999,VLOOKUP(O65,Hraci!$A$1:$I$1500,8,0))</f>
        <v>9999</v>
      </c>
      <c r="T65" s="386">
        <f ca="1">IF(N(O65)=0,0,VLOOKUP(O65,Hraci!$A$1:$I$1500,9,0))</f>
        <v>0</v>
      </c>
      <c r="U65" s="383" t="str">
        <f t="shared" ca="1" si="12"/>
        <v/>
      </c>
      <c r="V65" s="384" t="str">
        <f ca="1">IF(N(U65)&gt;0,VLOOKUP(U65,Hraci!$A$1:$I$1500,2,0),IF(TYPE(INDIRECT(ADDRESS(ROW() + $A$9-7 + (ROW()-11)*4,2,1,1,"Internet")))&gt;1,INDIRECT(ADDRESS(ROW() + $A$9-7 + (ROW()-11)*4,2,1,1,"Internet"))," "))</f>
        <v xml:space="preserve"> </v>
      </c>
      <c r="W65" s="385" t="str">
        <f ca="1">IF(N(U65)&gt;0,VLOOKUP(U65,Hraci!$A$1:$I$1500,3,0)," ")</f>
        <v xml:space="preserve"> </v>
      </c>
      <c r="X65" s="385" t="str">
        <f ca="1">IF(N(U65)&gt;0,VLOOKUP(U65,Hraci!$A$1:$I$1500,5,0),IF(TYPE(INDIRECT(ADDRESS(ROW() + $A$9-7 + (ROW()-11)*4,3,1,1,"Internet")))&gt;1,INDIRECT(ADDRESS(ROW() + $A$9-7 + (ROW()-11)*4,3,1,1,"Internet"))," "))</f>
        <v xml:space="preserve"> </v>
      </c>
      <c r="Y65" s="319">
        <f ca="1">IF(N(U65)=0,9999,VLOOKUP(U65,Hraci!$A$1:$I$1500,8,0))</f>
        <v>9999</v>
      </c>
      <c r="Z65" s="386">
        <f ca="1">IF(N(U65)=0,0,VLOOKUP(U65,Hraci!$A$1:$I$1500,9,0))</f>
        <v>0</v>
      </c>
      <c r="AA65" s="383" t="str">
        <f t="shared" ca="1" si="13"/>
        <v/>
      </c>
      <c r="AB65" s="384" t="str">
        <f ca="1">IF(N(AA65)&gt;0,VLOOKUP(AA65,Hraci!$A$1:$I$1500,2,0)," ")</f>
        <v xml:space="preserve"> </v>
      </c>
      <c r="AC65" s="385" t="str">
        <f ca="1">IF(N(AA65)&gt;0,VLOOKUP(AA65,Hraci!$A$1:$I$1500,3,0)," ")</f>
        <v xml:space="preserve"> </v>
      </c>
      <c r="AD65" s="385" t="str">
        <f ca="1">IF(N(AA65)&gt;0,VLOOKUP(AA65,Hraci!$A$1:$I$1500,5,0)," ")</f>
        <v xml:space="preserve"> </v>
      </c>
      <c r="AE65" s="319">
        <f ca="1">IF(N(AA65)=0,9999,VLOOKUP(AA65,Hraci!$A$1:$I$1500,8,0))</f>
        <v>9999</v>
      </c>
      <c r="AF65" s="386">
        <f ca="1">IF(N(AA65)=0,0,VLOOKUP(AA65,Hraci!$A$1:$I$1500,9,0))</f>
        <v>0</v>
      </c>
      <c r="AG65" s="391"/>
      <c r="AH65" s="427">
        <f ca="1">IF(TYPE(VLOOKUP(H65,Centrum!$A$3:$E$130,5,0))&lt;4,VLOOKUP(H65,Centrum!$A$3:$E$130,5,0),0)</f>
        <v>50</v>
      </c>
      <c r="AI65" s="387">
        <f ca="1">IF(N($AH65)&gt;0,VLOOKUP($AH65,Body!$A$4:$F$259,5,0),"")</f>
        <v>16.768582031249998</v>
      </c>
      <c r="AJ65" s="388">
        <f ca="1">IF(N($AH65)&gt;0,VLOOKUP($AH65,Body!$A$4:$F$259,6,0),"")</f>
        <v>0</v>
      </c>
      <c r="AK65" s="387">
        <f ca="1">IF(N($AH65)&gt;0,VLOOKUP($AH65,Body!$A$4:$F$259,2,0),"")</f>
        <v>0.4375</v>
      </c>
      <c r="AL65" s="389" t="str">
        <f t="shared" ca="1" si="19"/>
        <v xml:space="preserve">55   - Bjarne, Dánsko  </v>
      </c>
      <c r="AM65" s="390">
        <f t="shared" ca="1" si="15"/>
        <v>0</v>
      </c>
      <c r="AN65" s="319">
        <f ca="1">IF(OR(TYPE(I65)&gt;1,TYPE(MATCH(I65,I66:I$139,0))&gt;1),0,MATCH(I65,I66:I$139,0))+IF(OR(TYPE(I65)&gt;1,TYPE(MATCH(I65,O$11:O$139,0))&gt;1),0,MATCH(I65,O$11:O$139,0))+IF(OR(TYPE(I65)&gt;1,TYPE(MATCH(I65,U$11:U$139,0))&gt;1),0,MATCH(I65,U$11:U$139,0))+IF(OR(TYPE(I65)&gt;1,TYPE(MATCH(I65,AA$11:AA$139,0))&gt;1),0,MATCH(I65,AA$11:AA$139,0))</f>
        <v>0</v>
      </c>
      <c r="AO65" s="319">
        <f ca="1">IF(OR(TYPE(O65)&gt;1,TYPE(MATCH(O65,I$11:I$139,0))&gt;1),0,MATCH(O65,I$11:I$139,0))+IF(OR(TYPE(O65)&gt;1,TYPE(MATCH(O65,O66:O$139,0))&gt;1),0,MATCH(O65,O66:O$139,0))+IF(OR(TYPE(O65)&gt;1,TYPE(MATCH(O65,U$11:U$139,0))&gt;1),0,MATCH(O65,U$11:U$139,0))+IF(OR(TYPE(O65)&gt;1,TYPE(MATCH(O65,AA$11:AA$139,0))&gt;1),0,MATCH(O65,AA$11:AA$139,0))</f>
        <v>0</v>
      </c>
      <c r="AP65" s="319">
        <f ca="1">IF(OR(TYPE(U65)&gt;1,TYPE(MATCH(U65,I$11:I$139,0))&gt;1),0,MATCH(U65,I$11:I$139,0))+IF(OR(TYPE(U65)&gt;1,TYPE(MATCH(U65,O$11:O$139,0))&gt;1),0,MATCH(U65,O$11:O$139,0))+IF(OR(TYPE(U65)&gt;1,TYPE(MATCH(U65,U66:U$139,0))&gt;1),0,MATCH(U65,U66:U$139,0))+IF(OR(TYPE(U65)&gt;1,TYPE(MATCH(U65,AA$11:AA$139,0))&gt;1),0,MATCH(U65,AA$11:AA$139,0))</f>
        <v>0</v>
      </c>
      <c r="AQ65" s="319">
        <f ca="1">IF(OR(TYPE(AA65)&gt;1,TYPE(MATCH(AA65,I$11:I$139,0))&gt;1),0,MATCH(AA65,I$11:I$139,0))+IF(OR(TYPE(AA65)&gt;1,TYPE(MATCH(AA65,O$11:O$139,0))&gt;1),0,MATCH(AA65,O$11:O$139,0))+IF(OR(TYPE(AA65)&gt;1,TYPE(MATCH(AA65,U$11:U$139,0))&gt;1),0,MATCH(U65,U$11:U$139,0))+IF(OR(TYPE(AA65)&gt;1,TYPE(MATCH(AA65,AA66:AA$139,0))&gt;1),0,MATCH(AA65,AA66:AA$139,0))</f>
        <v>0</v>
      </c>
      <c r="AR65" s="319">
        <f t="shared" ca="1" si="18"/>
        <v>0</v>
      </c>
      <c r="AT65" s="318">
        <f t="shared" ca="1" si="16"/>
        <v>0</v>
      </c>
      <c r="AU65" s="318">
        <f ca="1">IF(AND(N(I65)&gt;0,TYPE(VLOOKUP(I65,Hraci!$A$5:$A$800,1,0))&gt;3),1,0) + IF(AND(N(O65)&gt;0,TYPE(VLOOKUP(O65,Hraci!$A$5:$A$800,1,0))&gt;3),1,0) + IF(AND(N(U65)&gt;0,TYPE(VLOOKUP(U65,Hraci!$A$5:$A$800,1,0))&gt;3),1,0)</f>
        <v>0</v>
      </c>
      <c r="BF65" s="319">
        <f t="shared" si="17"/>
        <v>55</v>
      </c>
    </row>
    <row r="66" spans="1:58" ht="12.9" x14ac:dyDescent="0.45">
      <c r="A66" s="302">
        <f t="shared" ca="1" si="2"/>
        <v>1</v>
      </c>
      <c r="B66" s="302">
        <f t="shared" ca="1" si="3"/>
        <v>1</v>
      </c>
      <c r="C66" s="302">
        <f t="shared" ca="1" si="4"/>
        <v>0</v>
      </c>
      <c r="D66" s="302">
        <f t="shared" ca="1" si="5"/>
        <v>29997</v>
      </c>
      <c r="E66" s="302">
        <f t="shared" ca="1" si="6"/>
        <v>9999</v>
      </c>
      <c r="F66" s="343" t="str">
        <f t="shared" ca="1" si="7"/>
        <v>01000000000000000000126539</v>
      </c>
      <c r="G66" s="381" t="b">
        <f t="shared" ca="1" si="8"/>
        <v>0</v>
      </c>
      <c r="H66" s="382">
        <f t="shared" si="9"/>
        <v>56</v>
      </c>
      <c r="I66" s="383" t="str">
        <f t="shared" ca="1" si="10"/>
        <v/>
      </c>
      <c r="J66" s="384" t="str">
        <f ca="1">IF(N(I66)&gt;0,VLOOKUP(I66,Hraci!$A$1:$I$1500,2,0),IF(TYPE(INDIRECT(ADDRESS(ROW() + $A$9-9 + (ROW()-11)*4,2,1,1,"Internet")))&gt;1,INDIRECT(ADDRESS(ROW() + $A$9-9 + (ROW()-11)*4,2,1,1,"Internet"))," "))</f>
        <v>Lohss, Hartmut, Německo</v>
      </c>
      <c r="K66" s="385" t="str">
        <f ca="1">IF(N(I66)&gt;0,VLOOKUP(I66,Hraci!$A$1:$I$1500,3,0)," ")</f>
        <v xml:space="preserve"> </v>
      </c>
      <c r="L66" s="385" t="str">
        <f ca="1">IF(N(I66)&gt;0,VLOOKUP(I66,Hraci!$A$1:$I$1500,5,0),IF(TYPE(INDIRECT(ADDRESS(ROW() + $A$9-9 + (ROW()-11)*4,3,1,1,"Internet")))&gt;1,INDIRECT(ADDRESS(ROW() + $A$9-9 + (ROW()-11)*4,3,1,1,"Internet"))," "))</f>
        <v xml:space="preserve"> </v>
      </c>
      <c r="M66" s="319">
        <f ca="1">IF(N(I66)=0,9999,VLOOKUP(I66,Hraci!$A$1:$I$1500,8,0))</f>
        <v>9999</v>
      </c>
      <c r="N66" s="386">
        <f ca="1">IF(N(I66)=0,0,VLOOKUP(I66,Hraci!$A$1:$I$1500,9,0))</f>
        <v>0</v>
      </c>
      <c r="O66" s="383" t="str">
        <f t="shared" ca="1" si="11"/>
        <v/>
      </c>
      <c r="P66" s="384" t="str">
        <f ca="1">IF(N(O66)&gt;0,VLOOKUP(O66,Hraci!$A$1:$I$1500,2,0),IF(TYPE(INDIRECT(ADDRESS(ROW() + $A$9-8 + (ROW()-11)*4,2,1,1,"Internet")))&gt;1,INDIRECT(ADDRESS(ROW() + $A$9-8 + (ROW()-11)*4,2,1,1,"Internet"))," "))</f>
        <v xml:space="preserve"> </v>
      </c>
      <c r="Q66" s="385" t="str">
        <f ca="1">IF(N(O66)&gt;0,VLOOKUP(O66,Hraci!$A$1:$I$1500,3,0)," ")</f>
        <v xml:space="preserve"> </v>
      </c>
      <c r="R66" s="385" t="str">
        <f ca="1">IF(N(O66)&gt;0,VLOOKUP(O66,Hraci!$A$1:$I$1500,5,0),IF(TYPE(INDIRECT(ADDRESS(ROW() + $A$9-8 + (ROW()-11)*4,3,1,1,"Internet")))&gt;1,INDIRECT(ADDRESS(ROW() + $A$9-8 + (ROW()-11)*4,3,1,1,"Internet"))," "))</f>
        <v xml:space="preserve"> </v>
      </c>
      <c r="S66" s="319">
        <f ca="1">IF(N(O66)=0,9999,VLOOKUP(O66,Hraci!$A$1:$I$1500,8,0))</f>
        <v>9999</v>
      </c>
      <c r="T66" s="386">
        <f ca="1">IF(N(O66)=0,0,VLOOKUP(O66,Hraci!$A$1:$I$1500,9,0))</f>
        <v>0</v>
      </c>
      <c r="U66" s="383" t="str">
        <f t="shared" ca="1" si="12"/>
        <v/>
      </c>
      <c r="V66" s="384" t="str">
        <f ca="1">IF(N(U66)&gt;0,VLOOKUP(U66,Hraci!$A$1:$I$1500,2,0),IF(TYPE(INDIRECT(ADDRESS(ROW() + $A$9-7 + (ROW()-11)*4,2,1,1,"Internet")))&gt;1,INDIRECT(ADDRESS(ROW() + $A$9-7 + (ROW()-11)*4,2,1,1,"Internet"))," "))</f>
        <v xml:space="preserve"> </v>
      </c>
      <c r="W66" s="385" t="str">
        <f ca="1">IF(N(U66)&gt;0,VLOOKUP(U66,Hraci!$A$1:$I$1500,3,0)," ")</f>
        <v xml:space="preserve"> </v>
      </c>
      <c r="X66" s="385" t="str">
        <f ca="1">IF(N(U66)&gt;0,VLOOKUP(U66,Hraci!$A$1:$I$1500,5,0),IF(TYPE(INDIRECT(ADDRESS(ROW() + $A$9-7 + (ROW()-11)*4,3,1,1,"Internet")))&gt;1,INDIRECT(ADDRESS(ROW() + $A$9-7 + (ROW()-11)*4,3,1,1,"Internet"))," "))</f>
        <v xml:space="preserve"> </v>
      </c>
      <c r="Y66" s="319">
        <f ca="1">IF(N(U66)=0,9999,VLOOKUP(U66,Hraci!$A$1:$I$1500,8,0))</f>
        <v>9999</v>
      </c>
      <c r="Z66" s="386">
        <f ca="1">IF(N(U66)=0,0,VLOOKUP(U66,Hraci!$A$1:$I$1500,9,0))</f>
        <v>0</v>
      </c>
      <c r="AA66" s="383" t="str">
        <f t="shared" ca="1" si="13"/>
        <v/>
      </c>
      <c r="AB66" s="384" t="str">
        <f ca="1">IF(N(AA66)&gt;0,VLOOKUP(AA66,Hraci!$A$1:$I$1500,2,0)," ")</f>
        <v xml:space="preserve"> </v>
      </c>
      <c r="AC66" s="385" t="str">
        <f ca="1">IF(N(AA66)&gt;0,VLOOKUP(AA66,Hraci!$A$1:$I$1500,3,0)," ")</f>
        <v xml:space="preserve"> </v>
      </c>
      <c r="AD66" s="385" t="str">
        <f ca="1">IF(N(AA66)&gt;0,VLOOKUP(AA66,Hraci!$A$1:$I$1500,5,0)," ")</f>
        <v xml:space="preserve"> </v>
      </c>
      <c r="AE66" s="319">
        <f ca="1">IF(N(AA66)=0,9999,VLOOKUP(AA66,Hraci!$A$1:$I$1500,8,0))</f>
        <v>9999</v>
      </c>
      <c r="AF66" s="386">
        <f ca="1">IF(N(AA66)=0,0,VLOOKUP(AA66,Hraci!$A$1:$I$1500,9,0))</f>
        <v>0</v>
      </c>
      <c r="AG66" s="391"/>
      <c r="AH66" s="427">
        <f ca="1">IF(TYPE(VLOOKUP(H66,Centrum!$A$3:$E$130,5,0))&lt;4,VLOOKUP(H66,Centrum!$A$3:$E$130,5,0),0)</f>
        <v>18</v>
      </c>
      <c r="AI66" s="387">
        <f ca="1">IF(N($AH66)&gt;0,VLOOKUP($AH66,Body!$A$4:$F$259,5,0),"")</f>
        <v>71.865351562499995</v>
      </c>
      <c r="AJ66" s="388">
        <f ca="1">IF(N($AH66)&gt;0,VLOOKUP($AH66,Body!$A$4:$F$259,6,0),"")</f>
        <v>0</v>
      </c>
      <c r="AK66" s="387">
        <f ca="1">IF(N($AH66)&gt;0,VLOOKUP($AH66,Body!$A$4:$F$259,2,0),"")</f>
        <v>1.875</v>
      </c>
      <c r="AL66" s="389" t="str">
        <f t="shared" ca="1" si="19"/>
        <v xml:space="preserve">56   - Lohss, Hartmut, Německo  </v>
      </c>
      <c r="AM66" s="390">
        <f t="shared" ca="1" si="15"/>
        <v>0</v>
      </c>
      <c r="AN66" s="319">
        <f ca="1">IF(OR(TYPE(I66)&gt;1,TYPE(MATCH(I66,I67:I$139,0))&gt;1),0,MATCH(I66,I67:I$139,0))+IF(OR(TYPE(I66)&gt;1,TYPE(MATCH(I66,O$11:O$139,0))&gt;1),0,MATCH(I66,O$11:O$139,0))+IF(OR(TYPE(I66)&gt;1,TYPE(MATCH(I66,U$11:U$139,0))&gt;1),0,MATCH(I66,U$11:U$139,0))+IF(OR(TYPE(I66)&gt;1,TYPE(MATCH(I66,AA$11:AA$139,0))&gt;1),0,MATCH(I66,AA$11:AA$139,0))</f>
        <v>0</v>
      </c>
      <c r="AO66" s="319">
        <f ca="1">IF(OR(TYPE(O66)&gt;1,TYPE(MATCH(O66,I$11:I$139,0))&gt;1),0,MATCH(O66,I$11:I$139,0))+IF(OR(TYPE(O66)&gt;1,TYPE(MATCH(O66,O67:O$139,0))&gt;1),0,MATCH(O66,O67:O$139,0))+IF(OR(TYPE(O66)&gt;1,TYPE(MATCH(O66,U$11:U$139,0))&gt;1),0,MATCH(O66,U$11:U$139,0))+IF(OR(TYPE(O66)&gt;1,TYPE(MATCH(O66,AA$11:AA$139,0))&gt;1),0,MATCH(O66,AA$11:AA$139,0))</f>
        <v>0</v>
      </c>
      <c r="AP66" s="319">
        <f ca="1">IF(OR(TYPE(U66)&gt;1,TYPE(MATCH(U66,I$11:I$139,0))&gt;1),0,MATCH(U66,I$11:I$139,0))+IF(OR(TYPE(U66)&gt;1,TYPE(MATCH(U66,O$11:O$139,0))&gt;1),0,MATCH(U66,O$11:O$139,0))+IF(OR(TYPE(U66)&gt;1,TYPE(MATCH(U66,U67:U$139,0))&gt;1),0,MATCH(U66,U67:U$139,0))+IF(OR(TYPE(U66)&gt;1,TYPE(MATCH(U66,AA$11:AA$139,0))&gt;1),0,MATCH(U66,AA$11:AA$139,0))</f>
        <v>0</v>
      </c>
      <c r="AQ66" s="319">
        <f ca="1">IF(OR(TYPE(AA66)&gt;1,TYPE(MATCH(AA66,I$11:I$139,0))&gt;1),0,MATCH(AA66,I$11:I$139,0))+IF(OR(TYPE(AA66)&gt;1,TYPE(MATCH(AA66,O$11:O$139,0))&gt;1),0,MATCH(AA66,O$11:O$139,0))+IF(OR(TYPE(AA66)&gt;1,TYPE(MATCH(AA66,U$11:U$139,0))&gt;1),0,MATCH(U66,U$11:U$139,0))+IF(OR(TYPE(AA66)&gt;1,TYPE(MATCH(AA66,AA67:AA$139,0))&gt;1),0,MATCH(AA66,AA67:AA$139,0))</f>
        <v>0</v>
      </c>
      <c r="AR66" s="319">
        <f t="shared" ca="1" si="18"/>
        <v>0</v>
      </c>
      <c r="AT66" s="318">
        <f t="shared" ca="1" si="16"/>
        <v>0</v>
      </c>
      <c r="AU66" s="318">
        <f ca="1">IF(AND(N(I66)&gt;0,TYPE(VLOOKUP(I66,Hraci!$A$5:$A$800,1,0))&gt;3),1,0) + IF(AND(N(O66)&gt;0,TYPE(VLOOKUP(O66,Hraci!$A$5:$A$800,1,0))&gt;3),1,0) + IF(AND(N(U66)&gt;0,TYPE(VLOOKUP(U66,Hraci!$A$5:$A$800,1,0))&gt;3),1,0)</f>
        <v>0</v>
      </c>
      <c r="BF66" s="319">
        <f t="shared" si="17"/>
        <v>56</v>
      </c>
    </row>
    <row r="67" spans="1:58" ht="12.9" x14ac:dyDescent="0.45">
      <c r="A67" s="302">
        <f t="shared" ca="1" si="2"/>
        <v>1</v>
      </c>
      <c r="B67" s="302">
        <f t="shared" ca="1" si="3"/>
        <v>1</v>
      </c>
      <c r="C67" s="302">
        <f t="shared" ca="1" si="4"/>
        <v>0</v>
      </c>
      <c r="D67" s="302">
        <f t="shared" ca="1" si="5"/>
        <v>29997</v>
      </c>
      <c r="E67" s="302">
        <f t="shared" ca="1" si="6"/>
        <v>9999</v>
      </c>
      <c r="F67" s="343" t="str">
        <f t="shared" ca="1" si="7"/>
        <v>01000000000000000000324286</v>
      </c>
      <c r="G67" s="381" t="b">
        <f t="shared" ca="1" si="8"/>
        <v>0</v>
      </c>
      <c r="H67" s="382">
        <f t="shared" si="9"/>
        <v>57</v>
      </c>
      <c r="I67" s="383" t="str">
        <f t="shared" ca="1" si="10"/>
        <v/>
      </c>
      <c r="J67" s="384" t="str">
        <f ca="1">IF(N(I67)&gt;0,VLOOKUP(I67,Hraci!$A$1:$I$1500,2,0),IF(TYPE(INDIRECT(ADDRESS(ROW() + $A$9-9 + (ROW()-11)*4,2,1,1,"Internet")))&gt;1,INDIRECT(ADDRESS(ROW() + $A$9-9 + (ROW()-11)*4,2,1,1,"Internet"))," "))</f>
        <v>Bo, Dánsko</v>
      </c>
      <c r="K67" s="385" t="str">
        <f ca="1">IF(N(I67)&gt;0,VLOOKUP(I67,Hraci!$A$1:$I$1500,3,0)," ")</f>
        <v xml:space="preserve"> </v>
      </c>
      <c r="L67" s="385" t="str">
        <f ca="1">IF(N(I67)&gt;0,VLOOKUP(I67,Hraci!$A$1:$I$1500,5,0),IF(TYPE(INDIRECT(ADDRESS(ROW() + $A$9-9 + (ROW()-11)*4,3,1,1,"Internet")))&gt;1,INDIRECT(ADDRESS(ROW() + $A$9-9 + (ROW()-11)*4,3,1,1,"Internet"))," "))</f>
        <v xml:space="preserve"> </v>
      </c>
      <c r="M67" s="319">
        <f ca="1">IF(N(I67)=0,9999,VLOOKUP(I67,Hraci!$A$1:$I$1500,8,0))</f>
        <v>9999</v>
      </c>
      <c r="N67" s="386">
        <f ca="1">IF(N(I67)=0,0,VLOOKUP(I67,Hraci!$A$1:$I$1500,9,0))</f>
        <v>0</v>
      </c>
      <c r="O67" s="383" t="str">
        <f t="shared" ca="1" si="11"/>
        <v/>
      </c>
      <c r="P67" s="384" t="str">
        <f ca="1">IF(N(O67)&gt;0,VLOOKUP(O67,Hraci!$A$1:$I$1500,2,0),IF(TYPE(INDIRECT(ADDRESS(ROW() + $A$9-8 + (ROW()-11)*4,2,1,1,"Internet")))&gt;1,INDIRECT(ADDRESS(ROW() + $A$9-8 + (ROW()-11)*4,2,1,1,"Internet"))," "))</f>
        <v xml:space="preserve"> </v>
      </c>
      <c r="Q67" s="385" t="str">
        <f ca="1">IF(N(O67)&gt;0,VLOOKUP(O67,Hraci!$A$1:$I$1500,3,0)," ")</f>
        <v xml:space="preserve"> </v>
      </c>
      <c r="R67" s="385" t="str">
        <f ca="1">IF(N(O67)&gt;0,VLOOKUP(O67,Hraci!$A$1:$I$1500,5,0),IF(TYPE(INDIRECT(ADDRESS(ROW() + $A$9-8 + (ROW()-11)*4,3,1,1,"Internet")))&gt;1,INDIRECT(ADDRESS(ROW() + $A$9-8 + (ROW()-11)*4,3,1,1,"Internet"))," "))</f>
        <v xml:space="preserve"> </v>
      </c>
      <c r="S67" s="319">
        <f ca="1">IF(N(O67)=0,9999,VLOOKUP(O67,Hraci!$A$1:$I$1500,8,0))</f>
        <v>9999</v>
      </c>
      <c r="T67" s="386">
        <f ca="1">IF(N(O67)=0,0,VLOOKUP(O67,Hraci!$A$1:$I$1500,9,0))</f>
        <v>0</v>
      </c>
      <c r="U67" s="383" t="str">
        <f t="shared" ca="1" si="12"/>
        <v/>
      </c>
      <c r="V67" s="384" t="str">
        <f ca="1">IF(N(U67)&gt;0,VLOOKUP(U67,Hraci!$A$1:$I$1500,2,0),IF(TYPE(INDIRECT(ADDRESS(ROW() + $A$9-7 + (ROW()-11)*4,2,1,1,"Internet")))&gt;1,INDIRECT(ADDRESS(ROW() + $A$9-7 + (ROW()-11)*4,2,1,1,"Internet"))," "))</f>
        <v xml:space="preserve"> </v>
      </c>
      <c r="W67" s="385" t="str">
        <f ca="1">IF(N(U67)&gt;0,VLOOKUP(U67,Hraci!$A$1:$I$1500,3,0)," ")</f>
        <v xml:space="preserve"> </v>
      </c>
      <c r="X67" s="385" t="str">
        <f ca="1">IF(N(U67)&gt;0,VLOOKUP(U67,Hraci!$A$1:$I$1500,5,0),IF(TYPE(INDIRECT(ADDRESS(ROW() + $A$9-7 + (ROW()-11)*4,3,1,1,"Internet")))&gt;1,INDIRECT(ADDRESS(ROW() + $A$9-7 + (ROW()-11)*4,3,1,1,"Internet"))," "))</f>
        <v xml:space="preserve"> </v>
      </c>
      <c r="Y67" s="319">
        <f ca="1">IF(N(U67)=0,9999,VLOOKUP(U67,Hraci!$A$1:$I$1500,8,0))</f>
        <v>9999</v>
      </c>
      <c r="Z67" s="386">
        <f ca="1">IF(N(U67)=0,0,VLOOKUP(U67,Hraci!$A$1:$I$1500,9,0))</f>
        <v>0</v>
      </c>
      <c r="AA67" s="383" t="str">
        <f t="shared" ca="1" si="13"/>
        <v/>
      </c>
      <c r="AB67" s="384" t="str">
        <f ca="1">IF(N(AA67)&gt;0,VLOOKUP(AA67,Hraci!$A$1:$I$1500,2,0)," ")</f>
        <v xml:space="preserve"> </v>
      </c>
      <c r="AC67" s="385" t="str">
        <f ca="1">IF(N(AA67)&gt;0,VLOOKUP(AA67,Hraci!$A$1:$I$1500,3,0)," ")</f>
        <v xml:space="preserve"> </v>
      </c>
      <c r="AD67" s="385" t="str">
        <f ca="1">IF(N(AA67)&gt;0,VLOOKUP(AA67,Hraci!$A$1:$I$1500,5,0)," ")</f>
        <v xml:space="preserve"> </v>
      </c>
      <c r="AE67" s="319">
        <f ca="1">IF(N(AA67)=0,9999,VLOOKUP(AA67,Hraci!$A$1:$I$1500,8,0))</f>
        <v>9999</v>
      </c>
      <c r="AF67" s="386">
        <f ca="1">IF(N(AA67)=0,0,VLOOKUP(AA67,Hraci!$A$1:$I$1500,9,0))</f>
        <v>0</v>
      </c>
      <c r="AG67" s="391"/>
      <c r="AH67" s="427">
        <f ca="1">IF(TYPE(VLOOKUP(H67,Centrum!$A$3:$E$130,5,0))&lt;4,VLOOKUP(H67,Centrum!$A$3:$E$130,5,0),0)</f>
        <v>31</v>
      </c>
      <c r="AI67" s="387">
        <f ca="1">IF(N($AH67)&gt;0,VLOOKUP($AH67,Body!$A$4:$F$259,5,0),"")</f>
        <v>40.723699218749999</v>
      </c>
      <c r="AJ67" s="388">
        <f ca="1">IF(N($AH67)&gt;0,VLOOKUP($AH67,Body!$A$4:$F$259,6,0),"")</f>
        <v>0</v>
      </c>
      <c r="AK67" s="387">
        <f ca="1">IF(N($AH67)&gt;0,VLOOKUP($AH67,Body!$A$4:$F$259,2,0),"")</f>
        <v>1.0625</v>
      </c>
      <c r="AL67" s="389" t="str">
        <f t="shared" ca="1" si="19"/>
        <v xml:space="preserve">57   - Bo, Dánsko  </v>
      </c>
      <c r="AM67" s="390">
        <f t="shared" ca="1" si="15"/>
        <v>0</v>
      </c>
      <c r="AN67" s="319">
        <f ca="1">IF(OR(TYPE(I67)&gt;1,TYPE(MATCH(I67,I68:I$139,0))&gt;1),0,MATCH(I67,I68:I$139,0))+IF(OR(TYPE(I67)&gt;1,TYPE(MATCH(I67,O$11:O$139,0))&gt;1),0,MATCH(I67,O$11:O$139,0))+IF(OR(TYPE(I67)&gt;1,TYPE(MATCH(I67,U$11:U$139,0))&gt;1),0,MATCH(I67,U$11:U$139,0))+IF(OR(TYPE(I67)&gt;1,TYPE(MATCH(I67,AA$11:AA$139,0))&gt;1),0,MATCH(I67,AA$11:AA$139,0))</f>
        <v>0</v>
      </c>
      <c r="AO67" s="319">
        <f ca="1">IF(OR(TYPE(O67)&gt;1,TYPE(MATCH(O67,I$11:I$139,0))&gt;1),0,MATCH(O67,I$11:I$139,0))+IF(OR(TYPE(O67)&gt;1,TYPE(MATCH(O67,O68:O$139,0))&gt;1),0,MATCH(O67,O68:O$139,0))+IF(OR(TYPE(O67)&gt;1,TYPE(MATCH(O67,U$11:U$139,0))&gt;1),0,MATCH(O67,U$11:U$139,0))+IF(OR(TYPE(O67)&gt;1,TYPE(MATCH(O67,AA$11:AA$139,0))&gt;1),0,MATCH(O67,AA$11:AA$139,0))</f>
        <v>0</v>
      </c>
      <c r="AP67" s="319">
        <f ca="1">IF(OR(TYPE(U67)&gt;1,TYPE(MATCH(U67,I$11:I$139,0))&gt;1),0,MATCH(U67,I$11:I$139,0))+IF(OR(TYPE(U67)&gt;1,TYPE(MATCH(U67,O$11:O$139,0))&gt;1),0,MATCH(U67,O$11:O$139,0))+IF(OR(TYPE(U67)&gt;1,TYPE(MATCH(U67,U68:U$139,0))&gt;1),0,MATCH(U67,U68:U$139,0))+IF(OR(TYPE(U67)&gt;1,TYPE(MATCH(U67,AA$11:AA$139,0))&gt;1),0,MATCH(U67,AA$11:AA$139,0))</f>
        <v>0</v>
      </c>
      <c r="AQ67" s="319">
        <f ca="1">IF(OR(TYPE(AA67)&gt;1,TYPE(MATCH(AA67,I$11:I$139,0))&gt;1),0,MATCH(AA67,I$11:I$139,0))+IF(OR(TYPE(AA67)&gt;1,TYPE(MATCH(AA67,O$11:O$139,0))&gt;1),0,MATCH(AA67,O$11:O$139,0))+IF(OR(TYPE(AA67)&gt;1,TYPE(MATCH(AA67,U$11:U$139,0))&gt;1),0,MATCH(U67,U$11:U$139,0))+IF(OR(TYPE(AA67)&gt;1,TYPE(MATCH(AA67,AA68:AA$139,0))&gt;1),0,MATCH(AA67,AA68:AA$139,0))</f>
        <v>0</v>
      </c>
      <c r="AR67" s="319">
        <f t="shared" ca="1" si="18"/>
        <v>0</v>
      </c>
      <c r="AT67" s="318">
        <f t="shared" ca="1" si="16"/>
        <v>0</v>
      </c>
      <c r="AU67" s="318">
        <f ca="1">IF(AND(N(I67)&gt;0,TYPE(VLOOKUP(I67,Hraci!$A$5:$A$800,1,0))&gt;3),1,0) + IF(AND(N(O67)&gt;0,TYPE(VLOOKUP(O67,Hraci!$A$5:$A$800,1,0))&gt;3),1,0) + IF(AND(N(U67)&gt;0,TYPE(VLOOKUP(U67,Hraci!$A$5:$A$800,1,0))&gt;3),1,0)</f>
        <v>0</v>
      </c>
      <c r="BF67" s="319">
        <f t="shared" si="17"/>
        <v>57</v>
      </c>
    </row>
    <row r="68" spans="1:58" ht="12.9" x14ac:dyDescent="0.45">
      <c r="A68" s="302">
        <f t="shared" ca="1" si="2"/>
        <v>0</v>
      </c>
      <c r="B68" s="302">
        <f t="shared" ca="1" si="3"/>
        <v>0</v>
      </c>
      <c r="C68" s="302">
        <f t="shared" ca="1" si="4"/>
        <v>0</v>
      </c>
      <c r="D68" s="302">
        <f t="shared" ca="1" si="5"/>
        <v>99999</v>
      </c>
      <c r="E68" s="302">
        <f t="shared" ca="1" si="6"/>
        <v>9999</v>
      </c>
      <c r="F68" s="343" t="str">
        <f t="shared" ca="1" si="7"/>
        <v>00000000000000000000502171</v>
      </c>
      <c r="G68" s="381" t="b">
        <f t="shared" ca="1" si="8"/>
        <v>1</v>
      </c>
      <c r="H68" s="382">
        <f t="shared" si="9"/>
        <v>58</v>
      </c>
      <c r="I68" s="383" t="str">
        <f t="shared" ca="1" si="10"/>
        <v/>
      </c>
      <c r="J68" s="384" t="str">
        <f ca="1">IF(N(I68)&gt;0,VLOOKUP(I68,Hraci!$A$1:$I$1500,2,0),IF(TYPE(INDIRECT(ADDRESS(ROW() + $A$9-9 + (ROW()-11)*4,2,1,1,"Internet")))&gt;1,INDIRECT(ADDRESS(ROW() + $A$9-9 + (ROW()-11)*4,2,1,1,"Internet"))," "))</f>
        <v xml:space="preserve"> </v>
      </c>
      <c r="K68" s="385" t="str">
        <f ca="1">IF(N(I68)&gt;0,VLOOKUP(I68,Hraci!$A$1:$I$1500,3,0)," ")</f>
        <v xml:space="preserve"> </v>
      </c>
      <c r="L68" s="385" t="str">
        <f ca="1">IF(N(I68)&gt;0,VLOOKUP(I68,Hraci!$A$1:$I$1500,5,0),IF(TYPE(INDIRECT(ADDRESS(ROW() + $A$9-9 + (ROW()-11)*4,3,1,1,"Internet")))&gt;1,INDIRECT(ADDRESS(ROW() + $A$9-9 + (ROW()-11)*4,3,1,1,"Internet"))," "))</f>
        <v xml:space="preserve"> </v>
      </c>
      <c r="M68" s="319">
        <f ca="1">IF(N(I68)=0,9999,VLOOKUP(I68,Hraci!$A$1:$I$1500,8,0))</f>
        <v>9999</v>
      </c>
      <c r="N68" s="386">
        <f ca="1">IF(N(I68)=0,0,VLOOKUP(I68,Hraci!$A$1:$I$1500,9,0))</f>
        <v>0</v>
      </c>
      <c r="O68" s="383" t="str">
        <f t="shared" ca="1" si="11"/>
        <v/>
      </c>
      <c r="P68" s="384" t="str">
        <f ca="1">IF(N(O68)&gt;0,VLOOKUP(O68,Hraci!$A$1:$I$1500,2,0),IF(TYPE(INDIRECT(ADDRESS(ROW() + $A$9-8 + (ROW()-11)*4,2,1,1,"Internet")))&gt;1,INDIRECT(ADDRESS(ROW() + $A$9-8 + (ROW()-11)*4,2,1,1,"Internet"))," "))</f>
        <v xml:space="preserve"> </v>
      </c>
      <c r="Q68" s="385" t="str">
        <f ca="1">IF(N(O68)&gt;0,VLOOKUP(O68,Hraci!$A$1:$I$1500,3,0)," ")</f>
        <v xml:space="preserve"> </v>
      </c>
      <c r="R68" s="385" t="str">
        <f ca="1">IF(N(O68)&gt;0,VLOOKUP(O68,Hraci!$A$1:$I$1500,5,0),IF(TYPE(INDIRECT(ADDRESS(ROW() + $A$9-8 + (ROW()-11)*4,3,1,1,"Internet")))&gt;1,INDIRECT(ADDRESS(ROW() + $A$9-8 + (ROW()-11)*4,3,1,1,"Internet"))," "))</f>
        <v xml:space="preserve"> </v>
      </c>
      <c r="S68" s="319">
        <f ca="1">IF(N(O68)=0,9999,VLOOKUP(O68,Hraci!$A$1:$I$1500,8,0))</f>
        <v>9999</v>
      </c>
      <c r="T68" s="386">
        <f ca="1">IF(N(O68)=0,0,VLOOKUP(O68,Hraci!$A$1:$I$1500,9,0))</f>
        <v>0</v>
      </c>
      <c r="U68" s="383" t="str">
        <f t="shared" ca="1" si="12"/>
        <v/>
      </c>
      <c r="V68" s="384" t="str">
        <f ca="1">IF(N(U68)&gt;0,VLOOKUP(U68,Hraci!$A$1:$I$1500,2,0),IF(TYPE(INDIRECT(ADDRESS(ROW() + $A$9-7 + (ROW()-11)*4,2,1,1,"Internet")))&gt;1,INDIRECT(ADDRESS(ROW() + $A$9-7 + (ROW()-11)*4,2,1,1,"Internet"))," "))</f>
        <v xml:space="preserve"> </v>
      </c>
      <c r="W68" s="385" t="str">
        <f ca="1">IF(N(U68)&gt;0,VLOOKUP(U68,Hraci!$A$1:$I$1500,3,0)," ")</f>
        <v xml:space="preserve"> </v>
      </c>
      <c r="X68" s="385" t="str">
        <f ca="1">IF(N(U68)&gt;0,VLOOKUP(U68,Hraci!$A$1:$I$1500,5,0),IF(TYPE(INDIRECT(ADDRESS(ROW() + $A$9-7 + (ROW()-11)*4,3,1,1,"Internet")))&gt;1,INDIRECT(ADDRESS(ROW() + $A$9-7 + (ROW()-11)*4,3,1,1,"Internet"))," "))</f>
        <v xml:space="preserve"> </v>
      </c>
      <c r="Y68" s="319">
        <f ca="1">IF(N(U68)=0,9999,VLOOKUP(U68,Hraci!$A$1:$I$1500,8,0))</f>
        <v>9999</v>
      </c>
      <c r="Z68" s="386">
        <f ca="1">IF(N(U68)=0,0,VLOOKUP(U68,Hraci!$A$1:$I$1500,9,0))</f>
        <v>0</v>
      </c>
      <c r="AA68" s="383" t="str">
        <f t="shared" ca="1" si="13"/>
        <v/>
      </c>
      <c r="AB68" s="384" t="str">
        <f ca="1">IF(N(AA68)&gt;0,VLOOKUP(AA68,Hraci!$A$1:$I$1500,2,0)," ")</f>
        <v xml:space="preserve"> </v>
      </c>
      <c r="AC68" s="385" t="str">
        <f ca="1">IF(N(AA68)&gt;0,VLOOKUP(AA68,Hraci!$A$1:$I$1500,3,0)," ")</f>
        <v xml:space="preserve"> </v>
      </c>
      <c r="AD68" s="385" t="str">
        <f ca="1">IF(N(AA68)&gt;0,VLOOKUP(AA68,Hraci!$A$1:$I$1500,5,0)," ")</f>
        <v xml:space="preserve"> </v>
      </c>
      <c r="AE68" s="319">
        <f ca="1">IF(N(AA68)=0,9999,VLOOKUP(AA68,Hraci!$A$1:$I$1500,8,0))</f>
        <v>9999</v>
      </c>
      <c r="AF68" s="386">
        <f ca="1">IF(N(AA68)=0,0,VLOOKUP(AA68,Hraci!$A$1:$I$1500,9,0))</f>
        <v>0</v>
      </c>
      <c r="AG68" s="391"/>
      <c r="AH68" s="427">
        <f ca="1">IF(TYPE(VLOOKUP(H68,Centrum!$A$3:$E$130,5,0))&lt;4,VLOOKUP(H68,Centrum!$A$3:$E$130,5,0),0)</f>
        <v>0</v>
      </c>
      <c r="AI68" s="387" t="str">
        <f ca="1">IF(N($AH68)&gt;0,VLOOKUP($AH68,Body!$A$4:$F$259,5,0),"")</f>
        <v/>
      </c>
      <c r="AJ68" s="388" t="str">
        <f ca="1">IF(N($AH68)&gt;0,VLOOKUP($AH68,Body!$A$4:$F$259,6,0),"")</f>
        <v/>
      </c>
      <c r="AK68" s="387" t="str">
        <f ca="1">IF(N($AH68)&gt;0,VLOOKUP($AH68,Body!$A$4:$F$259,2,0),"")</f>
        <v/>
      </c>
      <c r="AL68" s="389" t="str">
        <f t="shared" ca="1" si="19"/>
        <v/>
      </c>
      <c r="AM68" s="390">
        <f t="shared" ca="1" si="15"/>
        <v>0</v>
      </c>
      <c r="AN68" s="319">
        <f ca="1">IF(OR(TYPE(I68)&gt;1,TYPE(MATCH(I68,I69:I$139,0))&gt;1),0,MATCH(I68,I69:I$139,0))+IF(OR(TYPE(I68)&gt;1,TYPE(MATCH(I68,O$11:O$139,0))&gt;1),0,MATCH(I68,O$11:O$139,0))+IF(OR(TYPE(I68)&gt;1,TYPE(MATCH(I68,U$11:U$139,0))&gt;1),0,MATCH(I68,U$11:U$139,0))+IF(OR(TYPE(I68)&gt;1,TYPE(MATCH(I68,AA$11:AA$139,0))&gt;1),0,MATCH(I68,AA$11:AA$139,0))</f>
        <v>0</v>
      </c>
      <c r="AO68" s="319">
        <f ca="1">IF(OR(TYPE(O68)&gt;1,TYPE(MATCH(O68,I$11:I$139,0))&gt;1),0,MATCH(O68,I$11:I$139,0))+IF(OR(TYPE(O68)&gt;1,TYPE(MATCH(O68,O69:O$139,0))&gt;1),0,MATCH(O68,O69:O$139,0))+IF(OR(TYPE(O68)&gt;1,TYPE(MATCH(O68,U$11:U$139,0))&gt;1),0,MATCH(O68,U$11:U$139,0))+IF(OR(TYPE(O68)&gt;1,TYPE(MATCH(O68,AA$11:AA$139,0))&gt;1),0,MATCH(O68,AA$11:AA$139,0))</f>
        <v>0</v>
      </c>
      <c r="AP68" s="319">
        <f ca="1">IF(OR(TYPE(U68)&gt;1,TYPE(MATCH(U68,I$11:I$139,0))&gt;1),0,MATCH(U68,I$11:I$139,0))+IF(OR(TYPE(U68)&gt;1,TYPE(MATCH(U68,O$11:O$139,0))&gt;1),0,MATCH(U68,O$11:O$139,0))+IF(OR(TYPE(U68)&gt;1,TYPE(MATCH(U68,U69:U$139,0))&gt;1),0,MATCH(U68,U69:U$139,0))+IF(OR(TYPE(U68)&gt;1,TYPE(MATCH(U68,AA$11:AA$139,0))&gt;1),0,MATCH(U68,AA$11:AA$139,0))</f>
        <v>0</v>
      </c>
      <c r="AQ68" s="319">
        <f ca="1">IF(OR(TYPE(AA68)&gt;1,TYPE(MATCH(AA68,I$11:I$139,0))&gt;1),0,MATCH(AA68,I$11:I$139,0))+IF(OR(TYPE(AA68)&gt;1,TYPE(MATCH(AA68,O$11:O$139,0))&gt;1),0,MATCH(AA68,O$11:O$139,0))+IF(OR(TYPE(AA68)&gt;1,TYPE(MATCH(AA68,U$11:U$139,0))&gt;1),0,MATCH(U68,U$11:U$139,0))+IF(OR(TYPE(AA68)&gt;1,TYPE(MATCH(AA68,AA69:AA$139,0))&gt;1),0,MATCH(AA68,AA69:AA$139,0))</f>
        <v>0</v>
      </c>
      <c r="AR68" s="319">
        <f t="shared" ca="1" si="18"/>
        <v>0</v>
      </c>
      <c r="AT68" s="318">
        <f t="shared" ca="1" si="16"/>
        <v>0</v>
      </c>
      <c r="AU68" s="318">
        <f ca="1">IF(AND(N(I68)&gt;0,TYPE(VLOOKUP(I68,Hraci!$A$5:$A$800,1,0))&gt;3),1,0) + IF(AND(N(O68)&gt;0,TYPE(VLOOKUP(O68,Hraci!$A$5:$A$800,1,0))&gt;3),1,0) + IF(AND(N(U68)&gt;0,TYPE(VLOOKUP(U68,Hraci!$A$5:$A$800,1,0))&gt;3),1,0)</f>
        <v>0</v>
      </c>
      <c r="BF68" s="319">
        <f t="shared" si="17"/>
        <v>58</v>
      </c>
    </row>
    <row r="69" spans="1:58" ht="12.9" x14ac:dyDescent="0.45">
      <c r="A69" s="302">
        <f t="shared" ca="1" si="2"/>
        <v>0</v>
      </c>
      <c r="B69" s="302">
        <f t="shared" ca="1" si="3"/>
        <v>0</v>
      </c>
      <c r="C69" s="302">
        <f t="shared" ca="1" si="4"/>
        <v>0</v>
      </c>
      <c r="D69" s="302">
        <f t="shared" ca="1" si="5"/>
        <v>99999</v>
      </c>
      <c r="E69" s="302">
        <f t="shared" ca="1" si="6"/>
        <v>9999</v>
      </c>
      <c r="F69" s="343" t="str">
        <f t="shared" ca="1" si="7"/>
        <v>00000000000000000000835367</v>
      </c>
      <c r="G69" s="381" t="b">
        <f t="shared" ca="1" si="8"/>
        <v>1</v>
      </c>
      <c r="H69" s="382">
        <f t="shared" si="9"/>
        <v>59</v>
      </c>
      <c r="I69" s="383" t="str">
        <f t="shared" ca="1" si="10"/>
        <v/>
      </c>
      <c r="J69" s="384" t="str">
        <f ca="1">IF(N(I69)&gt;0,VLOOKUP(I69,Hraci!$A$1:$I$1500,2,0),IF(TYPE(INDIRECT(ADDRESS(ROW() + $A$9-9 + (ROW()-11)*4,2,1,1,"Internet")))&gt;1,INDIRECT(ADDRESS(ROW() + $A$9-9 + (ROW()-11)*4,2,1,1,"Internet"))," "))</f>
        <v xml:space="preserve"> </v>
      </c>
      <c r="K69" s="385" t="str">
        <f ca="1">IF(N(I69)&gt;0,VLOOKUP(I69,Hraci!$A$1:$I$1500,3,0)," ")</f>
        <v xml:space="preserve"> </v>
      </c>
      <c r="L69" s="385" t="str">
        <f ca="1">IF(N(I69)&gt;0,VLOOKUP(I69,Hraci!$A$1:$I$1500,5,0),IF(TYPE(INDIRECT(ADDRESS(ROW() + $A$9-9 + (ROW()-11)*4,3,1,1,"Internet")))&gt;1,INDIRECT(ADDRESS(ROW() + $A$9-9 + (ROW()-11)*4,3,1,1,"Internet"))," "))</f>
        <v xml:space="preserve"> </v>
      </c>
      <c r="M69" s="319">
        <f ca="1">IF(N(I69)=0,9999,VLOOKUP(I69,Hraci!$A$1:$I$1500,8,0))</f>
        <v>9999</v>
      </c>
      <c r="N69" s="386">
        <f ca="1">IF(N(I69)=0,0,VLOOKUP(I69,Hraci!$A$1:$I$1500,9,0))</f>
        <v>0</v>
      </c>
      <c r="O69" s="383" t="str">
        <f t="shared" ca="1" si="11"/>
        <v/>
      </c>
      <c r="P69" s="384" t="str">
        <f ca="1">IF(N(O69)&gt;0,VLOOKUP(O69,Hraci!$A$1:$I$1500,2,0),IF(TYPE(INDIRECT(ADDRESS(ROW() + $A$9-8 + (ROW()-11)*4,2,1,1,"Internet")))&gt;1,INDIRECT(ADDRESS(ROW() + $A$9-8 + (ROW()-11)*4,2,1,1,"Internet"))," "))</f>
        <v xml:space="preserve"> </v>
      </c>
      <c r="Q69" s="385" t="str">
        <f ca="1">IF(N(O69)&gt;0,VLOOKUP(O69,Hraci!$A$1:$I$1500,3,0)," ")</f>
        <v xml:space="preserve"> </v>
      </c>
      <c r="R69" s="385" t="str">
        <f ca="1">IF(N(O69)&gt;0,VLOOKUP(O69,Hraci!$A$1:$I$1500,5,0),IF(TYPE(INDIRECT(ADDRESS(ROW() + $A$9-8 + (ROW()-11)*4,3,1,1,"Internet")))&gt;1,INDIRECT(ADDRESS(ROW() + $A$9-8 + (ROW()-11)*4,3,1,1,"Internet"))," "))</f>
        <v xml:space="preserve"> </v>
      </c>
      <c r="S69" s="319">
        <f ca="1">IF(N(O69)=0,9999,VLOOKUP(O69,Hraci!$A$1:$I$1500,8,0))</f>
        <v>9999</v>
      </c>
      <c r="T69" s="386">
        <f ca="1">IF(N(O69)=0,0,VLOOKUP(O69,Hraci!$A$1:$I$1500,9,0))</f>
        <v>0</v>
      </c>
      <c r="U69" s="383" t="str">
        <f t="shared" ca="1" si="12"/>
        <v/>
      </c>
      <c r="V69" s="384" t="str">
        <f ca="1">IF(N(U69)&gt;0,VLOOKUP(U69,Hraci!$A$1:$I$1500,2,0),IF(TYPE(INDIRECT(ADDRESS(ROW() + $A$9-7 + (ROW()-11)*4,2,1,1,"Internet")))&gt;1,INDIRECT(ADDRESS(ROW() + $A$9-7 + (ROW()-11)*4,2,1,1,"Internet"))," "))</f>
        <v xml:space="preserve"> </v>
      </c>
      <c r="W69" s="385" t="str">
        <f ca="1">IF(N(U69)&gt;0,VLOOKUP(U69,Hraci!$A$1:$I$1500,3,0)," ")</f>
        <v xml:space="preserve"> </v>
      </c>
      <c r="X69" s="385" t="str">
        <f ca="1">IF(N(U69)&gt;0,VLOOKUP(U69,Hraci!$A$1:$I$1500,5,0),IF(TYPE(INDIRECT(ADDRESS(ROW() + $A$9-7 + (ROW()-11)*4,3,1,1,"Internet")))&gt;1,INDIRECT(ADDRESS(ROW() + $A$9-7 + (ROW()-11)*4,3,1,1,"Internet"))," "))</f>
        <v xml:space="preserve"> </v>
      </c>
      <c r="Y69" s="319">
        <f ca="1">IF(N(U69)=0,9999,VLOOKUP(U69,Hraci!$A$1:$I$1500,8,0))</f>
        <v>9999</v>
      </c>
      <c r="Z69" s="386">
        <f ca="1">IF(N(U69)=0,0,VLOOKUP(U69,Hraci!$A$1:$I$1500,9,0))</f>
        <v>0</v>
      </c>
      <c r="AA69" s="383" t="str">
        <f t="shared" ca="1" si="13"/>
        <v/>
      </c>
      <c r="AB69" s="384" t="str">
        <f ca="1">IF(N(AA69)&gt;0,VLOOKUP(AA69,Hraci!$A$1:$I$1500,2,0)," ")</f>
        <v xml:space="preserve"> </v>
      </c>
      <c r="AC69" s="385" t="str">
        <f ca="1">IF(N(AA69)&gt;0,VLOOKUP(AA69,Hraci!$A$1:$I$1500,3,0)," ")</f>
        <v xml:space="preserve"> </v>
      </c>
      <c r="AD69" s="385" t="str">
        <f ca="1">IF(N(AA69)&gt;0,VLOOKUP(AA69,Hraci!$A$1:$I$1500,5,0)," ")</f>
        <v xml:space="preserve"> </v>
      </c>
      <c r="AE69" s="319">
        <f ca="1">IF(N(AA69)=0,9999,VLOOKUP(AA69,Hraci!$A$1:$I$1500,8,0))</f>
        <v>9999</v>
      </c>
      <c r="AF69" s="386">
        <f ca="1">IF(N(AA69)=0,0,VLOOKUP(AA69,Hraci!$A$1:$I$1500,9,0))</f>
        <v>0</v>
      </c>
      <c r="AG69" s="391"/>
      <c r="AH69" s="427">
        <f ca="1">IF(TYPE(VLOOKUP(H69,Centrum!$A$3:$E$130,5,0))&lt;4,VLOOKUP(H69,Centrum!$A$3:$E$130,5,0),0)</f>
        <v>0</v>
      </c>
      <c r="AI69" s="387" t="str">
        <f ca="1">IF(N($AH69)&gt;0,VLOOKUP($AH69,Body!$A$4:$F$259,5,0),"")</f>
        <v/>
      </c>
      <c r="AJ69" s="388" t="str">
        <f ca="1">IF(N($AH69)&gt;0,VLOOKUP($AH69,Body!$A$4:$F$259,6,0),"")</f>
        <v/>
      </c>
      <c r="AK69" s="387" t="str">
        <f ca="1">IF(N($AH69)&gt;0,VLOOKUP($AH69,Body!$A$4:$F$259,2,0),"")</f>
        <v/>
      </c>
      <c r="AL69" s="389" t="str">
        <f t="shared" ca="1" si="19"/>
        <v/>
      </c>
      <c r="AM69" s="390">
        <f t="shared" ca="1" si="15"/>
        <v>0</v>
      </c>
      <c r="AN69" s="319">
        <f ca="1">IF(OR(TYPE(I69)&gt;1,TYPE(MATCH(I69,I70:I$139,0))&gt;1),0,MATCH(I69,I70:I$139,0))+IF(OR(TYPE(I69)&gt;1,TYPE(MATCH(I69,O$11:O$139,0))&gt;1),0,MATCH(I69,O$11:O$139,0))+IF(OR(TYPE(I69)&gt;1,TYPE(MATCH(I69,U$11:U$139,0))&gt;1),0,MATCH(I69,U$11:U$139,0))+IF(OR(TYPE(I69)&gt;1,TYPE(MATCH(I69,AA$11:AA$139,0))&gt;1),0,MATCH(I69,AA$11:AA$139,0))</f>
        <v>0</v>
      </c>
      <c r="AO69" s="319">
        <f ca="1">IF(OR(TYPE(O69)&gt;1,TYPE(MATCH(O69,I$11:I$139,0))&gt;1),0,MATCH(O69,I$11:I$139,0))+IF(OR(TYPE(O69)&gt;1,TYPE(MATCH(O69,O70:O$139,0))&gt;1),0,MATCH(O69,O70:O$139,0))+IF(OR(TYPE(O69)&gt;1,TYPE(MATCH(O69,U$11:U$139,0))&gt;1),0,MATCH(O69,U$11:U$139,0))+IF(OR(TYPE(O69)&gt;1,TYPE(MATCH(O69,AA$11:AA$139,0))&gt;1),0,MATCH(O69,AA$11:AA$139,0))</f>
        <v>0</v>
      </c>
      <c r="AP69" s="319">
        <f ca="1">IF(OR(TYPE(U69)&gt;1,TYPE(MATCH(U69,I$11:I$139,0))&gt;1),0,MATCH(U69,I$11:I$139,0))+IF(OR(TYPE(U69)&gt;1,TYPE(MATCH(U69,O$11:O$139,0))&gt;1),0,MATCH(U69,O$11:O$139,0))+IF(OR(TYPE(U69)&gt;1,TYPE(MATCH(U69,U70:U$139,0))&gt;1),0,MATCH(U69,U70:U$139,0))+IF(OR(TYPE(U69)&gt;1,TYPE(MATCH(U69,AA$11:AA$139,0))&gt;1),0,MATCH(U69,AA$11:AA$139,0))</f>
        <v>0</v>
      </c>
      <c r="AQ69" s="319">
        <f ca="1">IF(OR(TYPE(AA69)&gt;1,TYPE(MATCH(AA69,I$11:I$139,0))&gt;1),0,MATCH(AA69,I$11:I$139,0))+IF(OR(TYPE(AA69)&gt;1,TYPE(MATCH(AA69,O$11:O$139,0))&gt;1),0,MATCH(AA69,O$11:O$139,0))+IF(OR(TYPE(AA69)&gt;1,TYPE(MATCH(AA69,U$11:U$139,0))&gt;1),0,MATCH(U69,U$11:U$139,0))+IF(OR(TYPE(AA69)&gt;1,TYPE(MATCH(AA69,AA70:AA$139,0))&gt;1),0,MATCH(AA69,AA70:AA$139,0))</f>
        <v>0</v>
      </c>
      <c r="AR69" s="319">
        <f t="shared" ca="1" si="18"/>
        <v>0</v>
      </c>
      <c r="AT69" s="318">
        <f t="shared" ca="1" si="16"/>
        <v>0</v>
      </c>
      <c r="AU69" s="318">
        <f ca="1">IF(AND(N(I69)&gt;0,TYPE(VLOOKUP(I69,Hraci!$A$5:$A$800,1,0))&gt;3),1,0) + IF(AND(N(O69)&gt;0,TYPE(VLOOKUP(O69,Hraci!$A$5:$A$800,1,0))&gt;3),1,0) + IF(AND(N(U69)&gt;0,TYPE(VLOOKUP(U69,Hraci!$A$5:$A$800,1,0))&gt;3),1,0)</f>
        <v>0</v>
      </c>
      <c r="BF69" s="319">
        <f t="shared" si="17"/>
        <v>59</v>
      </c>
    </row>
    <row r="70" spans="1:58" ht="12.9" x14ac:dyDescent="0.45">
      <c r="A70" s="302">
        <f t="shared" ca="1" si="2"/>
        <v>0</v>
      </c>
      <c r="B70" s="302">
        <f t="shared" ca="1" si="3"/>
        <v>0</v>
      </c>
      <c r="C70" s="302">
        <f t="shared" ca="1" si="4"/>
        <v>0</v>
      </c>
      <c r="D70" s="302">
        <f t="shared" ca="1" si="5"/>
        <v>99999</v>
      </c>
      <c r="E70" s="302">
        <f t="shared" ca="1" si="6"/>
        <v>9999</v>
      </c>
      <c r="F70" s="343" t="str">
        <f t="shared" ca="1" si="7"/>
        <v>00000000000000000000741500</v>
      </c>
      <c r="G70" s="381" t="b">
        <f t="shared" ca="1" si="8"/>
        <v>1</v>
      </c>
      <c r="H70" s="382">
        <f t="shared" si="9"/>
        <v>60</v>
      </c>
      <c r="I70" s="383" t="str">
        <f t="shared" ca="1" si="10"/>
        <v/>
      </c>
      <c r="J70" s="384" t="str">
        <f ca="1">IF(N(I70)&gt;0,VLOOKUP(I70,Hraci!$A$1:$I$1500,2,0),IF(TYPE(INDIRECT(ADDRESS(ROW() + $A$9-9 + (ROW()-11)*4,2,1,1,"Internet")))&gt;1,INDIRECT(ADDRESS(ROW() + $A$9-9 + (ROW()-11)*4,2,1,1,"Internet"))," "))</f>
        <v xml:space="preserve"> </v>
      </c>
      <c r="K70" s="385" t="str">
        <f ca="1">IF(N(I70)&gt;0,VLOOKUP(I70,Hraci!$A$1:$I$1500,3,0)," ")</f>
        <v xml:space="preserve"> </v>
      </c>
      <c r="L70" s="385" t="str">
        <f ca="1">IF(N(I70)&gt;0,VLOOKUP(I70,Hraci!$A$1:$I$1500,5,0),IF(TYPE(INDIRECT(ADDRESS(ROW() + $A$9-9 + (ROW()-11)*4,3,1,1,"Internet")))&gt;1,INDIRECT(ADDRESS(ROW() + $A$9-9 + (ROW()-11)*4,3,1,1,"Internet"))," "))</f>
        <v xml:space="preserve"> </v>
      </c>
      <c r="M70" s="319">
        <f ca="1">IF(N(I70)=0,9999,VLOOKUP(I70,Hraci!$A$1:$I$1500,8,0))</f>
        <v>9999</v>
      </c>
      <c r="N70" s="386">
        <f ca="1">IF(N(I70)=0,0,VLOOKUP(I70,Hraci!$A$1:$I$1500,9,0))</f>
        <v>0</v>
      </c>
      <c r="O70" s="383" t="str">
        <f t="shared" ca="1" si="11"/>
        <v/>
      </c>
      <c r="P70" s="384" t="str">
        <f ca="1">IF(N(O70)&gt;0,VLOOKUP(O70,Hraci!$A$1:$I$1500,2,0),IF(TYPE(INDIRECT(ADDRESS(ROW() + $A$9-8 + (ROW()-11)*4,2,1,1,"Internet")))&gt;1,INDIRECT(ADDRESS(ROW() + $A$9-8 + (ROW()-11)*4,2,1,1,"Internet"))," "))</f>
        <v xml:space="preserve"> </v>
      </c>
      <c r="Q70" s="385" t="str">
        <f ca="1">IF(N(O70)&gt;0,VLOOKUP(O70,Hraci!$A$1:$I$1500,3,0)," ")</f>
        <v xml:space="preserve"> </v>
      </c>
      <c r="R70" s="385" t="str">
        <f ca="1">IF(N(O70)&gt;0,VLOOKUP(O70,Hraci!$A$1:$I$1500,5,0),IF(TYPE(INDIRECT(ADDRESS(ROW() + $A$9-8 + (ROW()-11)*4,3,1,1,"Internet")))&gt;1,INDIRECT(ADDRESS(ROW() + $A$9-8 + (ROW()-11)*4,3,1,1,"Internet"))," "))</f>
        <v xml:space="preserve"> </v>
      </c>
      <c r="S70" s="319">
        <f ca="1">IF(N(O70)=0,9999,VLOOKUP(O70,Hraci!$A$1:$I$1500,8,0))</f>
        <v>9999</v>
      </c>
      <c r="T70" s="386">
        <f ca="1">IF(N(O70)=0,0,VLOOKUP(O70,Hraci!$A$1:$I$1500,9,0))</f>
        <v>0</v>
      </c>
      <c r="U70" s="383" t="str">
        <f t="shared" ca="1" si="12"/>
        <v/>
      </c>
      <c r="V70" s="384" t="str">
        <f ca="1">IF(N(U70)&gt;0,VLOOKUP(U70,Hraci!$A$1:$I$1500,2,0),IF(TYPE(INDIRECT(ADDRESS(ROW() + $A$9-7 + (ROW()-11)*4,2,1,1,"Internet")))&gt;1,INDIRECT(ADDRESS(ROW() + $A$9-7 + (ROW()-11)*4,2,1,1,"Internet"))," "))</f>
        <v xml:space="preserve"> </v>
      </c>
      <c r="W70" s="385" t="str">
        <f ca="1">IF(N(U70)&gt;0,VLOOKUP(U70,Hraci!$A$1:$I$1500,3,0)," ")</f>
        <v xml:space="preserve"> </v>
      </c>
      <c r="X70" s="385" t="str">
        <f ca="1">IF(N(U70)&gt;0,VLOOKUP(U70,Hraci!$A$1:$I$1500,5,0),IF(TYPE(INDIRECT(ADDRESS(ROW() + $A$9-7 + (ROW()-11)*4,3,1,1,"Internet")))&gt;1,INDIRECT(ADDRESS(ROW() + $A$9-7 + (ROW()-11)*4,3,1,1,"Internet"))," "))</f>
        <v xml:space="preserve"> </v>
      </c>
      <c r="Y70" s="319">
        <f ca="1">IF(N(U70)=0,9999,VLOOKUP(U70,Hraci!$A$1:$I$1500,8,0))</f>
        <v>9999</v>
      </c>
      <c r="Z70" s="386">
        <f ca="1">IF(N(U70)=0,0,VLOOKUP(U70,Hraci!$A$1:$I$1500,9,0))</f>
        <v>0</v>
      </c>
      <c r="AA70" s="383" t="str">
        <f t="shared" ca="1" si="13"/>
        <v/>
      </c>
      <c r="AB70" s="384" t="str">
        <f ca="1">IF(N(AA70)&gt;0,VLOOKUP(AA70,Hraci!$A$1:$I$1500,2,0)," ")</f>
        <v xml:space="preserve"> </v>
      </c>
      <c r="AC70" s="385" t="str">
        <f ca="1">IF(N(AA70)&gt;0,VLOOKUP(AA70,Hraci!$A$1:$I$1500,3,0)," ")</f>
        <v xml:space="preserve"> </v>
      </c>
      <c r="AD70" s="385" t="str">
        <f ca="1">IF(N(AA70)&gt;0,VLOOKUP(AA70,Hraci!$A$1:$I$1500,5,0)," ")</f>
        <v xml:space="preserve"> </v>
      </c>
      <c r="AE70" s="319">
        <f ca="1">IF(N(AA70)=0,9999,VLOOKUP(AA70,Hraci!$A$1:$I$1500,8,0))</f>
        <v>9999</v>
      </c>
      <c r="AF70" s="386">
        <f ca="1">IF(N(AA70)=0,0,VLOOKUP(AA70,Hraci!$A$1:$I$1500,9,0))</f>
        <v>0</v>
      </c>
      <c r="AG70" s="391"/>
      <c r="AH70" s="427">
        <f ca="1">IF(TYPE(VLOOKUP(H70,Centrum!$A$3:$E$130,5,0))&lt;4,VLOOKUP(H70,Centrum!$A$3:$E$130,5,0),0)</f>
        <v>0</v>
      </c>
      <c r="AI70" s="387" t="str">
        <f ca="1">IF(N($AH70)&gt;0,VLOOKUP($AH70,Body!$A$4:$F$259,5,0),"")</f>
        <v/>
      </c>
      <c r="AJ70" s="388" t="str">
        <f ca="1">IF(N($AH70)&gt;0,VLOOKUP($AH70,Body!$A$4:$F$259,6,0),"")</f>
        <v/>
      </c>
      <c r="AK70" s="387" t="str">
        <f ca="1">IF(N($AH70)&gt;0,VLOOKUP($AH70,Body!$A$4:$F$259,2,0),"")</f>
        <v/>
      </c>
      <c r="AL70" s="389" t="str">
        <f t="shared" ca="1" si="19"/>
        <v/>
      </c>
      <c r="AM70" s="390">
        <f t="shared" ca="1" si="15"/>
        <v>0</v>
      </c>
      <c r="AN70" s="319">
        <f ca="1">IF(OR(TYPE(I70)&gt;1,TYPE(MATCH(I70,I71:I$139,0))&gt;1),0,MATCH(I70,I71:I$139,0))+IF(OR(TYPE(I70)&gt;1,TYPE(MATCH(I70,O$11:O$139,0))&gt;1),0,MATCH(I70,O$11:O$139,0))+IF(OR(TYPE(I70)&gt;1,TYPE(MATCH(I70,U$11:U$139,0))&gt;1),0,MATCH(I70,U$11:U$139,0))+IF(OR(TYPE(I70)&gt;1,TYPE(MATCH(I70,AA$11:AA$139,0))&gt;1),0,MATCH(I70,AA$11:AA$139,0))</f>
        <v>0</v>
      </c>
      <c r="AO70" s="319">
        <f ca="1">IF(OR(TYPE(O70)&gt;1,TYPE(MATCH(O70,I$11:I$139,0))&gt;1),0,MATCH(O70,I$11:I$139,0))+IF(OR(TYPE(O70)&gt;1,TYPE(MATCH(O70,O71:O$139,0))&gt;1),0,MATCH(O70,O71:O$139,0))+IF(OR(TYPE(O70)&gt;1,TYPE(MATCH(O70,U$11:U$139,0))&gt;1),0,MATCH(O70,U$11:U$139,0))+IF(OR(TYPE(O70)&gt;1,TYPE(MATCH(O70,AA$11:AA$139,0))&gt;1),0,MATCH(O70,AA$11:AA$139,0))</f>
        <v>0</v>
      </c>
      <c r="AP70" s="319">
        <f ca="1">IF(OR(TYPE(U70)&gt;1,TYPE(MATCH(U70,I$11:I$139,0))&gt;1),0,MATCH(U70,I$11:I$139,0))+IF(OR(TYPE(U70)&gt;1,TYPE(MATCH(U70,O$11:O$139,0))&gt;1),0,MATCH(U70,O$11:O$139,0))+IF(OR(TYPE(U70)&gt;1,TYPE(MATCH(U70,U71:U$139,0))&gt;1),0,MATCH(U70,U71:U$139,0))+IF(OR(TYPE(U70)&gt;1,TYPE(MATCH(U70,AA$11:AA$139,0))&gt;1),0,MATCH(U70,AA$11:AA$139,0))</f>
        <v>0</v>
      </c>
      <c r="AQ70" s="319">
        <f ca="1">IF(OR(TYPE(AA70)&gt;1,TYPE(MATCH(AA70,I$11:I$139,0))&gt;1),0,MATCH(AA70,I$11:I$139,0))+IF(OR(TYPE(AA70)&gt;1,TYPE(MATCH(AA70,O$11:O$139,0))&gt;1),0,MATCH(AA70,O$11:O$139,0))+IF(OR(TYPE(AA70)&gt;1,TYPE(MATCH(AA70,U$11:U$139,0))&gt;1),0,MATCH(U70,U$11:U$139,0))+IF(OR(TYPE(AA70)&gt;1,TYPE(MATCH(AA70,AA71:AA$139,0))&gt;1),0,MATCH(AA70,AA71:AA$139,0))</f>
        <v>0</v>
      </c>
      <c r="AR70" s="319">
        <f t="shared" ca="1" si="18"/>
        <v>0</v>
      </c>
      <c r="AT70" s="318">
        <f t="shared" ca="1" si="16"/>
        <v>0</v>
      </c>
      <c r="AU70" s="318">
        <f ca="1">IF(AND(N(I70)&gt;0,TYPE(VLOOKUP(I70,Hraci!$A$5:$A$800,1,0))&gt;3),1,0) + IF(AND(N(O70)&gt;0,TYPE(VLOOKUP(O70,Hraci!$A$5:$A$800,1,0))&gt;3),1,0) + IF(AND(N(U70)&gt;0,TYPE(VLOOKUP(U70,Hraci!$A$5:$A$800,1,0))&gt;3),1,0)</f>
        <v>0</v>
      </c>
      <c r="BF70" s="319">
        <f t="shared" si="17"/>
        <v>60</v>
      </c>
    </row>
    <row r="71" spans="1:58" ht="12.9" x14ac:dyDescent="0.45">
      <c r="A71" s="302">
        <f t="shared" ca="1" si="2"/>
        <v>0</v>
      </c>
      <c r="B71" s="302">
        <f t="shared" ca="1" si="3"/>
        <v>0</v>
      </c>
      <c r="C71" s="302">
        <f t="shared" ca="1" si="4"/>
        <v>0</v>
      </c>
      <c r="D71" s="302">
        <f t="shared" ca="1" si="5"/>
        <v>99999</v>
      </c>
      <c r="E71" s="302">
        <f t="shared" ca="1" si="6"/>
        <v>9999</v>
      </c>
      <c r="F71" s="343" t="str">
        <f t="shared" ca="1" si="7"/>
        <v>00000000000000000000191730</v>
      </c>
      <c r="G71" s="381" t="b">
        <f t="shared" ca="1" si="8"/>
        <v>1</v>
      </c>
      <c r="H71" s="382">
        <f t="shared" si="9"/>
        <v>61</v>
      </c>
      <c r="I71" s="383" t="str">
        <f t="shared" ca="1" si="10"/>
        <v/>
      </c>
      <c r="J71" s="384" t="str">
        <f ca="1">IF(N(I71)&gt;0,VLOOKUP(I71,Hraci!$A$1:$I$1500,2,0),IF(TYPE(INDIRECT(ADDRESS(ROW() + $A$9-9 + (ROW()-11)*4,2,1,1,"Internet")))&gt;1,INDIRECT(ADDRESS(ROW() + $A$9-9 + (ROW()-11)*4,2,1,1,"Internet"))," "))</f>
        <v xml:space="preserve"> </v>
      </c>
      <c r="K71" s="385" t="str">
        <f ca="1">IF(N(I71)&gt;0,VLOOKUP(I71,Hraci!$A$1:$I$1500,3,0)," ")</f>
        <v xml:space="preserve"> </v>
      </c>
      <c r="L71" s="385" t="str">
        <f ca="1">IF(N(I71)&gt;0,VLOOKUP(I71,Hraci!$A$1:$I$1500,5,0),IF(TYPE(INDIRECT(ADDRESS(ROW() + $A$9-9 + (ROW()-11)*4,3,1,1,"Internet")))&gt;1,INDIRECT(ADDRESS(ROW() + $A$9-9 + (ROW()-11)*4,3,1,1,"Internet"))," "))</f>
        <v xml:space="preserve"> </v>
      </c>
      <c r="M71" s="319">
        <f ca="1">IF(N(I71)=0,9999,VLOOKUP(I71,Hraci!$A$1:$I$1500,8,0))</f>
        <v>9999</v>
      </c>
      <c r="N71" s="386">
        <f ca="1">IF(N(I71)=0,0,VLOOKUP(I71,Hraci!$A$1:$I$1500,9,0))</f>
        <v>0</v>
      </c>
      <c r="O71" s="383" t="str">
        <f t="shared" ca="1" si="11"/>
        <v/>
      </c>
      <c r="P71" s="384" t="str">
        <f ca="1">IF(N(O71)&gt;0,VLOOKUP(O71,Hraci!$A$1:$I$1500,2,0),IF(TYPE(INDIRECT(ADDRESS(ROW() + $A$9-8 + (ROW()-11)*4,2,1,1,"Internet")))&gt;1,INDIRECT(ADDRESS(ROW() + $A$9-8 + (ROW()-11)*4,2,1,1,"Internet"))," "))</f>
        <v xml:space="preserve"> </v>
      </c>
      <c r="Q71" s="385" t="str">
        <f ca="1">IF(N(O71)&gt;0,VLOOKUP(O71,Hraci!$A$1:$I$1500,3,0)," ")</f>
        <v xml:space="preserve"> </v>
      </c>
      <c r="R71" s="385" t="str">
        <f ca="1">IF(N(O71)&gt;0,VLOOKUP(O71,Hraci!$A$1:$I$1500,5,0),IF(TYPE(INDIRECT(ADDRESS(ROW() + $A$9-8 + (ROW()-11)*4,3,1,1,"Internet")))&gt;1,INDIRECT(ADDRESS(ROW() + $A$9-8 + (ROW()-11)*4,3,1,1,"Internet"))," "))</f>
        <v xml:space="preserve"> </v>
      </c>
      <c r="S71" s="319">
        <f ca="1">IF(N(O71)=0,9999,VLOOKUP(O71,Hraci!$A$1:$I$1500,8,0))</f>
        <v>9999</v>
      </c>
      <c r="T71" s="386">
        <f ca="1">IF(N(O71)=0,0,VLOOKUP(O71,Hraci!$A$1:$I$1500,9,0))</f>
        <v>0</v>
      </c>
      <c r="U71" s="383" t="str">
        <f t="shared" ca="1" si="12"/>
        <v/>
      </c>
      <c r="V71" s="384" t="str">
        <f ca="1">IF(N(U71)&gt;0,VLOOKUP(U71,Hraci!$A$1:$I$1500,2,0),IF(TYPE(INDIRECT(ADDRESS(ROW() + $A$9-7 + (ROW()-11)*4,2,1,1,"Internet")))&gt;1,INDIRECT(ADDRESS(ROW() + $A$9-7 + (ROW()-11)*4,2,1,1,"Internet"))," "))</f>
        <v xml:space="preserve"> </v>
      </c>
      <c r="W71" s="385" t="str">
        <f ca="1">IF(N(U71)&gt;0,VLOOKUP(U71,Hraci!$A$1:$I$1500,3,0)," ")</f>
        <v xml:space="preserve"> </v>
      </c>
      <c r="X71" s="385" t="str">
        <f ca="1">IF(N(U71)&gt;0,VLOOKUP(U71,Hraci!$A$1:$I$1500,5,0),IF(TYPE(INDIRECT(ADDRESS(ROW() + $A$9-7 + (ROW()-11)*4,3,1,1,"Internet")))&gt;1,INDIRECT(ADDRESS(ROW() + $A$9-7 + (ROW()-11)*4,3,1,1,"Internet"))," "))</f>
        <v xml:space="preserve"> </v>
      </c>
      <c r="Y71" s="319">
        <f ca="1">IF(N(U71)=0,9999,VLOOKUP(U71,Hraci!$A$1:$I$1500,8,0))</f>
        <v>9999</v>
      </c>
      <c r="Z71" s="386">
        <f ca="1">IF(N(U71)=0,0,VLOOKUP(U71,Hraci!$A$1:$I$1500,9,0))</f>
        <v>0</v>
      </c>
      <c r="AA71" s="383" t="str">
        <f t="shared" ca="1" si="13"/>
        <v/>
      </c>
      <c r="AB71" s="384" t="str">
        <f ca="1">IF(N(AA71)&gt;0,VLOOKUP(AA71,Hraci!$A$1:$I$1500,2,0)," ")</f>
        <v xml:space="preserve"> </v>
      </c>
      <c r="AC71" s="385" t="str">
        <f ca="1">IF(N(AA71)&gt;0,VLOOKUP(AA71,Hraci!$A$1:$I$1500,3,0)," ")</f>
        <v xml:space="preserve"> </v>
      </c>
      <c r="AD71" s="385" t="str">
        <f ca="1">IF(N(AA71)&gt;0,VLOOKUP(AA71,Hraci!$A$1:$I$1500,5,0)," ")</f>
        <v xml:space="preserve"> </v>
      </c>
      <c r="AE71" s="319">
        <f ca="1">IF(N(AA71)=0,9999,VLOOKUP(AA71,Hraci!$A$1:$I$1500,8,0))</f>
        <v>9999</v>
      </c>
      <c r="AF71" s="386">
        <f ca="1">IF(N(AA71)=0,0,VLOOKUP(AA71,Hraci!$A$1:$I$1500,9,0))</f>
        <v>0</v>
      </c>
      <c r="AG71" s="391"/>
      <c r="AH71" s="427">
        <f ca="1">IF(TYPE(VLOOKUP(H71,Centrum!$A$3:$E$130,5,0))&lt;4,VLOOKUP(H71,Centrum!$A$3:$E$130,5,0),0)</f>
        <v>0</v>
      </c>
      <c r="AI71" s="387" t="str">
        <f ca="1">IF(N($AH71)&gt;0,VLOOKUP($AH71,Body!$A$4:$F$259,5,0),"")</f>
        <v/>
      </c>
      <c r="AJ71" s="388" t="str">
        <f ca="1">IF(N($AH71)&gt;0,VLOOKUP($AH71,Body!$A$4:$F$259,6,0),"")</f>
        <v/>
      </c>
      <c r="AK71" s="387" t="str">
        <f ca="1">IF(N($AH71)&gt;0,VLOOKUP($AH71,Body!$A$4:$F$259,2,0),"")</f>
        <v/>
      </c>
      <c r="AL71" s="389" t="str">
        <f t="shared" ca="1" si="19"/>
        <v/>
      </c>
      <c r="AM71" s="390">
        <f t="shared" ca="1" si="15"/>
        <v>0</v>
      </c>
      <c r="AN71" s="319">
        <f ca="1">IF(OR(TYPE(I71)&gt;1,TYPE(MATCH(I71,I72:I$139,0))&gt;1),0,MATCH(I71,I72:I$139,0))+IF(OR(TYPE(I71)&gt;1,TYPE(MATCH(I71,O$11:O$139,0))&gt;1),0,MATCH(I71,O$11:O$139,0))+IF(OR(TYPE(I71)&gt;1,TYPE(MATCH(I71,U$11:U$139,0))&gt;1),0,MATCH(I71,U$11:U$139,0))+IF(OR(TYPE(I71)&gt;1,TYPE(MATCH(I71,AA$11:AA$139,0))&gt;1),0,MATCH(I71,AA$11:AA$139,0))</f>
        <v>0</v>
      </c>
      <c r="AO71" s="319">
        <f ca="1">IF(OR(TYPE(O71)&gt;1,TYPE(MATCH(O71,I$11:I$139,0))&gt;1),0,MATCH(O71,I$11:I$139,0))+IF(OR(TYPE(O71)&gt;1,TYPE(MATCH(O71,O72:O$139,0))&gt;1),0,MATCH(O71,O72:O$139,0))+IF(OR(TYPE(O71)&gt;1,TYPE(MATCH(O71,U$11:U$139,0))&gt;1),0,MATCH(O71,U$11:U$139,0))+IF(OR(TYPE(O71)&gt;1,TYPE(MATCH(O71,AA$11:AA$139,0))&gt;1),0,MATCH(O71,AA$11:AA$139,0))</f>
        <v>0</v>
      </c>
      <c r="AP71" s="319">
        <f ca="1">IF(OR(TYPE(U71)&gt;1,TYPE(MATCH(U71,I$11:I$139,0))&gt;1),0,MATCH(U71,I$11:I$139,0))+IF(OR(TYPE(U71)&gt;1,TYPE(MATCH(U71,O$11:O$139,0))&gt;1),0,MATCH(U71,O$11:O$139,0))+IF(OR(TYPE(U71)&gt;1,TYPE(MATCH(U71,U72:U$139,0))&gt;1),0,MATCH(U71,U72:U$139,0))+IF(OR(TYPE(U71)&gt;1,TYPE(MATCH(U71,AA$11:AA$139,0))&gt;1),0,MATCH(U71,AA$11:AA$139,0))</f>
        <v>0</v>
      </c>
      <c r="AQ71" s="319">
        <f ca="1">IF(OR(TYPE(AA71)&gt;1,TYPE(MATCH(AA71,I$11:I$139,0))&gt;1),0,MATCH(AA71,I$11:I$139,0))+IF(OR(TYPE(AA71)&gt;1,TYPE(MATCH(AA71,O$11:O$139,0))&gt;1),0,MATCH(AA71,O$11:O$139,0))+IF(OR(TYPE(AA71)&gt;1,TYPE(MATCH(AA71,U$11:U$139,0))&gt;1),0,MATCH(U71,U$11:U$139,0))+IF(OR(TYPE(AA71)&gt;1,TYPE(MATCH(AA71,AA72:AA$139,0))&gt;1),0,MATCH(AA71,AA72:AA$139,0))</f>
        <v>0</v>
      </c>
      <c r="AR71" s="319">
        <f t="shared" ca="1" si="18"/>
        <v>0</v>
      </c>
      <c r="AT71" s="318">
        <f t="shared" ca="1" si="16"/>
        <v>0</v>
      </c>
      <c r="AU71" s="318">
        <f ca="1">IF(AND(N(I71)&gt;0,TYPE(VLOOKUP(I71,Hraci!$A$5:$A$800,1,0))&gt;3),1,0) + IF(AND(N(O71)&gt;0,TYPE(VLOOKUP(O71,Hraci!$A$5:$A$800,1,0))&gt;3),1,0) + IF(AND(N(U71)&gt;0,TYPE(VLOOKUP(U71,Hraci!$A$5:$A$800,1,0))&gt;3),1,0)</f>
        <v>0</v>
      </c>
      <c r="BF71" s="319">
        <f t="shared" si="17"/>
        <v>61</v>
      </c>
    </row>
    <row r="72" spans="1:58" ht="12.9" x14ac:dyDescent="0.45">
      <c r="A72" s="302">
        <f t="shared" ca="1" si="2"/>
        <v>0</v>
      </c>
      <c r="B72" s="302">
        <f t="shared" ca="1" si="3"/>
        <v>0</v>
      </c>
      <c r="C72" s="302">
        <f t="shared" ca="1" si="4"/>
        <v>0</v>
      </c>
      <c r="D72" s="302">
        <f t="shared" ca="1" si="5"/>
        <v>99999</v>
      </c>
      <c r="E72" s="302">
        <f t="shared" ca="1" si="6"/>
        <v>9999</v>
      </c>
      <c r="F72" s="343" t="str">
        <f t="shared" ca="1" si="7"/>
        <v>00000000000000000000323855</v>
      </c>
      <c r="G72" s="381" t="b">
        <f t="shared" ca="1" si="8"/>
        <v>1</v>
      </c>
      <c r="H72" s="382">
        <f t="shared" si="9"/>
        <v>62</v>
      </c>
      <c r="I72" s="383" t="str">
        <f t="shared" ca="1" si="10"/>
        <v/>
      </c>
      <c r="J72" s="384" t="str">
        <f ca="1">IF(N(I72)&gt;0,VLOOKUP(I72,Hraci!$A$1:$I$1500,2,0),IF(TYPE(INDIRECT(ADDRESS(ROW() + $A$9-9 + (ROW()-11)*4,2,1,1,"Internet")))&gt;1,INDIRECT(ADDRESS(ROW() + $A$9-9 + (ROW()-11)*4,2,1,1,"Internet"))," "))</f>
        <v xml:space="preserve"> </v>
      </c>
      <c r="K72" s="385" t="str">
        <f ca="1">IF(N(I72)&gt;0,VLOOKUP(I72,Hraci!$A$1:$I$1500,3,0)," ")</f>
        <v xml:space="preserve"> </v>
      </c>
      <c r="L72" s="385" t="str">
        <f ca="1">IF(N(I72)&gt;0,VLOOKUP(I72,Hraci!$A$1:$I$1500,5,0),IF(TYPE(INDIRECT(ADDRESS(ROW() + $A$9-9 + (ROW()-11)*4,3,1,1,"Internet")))&gt;1,INDIRECT(ADDRESS(ROW() + $A$9-9 + (ROW()-11)*4,3,1,1,"Internet"))," "))</f>
        <v xml:space="preserve"> </v>
      </c>
      <c r="M72" s="319">
        <f ca="1">IF(N(I72)=0,9999,VLOOKUP(I72,Hraci!$A$1:$I$1500,8,0))</f>
        <v>9999</v>
      </c>
      <c r="N72" s="386">
        <f ca="1">IF(N(I72)=0,0,VLOOKUP(I72,Hraci!$A$1:$I$1500,9,0))</f>
        <v>0</v>
      </c>
      <c r="O72" s="383" t="str">
        <f t="shared" ca="1" si="11"/>
        <v/>
      </c>
      <c r="P72" s="384" t="str">
        <f ca="1">IF(N(O72)&gt;0,VLOOKUP(O72,Hraci!$A$1:$I$1500,2,0),IF(TYPE(INDIRECT(ADDRESS(ROW() + $A$9-8 + (ROW()-11)*4,2,1,1,"Internet")))&gt;1,INDIRECT(ADDRESS(ROW() + $A$9-8 + (ROW()-11)*4,2,1,1,"Internet"))," "))</f>
        <v xml:space="preserve"> </v>
      </c>
      <c r="Q72" s="385" t="str">
        <f ca="1">IF(N(O72)&gt;0,VLOOKUP(O72,Hraci!$A$1:$I$1500,3,0)," ")</f>
        <v xml:space="preserve"> </v>
      </c>
      <c r="R72" s="385" t="str">
        <f ca="1">IF(N(O72)&gt;0,VLOOKUP(O72,Hraci!$A$1:$I$1500,5,0),IF(TYPE(INDIRECT(ADDRESS(ROW() + $A$9-8 + (ROW()-11)*4,3,1,1,"Internet")))&gt;1,INDIRECT(ADDRESS(ROW() + $A$9-8 + (ROW()-11)*4,3,1,1,"Internet"))," "))</f>
        <v xml:space="preserve"> </v>
      </c>
      <c r="S72" s="319">
        <f ca="1">IF(N(O72)=0,9999,VLOOKUP(O72,Hraci!$A$1:$I$1500,8,0))</f>
        <v>9999</v>
      </c>
      <c r="T72" s="386">
        <f ca="1">IF(N(O72)=0,0,VLOOKUP(O72,Hraci!$A$1:$I$1500,9,0))</f>
        <v>0</v>
      </c>
      <c r="U72" s="383" t="str">
        <f t="shared" ca="1" si="12"/>
        <v/>
      </c>
      <c r="V72" s="384" t="str">
        <f ca="1">IF(N(U72)&gt;0,VLOOKUP(U72,Hraci!$A$1:$I$1500,2,0),IF(TYPE(INDIRECT(ADDRESS(ROW() + $A$9-7 + (ROW()-11)*4,2,1,1,"Internet")))&gt;1,INDIRECT(ADDRESS(ROW() + $A$9-7 + (ROW()-11)*4,2,1,1,"Internet"))," "))</f>
        <v xml:space="preserve"> </v>
      </c>
      <c r="W72" s="385" t="str">
        <f ca="1">IF(N(U72)&gt;0,VLOOKUP(U72,Hraci!$A$1:$I$1500,3,0)," ")</f>
        <v xml:space="preserve"> </v>
      </c>
      <c r="X72" s="385" t="str">
        <f ca="1">IF(N(U72)&gt;0,VLOOKUP(U72,Hraci!$A$1:$I$1500,5,0),IF(TYPE(INDIRECT(ADDRESS(ROW() + $A$9-7 + (ROW()-11)*4,3,1,1,"Internet")))&gt;1,INDIRECT(ADDRESS(ROW() + $A$9-7 + (ROW()-11)*4,3,1,1,"Internet"))," "))</f>
        <v xml:space="preserve"> </v>
      </c>
      <c r="Y72" s="319">
        <f ca="1">IF(N(U72)=0,9999,VLOOKUP(U72,Hraci!$A$1:$I$1500,8,0))</f>
        <v>9999</v>
      </c>
      <c r="Z72" s="386">
        <f ca="1">IF(N(U72)=0,0,VLOOKUP(U72,Hraci!$A$1:$I$1500,9,0))</f>
        <v>0</v>
      </c>
      <c r="AA72" s="383" t="str">
        <f t="shared" ca="1" si="13"/>
        <v/>
      </c>
      <c r="AB72" s="384" t="str">
        <f ca="1">IF(N(AA72)&gt;0,VLOOKUP(AA72,Hraci!$A$1:$I$1500,2,0)," ")</f>
        <v xml:space="preserve"> </v>
      </c>
      <c r="AC72" s="385" t="str">
        <f ca="1">IF(N(AA72)&gt;0,VLOOKUP(AA72,Hraci!$A$1:$I$1500,3,0)," ")</f>
        <v xml:space="preserve"> </v>
      </c>
      <c r="AD72" s="385" t="str">
        <f ca="1">IF(N(AA72)&gt;0,VLOOKUP(AA72,Hraci!$A$1:$I$1500,5,0)," ")</f>
        <v xml:space="preserve"> </v>
      </c>
      <c r="AE72" s="319">
        <f ca="1">IF(N(AA72)=0,9999,VLOOKUP(AA72,Hraci!$A$1:$I$1500,8,0))</f>
        <v>9999</v>
      </c>
      <c r="AF72" s="386">
        <f ca="1">IF(N(AA72)=0,0,VLOOKUP(AA72,Hraci!$A$1:$I$1500,9,0))</f>
        <v>0</v>
      </c>
      <c r="AG72" s="391"/>
      <c r="AH72" s="427">
        <f ca="1">IF(TYPE(VLOOKUP(H72,Centrum!$A$3:$E$130,5,0))&lt;4,VLOOKUP(H72,Centrum!$A$3:$E$130,5,0),0)</f>
        <v>0</v>
      </c>
      <c r="AI72" s="387" t="str">
        <f ca="1">IF(N($AH72)&gt;0,VLOOKUP($AH72,Body!$A$4:$F$259,5,0),"")</f>
        <v/>
      </c>
      <c r="AJ72" s="388" t="str">
        <f ca="1">IF(N($AH72)&gt;0,VLOOKUP($AH72,Body!$A$4:$F$259,6,0),"")</f>
        <v/>
      </c>
      <c r="AK72" s="387" t="str">
        <f ca="1">IF(N($AH72)&gt;0,VLOOKUP($AH72,Body!$A$4:$F$259,2,0),"")</f>
        <v/>
      </c>
      <c r="AL72" s="389" t="str">
        <f t="shared" ca="1" si="19"/>
        <v/>
      </c>
      <c r="AM72" s="390">
        <f t="shared" ca="1" si="15"/>
        <v>0</v>
      </c>
      <c r="AN72" s="319">
        <f ca="1">IF(OR(TYPE(I72)&gt;1,TYPE(MATCH(I72,I73:I$139,0))&gt;1),0,MATCH(I72,I73:I$139,0))+IF(OR(TYPE(I72)&gt;1,TYPE(MATCH(I72,O$11:O$139,0))&gt;1),0,MATCH(I72,O$11:O$139,0))+IF(OR(TYPE(I72)&gt;1,TYPE(MATCH(I72,U$11:U$139,0))&gt;1),0,MATCH(I72,U$11:U$139,0))+IF(OR(TYPE(I72)&gt;1,TYPE(MATCH(I72,AA$11:AA$139,0))&gt;1),0,MATCH(I72,AA$11:AA$139,0))</f>
        <v>0</v>
      </c>
      <c r="AO72" s="319">
        <f ca="1">IF(OR(TYPE(O72)&gt;1,TYPE(MATCH(O72,I$11:I$139,0))&gt;1),0,MATCH(O72,I$11:I$139,0))+IF(OR(TYPE(O72)&gt;1,TYPE(MATCH(O72,O73:O$139,0))&gt;1),0,MATCH(O72,O73:O$139,0))+IF(OR(TYPE(O72)&gt;1,TYPE(MATCH(O72,U$11:U$139,0))&gt;1),0,MATCH(O72,U$11:U$139,0))+IF(OR(TYPE(O72)&gt;1,TYPE(MATCH(O72,AA$11:AA$139,0))&gt;1),0,MATCH(O72,AA$11:AA$139,0))</f>
        <v>0</v>
      </c>
      <c r="AP72" s="319">
        <f ca="1">IF(OR(TYPE(U72)&gt;1,TYPE(MATCH(U72,I$11:I$139,0))&gt;1),0,MATCH(U72,I$11:I$139,0))+IF(OR(TYPE(U72)&gt;1,TYPE(MATCH(U72,O$11:O$139,0))&gt;1),0,MATCH(U72,O$11:O$139,0))+IF(OR(TYPE(U72)&gt;1,TYPE(MATCH(U72,U73:U$139,0))&gt;1),0,MATCH(U72,U73:U$139,0))+IF(OR(TYPE(U72)&gt;1,TYPE(MATCH(U72,AA$11:AA$139,0))&gt;1),0,MATCH(U72,AA$11:AA$139,0))</f>
        <v>0</v>
      </c>
      <c r="AQ72" s="319">
        <f ca="1">IF(OR(TYPE(AA72)&gt;1,TYPE(MATCH(AA72,I$11:I$139,0))&gt;1),0,MATCH(AA72,I$11:I$139,0))+IF(OR(TYPE(AA72)&gt;1,TYPE(MATCH(AA72,O$11:O$139,0))&gt;1),0,MATCH(AA72,O$11:O$139,0))+IF(OR(TYPE(AA72)&gt;1,TYPE(MATCH(AA72,U$11:U$139,0))&gt;1),0,MATCH(U72,U$11:U$139,0))+IF(OR(TYPE(AA72)&gt;1,TYPE(MATCH(AA72,AA73:AA$139,0))&gt;1),0,MATCH(AA72,AA73:AA$139,0))</f>
        <v>0</v>
      </c>
      <c r="AR72" s="319">
        <f t="shared" ca="1" si="18"/>
        <v>0</v>
      </c>
      <c r="AT72" s="318">
        <f t="shared" ca="1" si="16"/>
        <v>0</v>
      </c>
      <c r="AU72" s="318">
        <f ca="1">IF(AND(N(I72)&gt;0,TYPE(VLOOKUP(I72,Hraci!$A$5:$A$800,1,0))&gt;3),1,0) + IF(AND(N(O72)&gt;0,TYPE(VLOOKUP(O72,Hraci!$A$5:$A$800,1,0))&gt;3),1,0) + IF(AND(N(U72)&gt;0,TYPE(VLOOKUP(U72,Hraci!$A$5:$A$800,1,0))&gt;3),1,0)</f>
        <v>0</v>
      </c>
      <c r="BF72" s="319">
        <f t="shared" si="17"/>
        <v>62</v>
      </c>
    </row>
    <row r="73" spans="1:58" ht="12.9" x14ac:dyDescent="0.45">
      <c r="A73" s="302">
        <f t="shared" ca="1" si="2"/>
        <v>0</v>
      </c>
      <c r="B73" s="302">
        <f t="shared" ca="1" si="3"/>
        <v>0</v>
      </c>
      <c r="C73" s="302">
        <f t="shared" ca="1" si="4"/>
        <v>0</v>
      </c>
      <c r="D73" s="302">
        <f t="shared" ca="1" si="5"/>
        <v>99999</v>
      </c>
      <c r="E73" s="302">
        <f t="shared" ca="1" si="6"/>
        <v>9999</v>
      </c>
      <c r="F73" s="343" t="str">
        <f t="shared" ca="1" si="7"/>
        <v>00000000000000000000047566</v>
      </c>
      <c r="G73" s="381" t="b">
        <f t="shared" ca="1" si="8"/>
        <v>1</v>
      </c>
      <c r="H73" s="382">
        <f t="shared" si="9"/>
        <v>63</v>
      </c>
      <c r="I73" s="383" t="str">
        <f t="shared" ca="1" si="10"/>
        <v/>
      </c>
      <c r="J73" s="384" t="str">
        <f ca="1">IF(N(I73)&gt;0,VLOOKUP(I73,Hraci!$A$1:$I$1500,2,0),IF(TYPE(INDIRECT(ADDRESS(ROW() + $A$9-9 + (ROW()-11)*4,2,1,1,"Internet")))&gt;1,INDIRECT(ADDRESS(ROW() + $A$9-9 + (ROW()-11)*4,2,1,1,"Internet"))," "))</f>
        <v xml:space="preserve"> </v>
      </c>
      <c r="K73" s="385" t="str">
        <f ca="1">IF(N(I73)&gt;0,VLOOKUP(I73,Hraci!$A$1:$I$1500,3,0)," ")</f>
        <v xml:space="preserve"> </v>
      </c>
      <c r="L73" s="385" t="str">
        <f ca="1">IF(N(I73)&gt;0,VLOOKUP(I73,Hraci!$A$1:$I$1500,5,0),IF(TYPE(INDIRECT(ADDRESS(ROW() + $A$9-9 + (ROW()-11)*4,3,1,1,"Internet")))&gt;1,INDIRECT(ADDRESS(ROW() + $A$9-9 + (ROW()-11)*4,3,1,1,"Internet"))," "))</f>
        <v xml:space="preserve"> </v>
      </c>
      <c r="M73" s="319">
        <f ca="1">IF(N(I73)=0,9999,VLOOKUP(I73,Hraci!$A$1:$I$1500,8,0))</f>
        <v>9999</v>
      </c>
      <c r="N73" s="386">
        <f ca="1">IF(N(I73)=0,0,VLOOKUP(I73,Hraci!$A$1:$I$1500,9,0))</f>
        <v>0</v>
      </c>
      <c r="O73" s="383" t="str">
        <f t="shared" ca="1" si="11"/>
        <v/>
      </c>
      <c r="P73" s="384" t="str">
        <f ca="1">IF(N(O73)&gt;0,VLOOKUP(O73,Hraci!$A$1:$I$1500,2,0),IF(TYPE(INDIRECT(ADDRESS(ROW() + $A$9-8 + (ROW()-11)*4,2,1,1,"Internet")))&gt;1,INDIRECT(ADDRESS(ROW() + $A$9-8 + (ROW()-11)*4,2,1,1,"Internet"))," "))</f>
        <v xml:space="preserve"> </v>
      </c>
      <c r="Q73" s="385" t="str">
        <f ca="1">IF(N(O73)&gt;0,VLOOKUP(O73,Hraci!$A$1:$I$1500,3,0)," ")</f>
        <v xml:space="preserve"> </v>
      </c>
      <c r="R73" s="385" t="str">
        <f ca="1">IF(N(O73)&gt;0,VLOOKUP(O73,Hraci!$A$1:$I$1500,5,0),IF(TYPE(INDIRECT(ADDRESS(ROW() + $A$9-8 + (ROW()-11)*4,3,1,1,"Internet")))&gt;1,INDIRECT(ADDRESS(ROW() + $A$9-8 + (ROW()-11)*4,3,1,1,"Internet"))," "))</f>
        <v xml:space="preserve"> </v>
      </c>
      <c r="S73" s="319">
        <f ca="1">IF(N(O73)=0,9999,VLOOKUP(O73,Hraci!$A$1:$I$1500,8,0))</f>
        <v>9999</v>
      </c>
      <c r="T73" s="386">
        <f ca="1">IF(N(O73)=0,0,VLOOKUP(O73,Hraci!$A$1:$I$1500,9,0))</f>
        <v>0</v>
      </c>
      <c r="U73" s="383" t="str">
        <f t="shared" ca="1" si="12"/>
        <v/>
      </c>
      <c r="V73" s="384" t="str">
        <f ca="1">IF(N(U73)&gt;0,VLOOKUP(U73,Hraci!$A$1:$I$1500,2,0),IF(TYPE(INDIRECT(ADDRESS(ROW() + $A$9-7 + (ROW()-11)*4,2,1,1,"Internet")))&gt;1,INDIRECT(ADDRESS(ROW() + $A$9-7 + (ROW()-11)*4,2,1,1,"Internet"))," "))</f>
        <v xml:space="preserve"> </v>
      </c>
      <c r="W73" s="385" t="str">
        <f ca="1">IF(N(U73)&gt;0,VLOOKUP(U73,Hraci!$A$1:$I$1500,3,0)," ")</f>
        <v xml:space="preserve"> </v>
      </c>
      <c r="X73" s="385" t="str">
        <f ca="1">IF(N(U73)&gt;0,VLOOKUP(U73,Hraci!$A$1:$I$1500,5,0),IF(TYPE(INDIRECT(ADDRESS(ROW() + $A$9-7 + (ROW()-11)*4,3,1,1,"Internet")))&gt;1,INDIRECT(ADDRESS(ROW() + $A$9-7 + (ROW()-11)*4,3,1,1,"Internet"))," "))</f>
        <v xml:space="preserve"> </v>
      </c>
      <c r="Y73" s="319">
        <f ca="1">IF(N(U73)=0,9999,VLOOKUP(U73,Hraci!$A$1:$I$1500,8,0))</f>
        <v>9999</v>
      </c>
      <c r="Z73" s="386">
        <f ca="1">IF(N(U73)=0,0,VLOOKUP(U73,Hraci!$A$1:$I$1500,9,0))</f>
        <v>0</v>
      </c>
      <c r="AA73" s="383" t="str">
        <f t="shared" ca="1" si="13"/>
        <v/>
      </c>
      <c r="AB73" s="384" t="str">
        <f ca="1">IF(N(AA73)&gt;0,VLOOKUP(AA73,Hraci!$A$1:$I$1500,2,0)," ")</f>
        <v xml:space="preserve"> </v>
      </c>
      <c r="AC73" s="385" t="str">
        <f ca="1">IF(N(AA73)&gt;0,VLOOKUP(AA73,Hraci!$A$1:$I$1500,3,0)," ")</f>
        <v xml:space="preserve"> </v>
      </c>
      <c r="AD73" s="385" t="str">
        <f ca="1">IF(N(AA73)&gt;0,VLOOKUP(AA73,Hraci!$A$1:$I$1500,5,0)," ")</f>
        <v xml:space="preserve"> </v>
      </c>
      <c r="AE73" s="319">
        <f ca="1">IF(N(AA73)=0,9999,VLOOKUP(AA73,Hraci!$A$1:$I$1500,8,0))</f>
        <v>9999</v>
      </c>
      <c r="AF73" s="386">
        <f ca="1">IF(N(AA73)=0,0,VLOOKUP(AA73,Hraci!$A$1:$I$1500,9,0))</f>
        <v>0</v>
      </c>
      <c r="AG73" s="391"/>
      <c r="AH73" s="427">
        <f ca="1">IF(TYPE(VLOOKUP(H73,Centrum!$A$3:$E$130,5,0))&lt;4,VLOOKUP(H73,Centrum!$A$3:$E$130,5,0),0)</f>
        <v>0</v>
      </c>
      <c r="AI73" s="387" t="str">
        <f ca="1">IF(N($AH73)&gt;0,VLOOKUP($AH73,Body!$A$4:$F$259,5,0),"")</f>
        <v/>
      </c>
      <c r="AJ73" s="388" t="str">
        <f ca="1">IF(N($AH73)&gt;0,VLOOKUP($AH73,Body!$A$4:$F$259,6,0),"")</f>
        <v/>
      </c>
      <c r="AK73" s="387" t="str">
        <f ca="1">IF(N($AH73)&gt;0,VLOOKUP($AH73,Body!$A$4:$F$259,2,0),"")</f>
        <v/>
      </c>
      <c r="AL73" s="389" t="str">
        <f t="shared" ca="1" si="19"/>
        <v/>
      </c>
      <c r="AM73" s="390">
        <f t="shared" ca="1" si="15"/>
        <v>0</v>
      </c>
      <c r="AN73" s="319">
        <f ca="1">IF(OR(TYPE(I73)&gt;1,TYPE(MATCH(I73,I74:I$139,0))&gt;1),0,MATCH(I73,I74:I$139,0))+IF(OR(TYPE(I73)&gt;1,TYPE(MATCH(I73,O$11:O$139,0))&gt;1),0,MATCH(I73,O$11:O$139,0))+IF(OR(TYPE(I73)&gt;1,TYPE(MATCH(I73,U$11:U$139,0))&gt;1),0,MATCH(I73,U$11:U$139,0))+IF(OR(TYPE(I73)&gt;1,TYPE(MATCH(I73,AA$11:AA$139,0))&gt;1),0,MATCH(I73,AA$11:AA$139,0))</f>
        <v>0</v>
      </c>
      <c r="AO73" s="319">
        <f ca="1">IF(OR(TYPE(O73)&gt;1,TYPE(MATCH(O73,I$11:I$139,0))&gt;1),0,MATCH(O73,I$11:I$139,0))+IF(OR(TYPE(O73)&gt;1,TYPE(MATCH(O73,O74:O$139,0))&gt;1),0,MATCH(O73,O74:O$139,0))+IF(OR(TYPE(O73)&gt;1,TYPE(MATCH(O73,U$11:U$139,0))&gt;1),0,MATCH(O73,U$11:U$139,0))+IF(OR(TYPE(O73)&gt;1,TYPE(MATCH(O73,AA$11:AA$139,0))&gt;1),0,MATCH(O73,AA$11:AA$139,0))</f>
        <v>0</v>
      </c>
      <c r="AP73" s="319">
        <f ca="1">IF(OR(TYPE(U73)&gt;1,TYPE(MATCH(U73,I$11:I$139,0))&gt;1),0,MATCH(U73,I$11:I$139,0))+IF(OR(TYPE(U73)&gt;1,TYPE(MATCH(U73,O$11:O$139,0))&gt;1),0,MATCH(U73,O$11:O$139,0))+IF(OR(TYPE(U73)&gt;1,TYPE(MATCH(U73,U74:U$139,0))&gt;1),0,MATCH(U73,U74:U$139,0))+IF(OR(TYPE(U73)&gt;1,TYPE(MATCH(U73,AA$11:AA$139,0))&gt;1),0,MATCH(U73,AA$11:AA$139,0))</f>
        <v>0</v>
      </c>
      <c r="AQ73" s="319">
        <f ca="1">IF(OR(TYPE(AA73)&gt;1,TYPE(MATCH(AA73,I$11:I$139,0))&gt;1),0,MATCH(AA73,I$11:I$139,0))+IF(OR(TYPE(AA73)&gt;1,TYPE(MATCH(AA73,O$11:O$139,0))&gt;1),0,MATCH(AA73,O$11:O$139,0))+IF(OR(TYPE(AA73)&gt;1,TYPE(MATCH(AA73,U$11:U$139,0))&gt;1),0,MATCH(U73,U$11:U$139,0))+IF(OR(TYPE(AA73)&gt;1,TYPE(MATCH(AA73,AA74:AA$139,0))&gt;1),0,MATCH(AA73,AA74:AA$139,0))</f>
        <v>0</v>
      </c>
      <c r="AR73" s="319">
        <f t="shared" ca="1" si="18"/>
        <v>0</v>
      </c>
      <c r="AT73" s="318">
        <f t="shared" ca="1" si="16"/>
        <v>0</v>
      </c>
      <c r="AU73" s="318">
        <f ca="1">IF(AND(N(I73)&gt;0,TYPE(VLOOKUP(I73,Hraci!$A$5:$A$800,1,0))&gt;3),1,0) + IF(AND(N(O73)&gt;0,TYPE(VLOOKUP(O73,Hraci!$A$5:$A$800,1,0))&gt;3),1,0) + IF(AND(N(U73)&gt;0,TYPE(VLOOKUP(U73,Hraci!$A$5:$A$800,1,0))&gt;3),1,0)</f>
        <v>0</v>
      </c>
      <c r="BF73" s="319">
        <f t="shared" si="17"/>
        <v>63</v>
      </c>
    </row>
    <row r="74" spans="1:58" ht="12.9" x14ac:dyDescent="0.45">
      <c r="A74" s="302">
        <f t="shared" ca="1" si="2"/>
        <v>0</v>
      </c>
      <c r="B74" s="302">
        <f t="shared" ca="1" si="3"/>
        <v>0</v>
      </c>
      <c r="C74" s="302">
        <f t="shared" ca="1" si="4"/>
        <v>0</v>
      </c>
      <c r="D74" s="302">
        <f t="shared" ca="1" si="5"/>
        <v>99999</v>
      </c>
      <c r="E74" s="302">
        <f t="shared" ca="1" si="6"/>
        <v>9999</v>
      </c>
      <c r="F74" s="343" t="str">
        <f t="shared" ca="1" si="7"/>
        <v>00000000000000000000508277</v>
      </c>
      <c r="G74" s="381" t="b">
        <f t="shared" ca="1" si="8"/>
        <v>1</v>
      </c>
      <c r="H74" s="382">
        <f t="shared" si="9"/>
        <v>64</v>
      </c>
      <c r="I74" s="383" t="str">
        <f t="shared" ca="1" si="10"/>
        <v/>
      </c>
      <c r="J74" s="384" t="str">
        <f ca="1">IF(N(I74)&gt;0,VLOOKUP(I74,Hraci!$A$1:$I$1500,2,0),IF(TYPE(INDIRECT(ADDRESS(ROW() + $A$9-9 + (ROW()-11)*4,2,1,1,"Internet")))&gt;1,INDIRECT(ADDRESS(ROW() + $A$9-9 + (ROW()-11)*4,2,1,1,"Internet"))," "))</f>
        <v xml:space="preserve"> </v>
      </c>
      <c r="K74" s="385" t="str">
        <f ca="1">IF(N(I74)&gt;0,VLOOKUP(I74,Hraci!$A$1:$I$1500,3,0)," ")</f>
        <v xml:space="preserve"> </v>
      </c>
      <c r="L74" s="385" t="str">
        <f ca="1">IF(N(I74)&gt;0,VLOOKUP(I74,Hraci!$A$1:$I$1500,5,0),IF(TYPE(INDIRECT(ADDRESS(ROW() + $A$9-9 + (ROW()-11)*4,3,1,1,"Internet")))&gt;1,INDIRECT(ADDRESS(ROW() + $A$9-9 + (ROW()-11)*4,3,1,1,"Internet"))," "))</f>
        <v xml:space="preserve"> </v>
      </c>
      <c r="M74" s="319">
        <f ca="1">IF(N(I74)=0,9999,VLOOKUP(I74,Hraci!$A$1:$I$1500,8,0))</f>
        <v>9999</v>
      </c>
      <c r="N74" s="386">
        <f ca="1">IF(N(I74)=0,0,VLOOKUP(I74,Hraci!$A$1:$I$1500,9,0))</f>
        <v>0</v>
      </c>
      <c r="O74" s="383" t="str">
        <f t="shared" ca="1" si="11"/>
        <v/>
      </c>
      <c r="P74" s="384" t="str">
        <f ca="1">IF(N(O74)&gt;0,VLOOKUP(O74,Hraci!$A$1:$I$1500,2,0),IF(TYPE(INDIRECT(ADDRESS(ROW() + $A$9-8 + (ROW()-11)*4,2,1,1,"Internet")))&gt;1,INDIRECT(ADDRESS(ROW() + $A$9-8 + (ROW()-11)*4,2,1,1,"Internet"))," "))</f>
        <v xml:space="preserve"> </v>
      </c>
      <c r="Q74" s="385" t="str">
        <f ca="1">IF(N(O74)&gt;0,VLOOKUP(O74,Hraci!$A$1:$I$1500,3,0)," ")</f>
        <v xml:space="preserve"> </v>
      </c>
      <c r="R74" s="385" t="str">
        <f ca="1">IF(N(O74)&gt;0,VLOOKUP(O74,Hraci!$A$1:$I$1500,5,0),IF(TYPE(INDIRECT(ADDRESS(ROW() + $A$9-8 + (ROW()-11)*4,3,1,1,"Internet")))&gt;1,INDIRECT(ADDRESS(ROW() + $A$9-8 + (ROW()-11)*4,3,1,1,"Internet"))," "))</f>
        <v xml:space="preserve"> </v>
      </c>
      <c r="S74" s="319">
        <f ca="1">IF(N(O74)=0,9999,VLOOKUP(O74,Hraci!$A$1:$I$1500,8,0))</f>
        <v>9999</v>
      </c>
      <c r="T74" s="386">
        <f ca="1">IF(N(O74)=0,0,VLOOKUP(O74,Hraci!$A$1:$I$1500,9,0))</f>
        <v>0</v>
      </c>
      <c r="U74" s="383" t="str">
        <f t="shared" ca="1" si="12"/>
        <v/>
      </c>
      <c r="V74" s="384" t="str">
        <f ca="1">IF(N(U74)&gt;0,VLOOKUP(U74,Hraci!$A$1:$I$1500,2,0),IF(TYPE(INDIRECT(ADDRESS(ROW() + $A$9-7 + (ROW()-11)*4,2,1,1,"Internet")))&gt;1,INDIRECT(ADDRESS(ROW() + $A$9-7 + (ROW()-11)*4,2,1,1,"Internet"))," "))</f>
        <v xml:space="preserve"> </v>
      </c>
      <c r="W74" s="385" t="str">
        <f ca="1">IF(N(U74)&gt;0,VLOOKUP(U74,Hraci!$A$1:$I$1500,3,0)," ")</f>
        <v xml:space="preserve"> </v>
      </c>
      <c r="X74" s="385" t="str">
        <f ca="1">IF(N(U74)&gt;0,VLOOKUP(U74,Hraci!$A$1:$I$1500,5,0),IF(TYPE(INDIRECT(ADDRESS(ROW() + $A$9-7 + (ROW()-11)*4,3,1,1,"Internet")))&gt;1,INDIRECT(ADDRESS(ROW() + $A$9-7 + (ROW()-11)*4,3,1,1,"Internet"))," "))</f>
        <v xml:space="preserve"> </v>
      </c>
      <c r="Y74" s="319">
        <f ca="1">IF(N(U74)=0,9999,VLOOKUP(U74,Hraci!$A$1:$I$1500,8,0))</f>
        <v>9999</v>
      </c>
      <c r="Z74" s="386">
        <f ca="1">IF(N(U74)=0,0,VLOOKUP(U74,Hraci!$A$1:$I$1500,9,0))</f>
        <v>0</v>
      </c>
      <c r="AA74" s="383" t="str">
        <f t="shared" ca="1" si="13"/>
        <v/>
      </c>
      <c r="AB74" s="384" t="str">
        <f ca="1">IF(N(AA74)&gt;0,VLOOKUP(AA74,Hraci!$A$1:$I$1500,2,0)," ")</f>
        <v xml:space="preserve"> </v>
      </c>
      <c r="AC74" s="385" t="str">
        <f ca="1">IF(N(AA74)&gt;0,VLOOKUP(AA74,Hraci!$A$1:$I$1500,3,0)," ")</f>
        <v xml:space="preserve"> </v>
      </c>
      <c r="AD74" s="385" t="str">
        <f ca="1">IF(N(AA74)&gt;0,VLOOKUP(AA74,Hraci!$A$1:$I$1500,5,0)," ")</f>
        <v xml:space="preserve"> </v>
      </c>
      <c r="AE74" s="319">
        <f ca="1">IF(N(AA74)=0,9999,VLOOKUP(AA74,Hraci!$A$1:$I$1500,8,0))</f>
        <v>9999</v>
      </c>
      <c r="AF74" s="386">
        <f ca="1">IF(N(AA74)=0,0,VLOOKUP(AA74,Hraci!$A$1:$I$1500,9,0))</f>
        <v>0</v>
      </c>
      <c r="AG74" s="391"/>
      <c r="AH74" s="427">
        <f ca="1">IF(TYPE(VLOOKUP(H74,Centrum!$A$3:$E$130,5,0))&lt;4,VLOOKUP(H74,Centrum!$A$3:$E$130,5,0),0)</f>
        <v>0</v>
      </c>
      <c r="AI74" s="387" t="str">
        <f ca="1">IF(N($AH74)&gt;0,VLOOKUP($AH74,Body!$A$4:$F$259,5,0),"")</f>
        <v/>
      </c>
      <c r="AJ74" s="388" t="str">
        <f ca="1">IF(N($AH74)&gt;0,VLOOKUP($AH74,Body!$A$4:$F$259,6,0),"")</f>
        <v/>
      </c>
      <c r="AK74" s="387" t="str">
        <f ca="1">IF(N($AH74)&gt;0,VLOOKUP($AH74,Body!$A$4:$F$259,2,0),"")</f>
        <v/>
      </c>
      <c r="AL74" s="389" t="str">
        <f t="shared" ca="1" si="19"/>
        <v/>
      </c>
      <c r="AM74" s="390">
        <f t="shared" ca="1" si="15"/>
        <v>0</v>
      </c>
      <c r="AN74" s="319">
        <f ca="1">IF(OR(TYPE(I74)&gt;1,TYPE(MATCH(I74,I75:I$139,0))&gt;1),0,MATCH(I74,I75:I$139,0))+IF(OR(TYPE(I74)&gt;1,TYPE(MATCH(I74,O$11:O$139,0))&gt;1),0,MATCH(I74,O$11:O$139,0))+IF(OR(TYPE(I74)&gt;1,TYPE(MATCH(I74,U$11:U$139,0))&gt;1),0,MATCH(I74,U$11:U$139,0))+IF(OR(TYPE(I74)&gt;1,TYPE(MATCH(I74,AA$11:AA$139,0))&gt;1),0,MATCH(I74,AA$11:AA$139,0))</f>
        <v>0</v>
      </c>
      <c r="AO74" s="319">
        <f ca="1">IF(OR(TYPE(O74)&gt;1,TYPE(MATCH(O74,I$11:I$139,0))&gt;1),0,MATCH(O74,I$11:I$139,0))+IF(OR(TYPE(O74)&gt;1,TYPE(MATCH(O74,O75:O$139,0))&gt;1),0,MATCH(O74,O75:O$139,0))+IF(OR(TYPE(O74)&gt;1,TYPE(MATCH(O74,U$11:U$139,0))&gt;1),0,MATCH(O74,U$11:U$139,0))+IF(OR(TYPE(O74)&gt;1,TYPE(MATCH(O74,AA$11:AA$139,0))&gt;1),0,MATCH(O74,AA$11:AA$139,0))</f>
        <v>0</v>
      </c>
      <c r="AP74" s="319">
        <f ca="1">IF(OR(TYPE(U74)&gt;1,TYPE(MATCH(U74,I$11:I$139,0))&gt;1),0,MATCH(U74,I$11:I$139,0))+IF(OR(TYPE(U74)&gt;1,TYPE(MATCH(U74,O$11:O$139,0))&gt;1),0,MATCH(U74,O$11:O$139,0))+IF(OR(TYPE(U74)&gt;1,TYPE(MATCH(U74,U75:U$139,0))&gt;1),0,MATCH(U74,U75:U$139,0))+IF(OR(TYPE(U74)&gt;1,TYPE(MATCH(U74,AA$11:AA$139,0))&gt;1),0,MATCH(U74,AA$11:AA$139,0))</f>
        <v>0</v>
      </c>
      <c r="AQ74" s="319">
        <f ca="1">IF(OR(TYPE(AA74)&gt;1,TYPE(MATCH(AA74,I$11:I$139,0))&gt;1),0,MATCH(AA74,I$11:I$139,0))+IF(OR(TYPE(AA74)&gt;1,TYPE(MATCH(AA74,O$11:O$139,0))&gt;1),0,MATCH(AA74,O$11:O$139,0))+IF(OR(TYPE(AA74)&gt;1,TYPE(MATCH(AA74,U$11:U$139,0))&gt;1),0,MATCH(U74,U$11:U$139,0))+IF(OR(TYPE(AA74)&gt;1,TYPE(MATCH(AA74,AA75:AA$139,0))&gt;1),0,MATCH(AA74,AA75:AA$139,0))</f>
        <v>0</v>
      </c>
      <c r="AR74" s="319">
        <f t="shared" ca="1" si="18"/>
        <v>0</v>
      </c>
      <c r="AT74" s="318">
        <f t="shared" ca="1" si="16"/>
        <v>0</v>
      </c>
      <c r="AU74" s="318">
        <f ca="1">IF(AND(N(I74)&gt;0,TYPE(VLOOKUP(I74,Hraci!$A$5:$A$800,1,0))&gt;3),1,0) + IF(AND(N(O74)&gt;0,TYPE(VLOOKUP(O74,Hraci!$A$5:$A$800,1,0))&gt;3),1,0) + IF(AND(N(U74)&gt;0,TYPE(VLOOKUP(U74,Hraci!$A$5:$A$800,1,0))&gt;3),1,0)</f>
        <v>0</v>
      </c>
      <c r="BF74" s="319">
        <f t="shared" si="17"/>
        <v>64</v>
      </c>
    </row>
    <row r="75" spans="1:58" ht="12.9" x14ac:dyDescent="0.45">
      <c r="A75" s="302">
        <f t="shared" ref="A75:A138" ca="1" si="20">IF(OR(LEFT(J75,1)=" ",ISBLANK(J75)),0,1)+IF(OR(LEFT(P75,1)=" ",ISBLANK(P75)),0,1)+IF(OR(LEFT(V75,1)=" ",ISBLANK(V75)),0,1)</f>
        <v>0</v>
      </c>
      <c r="B75" s="302">
        <f t="shared" ref="B75:B138" ca="1" si="21">IF(AND(TYPE(G75&lt;15),G75=FALSE),1,0)</f>
        <v>0</v>
      </c>
      <c r="C75" s="302">
        <f t="shared" ref="C75:C138" ca="1" si="22">IF(B75=0,0,N75+T75+Z75)</f>
        <v>0</v>
      </c>
      <c r="D75" s="302">
        <f t="shared" ref="D75:D138" ca="1" si="23">IF(B75=0,99999,M75+S75+Y75)</f>
        <v>99999</v>
      </c>
      <c r="E75" s="302">
        <f t="shared" ref="E75:E138" ca="1" si="24">MIN(M75,S75,Y75)</f>
        <v>9999</v>
      </c>
      <c r="F75" s="343" t="str">
        <f t="shared" ref="F75:F138" ca="1" si="25">CONCATENATE(IF(AND($P$4=1,H75&gt;$O$7),"0","9"),TEXT(B75,"0"),IF(AND($P$4=1,H75&gt;$O$7),"000000",TEXT(1000*C75,"000000")),IF(AND($P$4=1,H75&gt;$O$7),"000000",TEXT(999999-D75,"000000")),IF(AND($P$4=1,H75&gt;$O$7),"000000",TEXT(999999-E75,"000000")),TEXT(999999*RAND(),"000000"))</f>
        <v>00000000000000000000169163</v>
      </c>
      <c r="G75" s="381" t="b">
        <f t="shared" ref="G75:G138" ca="1" si="26">IF(OR($K$6&gt;A75,AR75&gt;0),TRUE,FALSE)</f>
        <v>1</v>
      </c>
      <c r="H75" s="382">
        <f t="shared" ref="H75:H138" si="27">ROW(H75)-10</f>
        <v>65</v>
      </c>
      <c r="I75" s="383" t="str">
        <f t="shared" ref="I75:I138" ca="1" si="28">IF(N(INDIRECT(ADDRESS(ROW() + $A$9-9 + (ROW()-11)*4,1,1,1,"Internet")))&gt;0,INDIRECT(ADDRESS(ROW() + $A$9-9 + (ROW()-11)*4,1,1,1,"Internet")),"")</f>
        <v/>
      </c>
      <c r="J75" s="384" t="str">
        <f ca="1">IF(N(I75)&gt;0,VLOOKUP(I75,Hraci!$A$1:$I$1500,2,0),IF(TYPE(INDIRECT(ADDRESS(ROW() + $A$9-9 + (ROW()-11)*4,2,1,1,"Internet")))&gt;1,INDIRECT(ADDRESS(ROW() + $A$9-9 + (ROW()-11)*4,2,1,1,"Internet"))," "))</f>
        <v xml:space="preserve"> </v>
      </c>
      <c r="K75" s="385" t="str">
        <f ca="1">IF(N(I75)&gt;0,VLOOKUP(I75,Hraci!$A$1:$I$1500,3,0)," ")</f>
        <v xml:space="preserve"> </v>
      </c>
      <c r="L75" s="385" t="str">
        <f ca="1">IF(N(I75)&gt;0,VLOOKUP(I75,Hraci!$A$1:$I$1500,5,0),IF(TYPE(INDIRECT(ADDRESS(ROW() + $A$9-9 + (ROW()-11)*4,3,1,1,"Internet")))&gt;1,INDIRECT(ADDRESS(ROW() + $A$9-9 + (ROW()-11)*4,3,1,1,"Internet"))," "))</f>
        <v xml:space="preserve"> </v>
      </c>
      <c r="M75" s="319">
        <f ca="1">IF(N(I75)=0,9999,VLOOKUP(I75,Hraci!$A$1:$I$1500,8,0))</f>
        <v>9999</v>
      </c>
      <c r="N75" s="386">
        <f ca="1">IF(N(I75)=0,0,VLOOKUP(I75,Hraci!$A$1:$I$1500,9,0))</f>
        <v>0</v>
      </c>
      <c r="O75" s="383" t="str">
        <f t="shared" ref="O75:O138" ca="1" si="29">IF(N(INDIRECT(ADDRESS(ROW() + $A$9-8 + (ROW()-11)*4,1,1,1,"Internet")))&gt;0,INDIRECT(ADDRESS(ROW() + $A$9-8 + (ROW()-11)*4,1,1,1,"Internet")),"")</f>
        <v/>
      </c>
      <c r="P75" s="384" t="str">
        <f ca="1">IF(N(O75)&gt;0,VLOOKUP(O75,Hraci!$A$1:$I$1500,2,0),IF(TYPE(INDIRECT(ADDRESS(ROW() + $A$9-8 + (ROW()-11)*4,2,1,1,"Internet")))&gt;1,INDIRECT(ADDRESS(ROW() + $A$9-8 + (ROW()-11)*4,2,1,1,"Internet"))," "))</f>
        <v xml:space="preserve"> </v>
      </c>
      <c r="Q75" s="385" t="str">
        <f ca="1">IF(N(O75)&gt;0,VLOOKUP(O75,Hraci!$A$1:$I$1500,3,0)," ")</f>
        <v xml:space="preserve"> </v>
      </c>
      <c r="R75" s="385" t="str">
        <f ca="1">IF(N(O75)&gt;0,VLOOKUP(O75,Hraci!$A$1:$I$1500,5,0),IF(TYPE(INDIRECT(ADDRESS(ROW() + $A$9-8 + (ROW()-11)*4,3,1,1,"Internet")))&gt;1,INDIRECT(ADDRESS(ROW() + $A$9-8 + (ROW()-11)*4,3,1,1,"Internet"))," "))</f>
        <v xml:space="preserve"> </v>
      </c>
      <c r="S75" s="319">
        <f ca="1">IF(N(O75)=0,9999,VLOOKUP(O75,Hraci!$A$1:$I$1500,8,0))</f>
        <v>9999</v>
      </c>
      <c r="T75" s="386">
        <f ca="1">IF(N(O75)=0,0,VLOOKUP(O75,Hraci!$A$1:$I$1500,9,0))</f>
        <v>0</v>
      </c>
      <c r="U75" s="383" t="str">
        <f t="shared" ref="U75:U138" ca="1" si="30">IF(N(INDIRECT(ADDRESS(ROW() + $A$9-7 + (ROW()-11)*4,1,1,1,"Internet")))&gt;0,INDIRECT(ADDRESS(ROW() + $A$9-7 + (ROW()-11)*4,1,1,1,"Internet")),"")</f>
        <v/>
      </c>
      <c r="V75" s="384" t="str">
        <f ca="1">IF(N(U75)&gt;0,VLOOKUP(U75,Hraci!$A$1:$I$1500,2,0),IF(TYPE(INDIRECT(ADDRESS(ROW() + $A$9-7 + (ROW()-11)*4,2,1,1,"Internet")))&gt;1,INDIRECT(ADDRESS(ROW() + $A$9-7 + (ROW()-11)*4,2,1,1,"Internet"))," "))</f>
        <v xml:space="preserve"> </v>
      </c>
      <c r="W75" s="385" t="str">
        <f ca="1">IF(N(U75)&gt;0,VLOOKUP(U75,Hraci!$A$1:$I$1500,3,0)," ")</f>
        <v xml:space="preserve"> </v>
      </c>
      <c r="X75" s="385" t="str">
        <f ca="1">IF(N(U75)&gt;0,VLOOKUP(U75,Hraci!$A$1:$I$1500,5,0),IF(TYPE(INDIRECT(ADDRESS(ROW() + $A$9-7 + (ROW()-11)*4,3,1,1,"Internet")))&gt;1,INDIRECT(ADDRESS(ROW() + $A$9-7 + (ROW()-11)*4,3,1,1,"Internet"))," "))</f>
        <v xml:space="preserve"> </v>
      </c>
      <c r="Y75" s="319">
        <f ca="1">IF(N(U75)=0,9999,VLOOKUP(U75,Hraci!$A$1:$I$1500,8,0))</f>
        <v>9999</v>
      </c>
      <c r="Z75" s="386">
        <f ca="1">IF(N(U75)=0,0,VLOOKUP(U75,Hraci!$A$1:$I$1500,9,0))</f>
        <v>0</v>
      </c>
      <c r="AA75" s="383" t="str">
        <f t="shared" ref="AA75:AA137" ca="1" si="31">IF(N(INDIRECT(ADDRESS(ROW() + $A$9-6 + (ROW()-11)*4,1,1,1,"Internet")))&gt;0,INDIRECT(ADDRESS(ROW() + $A$9-6 + (ROW()-11)*4,1,1,1,"Internet")),"")</f>
        <v/>
      </c>
      <c r="AB75" s="384" t="str">
        <f ca="1">IF(N(AA75)&gt;0,VLOOKUP(AA75,Hraci!$A$1:$I$1500,2,0)," ")</f>
        <v xml:space="preserve"> </v>
      </c>
      <c r="AC75" s="385" t="str">
        <f ca="1">IF(N(AA75)&gt;0,VLOOKUP(AA75,Hraci!$A$1:$I$1500,3,0)," ")</f>
        <v xml:space="preserve"> </v>
      </c>
      <c r="AD75" s="385" t="str">
        <f ca="1">IF(N(AA75)&gt;0,VLOOKUP(AA75,Hraci!$A$1:$I$1500,5,0)," ")</f>
        <v xml:space="preserve"> </v>
      </c>
      <c r="AE75" s="319">
        <f ca="1">IF(N(AA75)=0,9999,VLOOKUP(AA75,Hraci!$A$1:$I$1500,8,0))</f>
        <v>9999</v>
      </c>
      <c r="AF75" s="386">
        <f ca="1">IF(N(AA75)=0,0,VLOOKUP(AA75,Hraci!$A$1:$I$1500,9,0))</f>
        <v>0</v>
      </c>
      <c r="AG75" s="391"/>
      <c r="AH75" s="427">
        <f ca="1">IF(TYPE(VLOOKUP(H75,Centrum!$A$3:$E$130,5,0))&lt;4,VLOOKUP(H75,Centrum!$A$3:$E$130,5,0),0)</f>
        <v>0</v>
      </c>
      <c r="AI75" s="387" t="str">
        <f ca="1">IF(N($AH75)&gt;0,VLOOKUP($AH75,Body!$A$4:$F$259,5,0),"")</f>
        <v/>
      </c>
      <c r="AJ75" s="388" t="str">
        <f ca="1">IF(N($AH75)&gt;0,VLOOKUP($AH75,Body!$A$4:$F$259,6,0),"")</f>
        <v/>
      </c>
      <c r="AK75" s="387" t="str">
        <f ca="1">IF(N($AH75)&gt;0,VLOOKUP($AH75,Body!$A$4:$F$259,2,0),"")</f>
        <v/>
      </c>
      <c r="AL75" s="389" t="str">
        <f t="shared" ref="AL75:AL106" ca="1" si="32">IF(N(H75)&gt;$K$7,"",CONCATENATE(IF($Y$9="","",H75&amp;" "),L75,IF(L75="",""," - "),J75," ",K75))</f>
        <v/>
      </c>
      <c r="AM75" s="390">
        <f t="shared" ref="AM75:AM138" ca="1" si="33">C75</f>
        <v>0</v>
      </c>
      <c r="AN75" s="319">
        <f ca="1">IF(OR(TYPE(I75)&gt;1,TYPE(MATCH(I75,I76:I$139,0))&gt;1),0,MATCH(I75,I76:I$139,0))+IF(OR(TYPE(I75)&gt;1,TYPE(MATCH(I75,O$11:O$139,0))&gt;1),0,MATCH(I75,O$11:O$139,0))+IF(OR(TYPE(I75)&gt;1,TYPE(MATCH(I75,U$11:U$139,0))&gt;1),0,MATCH(I75,U$11:U$139,0))+IF(OR(TYPE(I75)&gt;1,TYPE(MATCH(I75,AA$11:AA$139,0))&gt;1),0,MATCH(I75,AA$11:AA$139,0))</f>
        <v>0</v>
      </c>
      <c r="AO75" s="319">
        <f ca="1">IF(OR(TYPE(O75)&gt;1,TYPE(MATCH(O75,I$11:I$139,0))&gt;1),0,MATCH(O75,I$11:I$139,0))+IF(OR(TYPE(O75)&gt;1,TYPE(MATCH(O75,O76:O$139,0))&gt;1),0,MATCH(O75,O76:O$139,0))+IF(OR(TYPE(O75)&gt;1,TYPE(MATCH(O75,U$11:U$139,0))&gt;1),0,MATCH(O75,U$11:U$139,0))+IF(OR(TYPE(O75)&gt;1,TYPE(MATCH(O75,AA$11:AA$139,0))&gt;1),0,MATCH(O75,AA$11:AA$139,0))</f>
        <v>0</v>
      </c>
      <c r="AP75" s="319">
        <f ca="1">IF(OR(TYPE(U75)&gt;1,TYPE(MATCH(U75,I$11:I$139,0))&gt;1),0,MATCH(U75,I$11:I$139,0))+IF(OR(TYPE(U75)&gt;1,TYPE(MATCH(U75,O$11:O$139,0))&gt;1),0,MATCH(U75,O$11:O$139,0))+IF(OR(TYPE(U75)&gt;1,TYPE(MATCH(U75,U76:U$139,0))&gt;1),0,MATCH(U75,U76:U$139,0))+IF(OR(TYPE(U75)&gt;1,TYPE(MATCH(U75,AA$11:AA$139,0))&gt;1),0,MATCH(U75,AA$11:AA$139,0))</f>
        <v>0</v>
      </c>
      <c r="AQ75" s="319">
        <f ca="1">IF(OR(TYPE(AA75)&gt;1,TYPE(MATCH(AA75,I$11:I$139,0))&gt;1),0,MATCH(AA75,I$11:I$139,0))+IF(OR(TYPE(AA75)&gt;1,TYPE(MATCH(AA75,O$11:O$139,0))&gt;1),0,MATCH(AA75,O$11:O$139,0))+IF(OR(TYPE(AA75)&gt;1,TYPE(MATCH(AA75,U$11:U$139,0))&gt;1),0,MATCH(U75,U$11:U$139,0))+IF(OR(TYPE(AA75)&gt;1,TYPE(MATCH(AA75,AA76:AA$139,0))&gt;1),0,MATCH(AA75,AA76:AA$139,0))</f>
        <v>0</v>
      </c>
      <c r="AR75" s="319">
        <f t="shared" ca="1" si="18"/>
        <v>0</v>
      </c>
      <c r="AT75" s="318">
        <f t="shared" ref="AT75:AT138" ca="1" si="34">IF(AU75=$K$6,1,0)</f>
        <v>0</v>
      </c>
      <c r="AU75" s="318">
        <f ca="1">IF(AND(N(I75)&gt;0,TYPE(VLOOKUP(I75,Hraci!$A$5:$A$800,1,0))&gt;3),1,0) + IF(AND(N(O75)&gt;0,TYPE(VLOOKUP(O75,Hraci!$A$5:$A$800,1,0))&gt;3),1,0) + IF(AND(N(U75)&gt;0,TYPE(VLOOKUP(U75,Hraci!$A$5:$A$800,1,0))&gt;3),1,0)</f>
        <v>0</v>
      </c>
      <c r="BF75" s="319">
        <f t="shared" si="17"/>
        <v>65</v>
      </c>
    </row>
    <row r="76" spans="1:58" ht="12.9" x14ac:dyDescent="0.45">
      <c r="A76" s="302">
        <f t="shared" ca="1" si="20"/>
        <v>0</v>
      </c>
      <c r="B76" s="302">
        <f t="shared" ca="1" si="21"/>
        <v>0</v>
      </c>
      <c r="C76" s="302">
        <f t="shared" ca="1" si="22"/>
        <v>0</v>
      </c>
      <c r="D76" s="302">
        <f t="shared" ca="1" si="23"/>
        <v>99999</v>
      </c>
      <c r="E76" s="302">
        <f t="shared" ca="1" si="24"/>
        <v>9999</v>
      </c>
      <c r="F76" s="343" t="str">
        <f t="shared" ca="1" si="25"/>
        <v>00000000000000000000760028</v>
      </c>
      <c r="G76" s="381" t="b">
        <f t="shared" ca="1" si="26"/>
        <v>1</v>
      </c>
      <c r="H76" s="382">
        <f t="shared" si="27"/>
        <v>66</v>
      </c>
      <c r="I76" s="383" t="str">
        <f t="shared" ca="1" si="28"/>
        <v/>
      </c>
      <c r="J76" s="384" t="str">
        <f ca="1">IF(N(I76)&gt;0,VLOOKUP(I76,Hraci!$A$1:$I$1500,2,0),IF(TYPE(INDIRECT(ADDRESS(ROW() + $A$9-9 + (ROW()-11)*4,2,1,1,"Internet")))&gt;1,INDIRECT(ADDRESS(ROW() + $A$9-9 + (ROW()-11)*4,2,1,1,"Internet"))," "))</f>
        <v xml:space="preserve"> </v>
      </c>
      <c r="K76" s="385" t="str">
        <f ca="1">IF(N(I76)&gt;0,VLOOKUP(I76,Hraci!$A$1:$I$1500,3,0)," ")</f>
        <v xml:space="preserve"> </v>
      </c>
      <c r="L76" s="385" t="str">
        <f ca="1">IF(N(I76)&gt;0,VLOOKUP(I76,Hraci!$A$1:$I$1500,5,0),IF(TYPE(INDIRECT(ADDRESS(ROW() + $A$9-9 + (ROW()-11)*4,3,1,1,"Internet")))&gt;1,INDIRECT(ADDRESS(ROW() + $A$9-9 + (ROW()-11)*4,3,1,1,"Internet"))," "))</f>
        <v xml:space="preserve"> </v>
      </c>
      <c r="M76" s="319">
        <f ca="1">IF(N(I76)=0,9999,VLOOKUP(I76,Hraci!$A$1:$I$1500,8,0))</f>
        <v>9999</v>
      </c>
      <c r="N76" s="386">
        <f ca="1">IF(N(I76)=0,0,VLOOKUP(I76,Hraci!$A$1:$I$1500,9,0))</f>
        <v>0</v>
      </c>
      <c r="O76" s="383" t="str">
        <f t="shared" ca="1" si="29"/>
        <v/>
      </c>
      <c r="P76" s="384" t="str">
        <f ca="1">IF(N(O76)&gt;0,VLOOKUP(O76,Hraci!$A$1:$I$1500,2,0),IF(TYPE(INDIRECT(ADDRESS(ROW() + $A$9-8 + (ROW()-11)*4,2,1,1,"Internet")))&gt;1,INDIRECT(ADDRESS(ROW() + $A$9-8 + (ROW()-11)*4,2,1,1,"Internet"))," "))</f>
        <v xml:space="preserve"> </v>
      </c>
      <c r="Q76" s="385" t="str">
        <f ca="1">IF(N(O76)&gt;0,VLOOKUP(O76,Hraci!$A$1:$I$1500,3,0)," ")</f>
        <v xml:space="preserve"> </v>
      </c>
      <c r="R76" s="385" t="str">
        <f ca="1">IF(N(O76)&gt;0,VLOOKUP(O76,Hraci!$A$1:$I$1500,5,0),IF(TYPE(INDIRECT(ADDRESS(ROW() + $A$9-8 + (ROW()-11)*4,3,1,1,"Internet")))&gt;1,INDIRECT(ADDRESS(ROW() + $A$9-8 + (ROW()-11)*4,3,1,1,"Internet"))," "))</f>
        <v xml:space="preserve"> </v>
      </c>
      <c r="S76" s="319">
        <f ca="1">IF(N(O76)=0,9999,VLOOKUP(O76,Hraci!$A$1:$I$1500,8,0))</f>
        <v>9999</v>
      </c>
      <c r="T76" s="386">
        <f ca="1">IF(N(O76)=0,0,VLOOKUP(O76,Hraci!$A$1:$I$1500,9,0))</f>
        <v>0</v>
      </c>
      <c r="U76" s="383" t="str">
        <f t="shared" ca="1" si="30"/>
        <v/>
      </c>
      <c r="V76" s="384" t="str">
        <f ca="1">IF(N(U76)&gt;0,VLOOKUP(U76,Hraci!$A$1:$I$1500,2,0),IF(TYPE(INDIRECT(ADDRESS(ROW() + $A$9-7 + (ROW()-11)*4,2,1,1,"Internet")))&gt;1,INDIRECT(ADDRESS(ROW() + $A$9-7 + (ROW()-11)*4,2,1,1,"Internet"))," "))</f>
        <v xml:space="preserve"> </v>
      </c>
      <c r="W76" s="385" t="str">
        <f ca="1">IF(N(U76)&gt;0,VLOOKUP(U76,Hraci!$A$1:$I$1500,3,0)," ")</f>
        <v xml:space="preserve"> </v>
      </c>
      <c r="X76" s="385" t="str">
        <f ca="1">IF(N(U76)&gt;0,VLOOKUP(U76,Hraci!$A$1:$I$1500,5,0),IF(TYPE(INDIRECT(ADDRESS(ROW() + $A$9-7 + (ROW()-11)*4,3,1,1,"Internet")))&gt;1,INDIRECT(ADDRESS(ROW() + $A$9-7 + (ROW()-11)*4,3,1,1,"Internet"))," "))</f>
        <v xml:space="preserve"> </v>
      </c>
      <c r="Y76" s="319">
        <f ca="1">IF(N(U76)=0,9999,VLOOKUP(U76,Hraci!$A$1:$I$1500,8,0))</f>
        <v>9999</v>
      </c>
      <c r="Z76" s="386">
        <f ca="1">IF(N(U76)=0,0,VLOOKUP(U76,Hraci!$A$1:$I$1500,9,0))</f>
        <v>0</v>
      </c>
      <c r="AA76" s="383" t="str">
        <f t="shared" ca="1" si="31"/>
        <v/>
      </c>
      <c r="AB76" s="384" t="str">
        <f ca="1">IF(N(AA76)&gt;0,VLOOKUP(AA76,Hraci!$A$1:$I$1500,2,0)," ")</f>
        <v xml:space="preserve"> </v>
      </c>
      <c r="AC76" s="385" t="str">
        <f ca="1">IF(N(AA76)&gt;0,VLOOKUP(AA76,Hraci!$A$1:$I$1500,3,0)," ")</f>
        <v xml:space="preserve"> </v>
      </c>
      <c r="AD76" s="385" t="str">
        <f ca="1">IF(N(AA76)&gt;0,VLOOKUP(AA76,Hraci!$A$1:$I$1500,5,0)," ")</f>
        <v xml:space="preserve"> </v>
      </c>
      <c r="AE76" s="319">
        <f ca="1">IF(N(AA76)=0,9999,VLOOKUP(AA76,Hraci!$A$1:$I$1500,8,0))</f>
        <v>9999</v>
      </c>
      <c r="AF76" s="386">
        <f ca="1">IF(N(AA76)=0,0,VLOOKUP(AA76,Hraci!$A$1:$I$1500,9,0))</f>
        <v>0</v>
      </c>
      <c r="AG76" s="391"/>
      <c r="AH76" s="427">
        <f ca="1">IF(TYPE(VLOOKUP(H76,Centrum!$A$3:$E$130,5,0))&lt;4,VLOOKUP(H76,Centrum!$A$3:$E$130,5,0),0)</f>
        <v>0</v>
      </c>
      <c r="AI76" s="387" t="str">
        <f ca="1">IF(N($AH76)&gt;0,VLOOKUP($AH76,Body!$A$4:$F$259,5,0),"")</f>
        <v/>
      </c>
      <c r="AJ76" s="388" t="str">
        <f ca="1">IF(N($AH76)&gt;0,VLOOKUP($AH76,Body!$A$4:$F$259,6,0),"")</f>
        <v/>
      </c>
      <c r="AK76" s="387" t="str">
        <f ca="1">IF(N($AH76)&gt;0,VLOOKUP($AH76,Body!$A$4:$F$259,2,0),"")</f>
        <v/>
      </c>
      <c r="AL76" s="389" t="str">
        <f t="shared" ca="1" si="32"/>
        <v/>
      </c>
      <c r="AM76" s="390">
        <f t="shared" ca="1" si="33"/>
        <v>0</v>
      </c>
      <c r="AN76" s="319">
        <f ca="1">IF(OR(TYPE(I76)&gt;1,TYPE(MATCH(I76,I77:I$139,0))&gt;1),0,MATCH(I76,I77:I$139,0))+IF(OR(TYPE(I76)&gt;1,TYPE(MATCH(I76,O$11:O$139,0))&gt;1),0,MATCH(I76,O$11:O$139,0))+IF(OR(TYPE(I76)&gt;1,TYPE(MATCH(I76,U$11:U$139,0))&gt;1),0,MATCH(I76,U$11:U$139,0))+IF(OR(TYPE(I76)&gt;1,TYPE(MATCH(I76,AA$11:AA$139,0))&gt;1),0,MATCH(I76,AA$11:AA$139,0))</f>
        <v>0</v>
      </c>
      <c r="AO76" s="319">
        <f ca="1">IF(OR(TYPE(O76)&gt;1,TYPE(MATCH(O76,I$11:I$139,0))&gt;1),0,MATCH(O76,I$11:I$139,0))+IF(OR(TYPE(O76)&gt;1,TYPE(MATCH(O76,O77:O$139,0))&gt;1),0,MATCH(O76,O77:O$139,0))+IF(OR(TYPE(O76)&gt;1,TYPE(MATCH(O76,U$11:U$139,0))&gt;1),0,MATCH(O76,U$11:U$139,0))+IF(OR(TYPE(O76)&gt;1,TYPE(MATCH(O76,AA$11:AA$139,0))&gt;1),0,MATCH(O76,AA$11:AA$139,0))</f>
        <v>0</v>
      </c>
      <c r="AP76" s="319">
        <f ca="1">IF(OR(TYPE(U76)&gt;1,TYPE(MATCH(U76,I$11:I$139,0))&gt;1),0,MATCH(U76,I$11:I$139,0))+IF(OR(TYPE(U76)&gt;1,TYPE(MATCH(U76,O$11:O$139,0))&gt;1),0,MATCH(U76,O$11:O$139,0))+IF(OR(TYPE(U76)&gt;1,TYPE(MATCH(U76,U77:U$139,0))&gt;1),0,MATCH(U76,U77:U$139,0))+IF(OR(TYPE(U76)&gt;1,TYPE(MATCH(U76,AA$11:AA$139,0))&gt;1),0,MATCH(U76,AA$11:AA$139,0))</f>
        <v>0</v>
      </c>
      <c r="AQ76" s="319">
        <f ca="1">IF(OR(TYPE(AA76)&gt;1,TYPE(MATCH(AA76,I$11:I$139,0))&gt;1),0,MATCH(AA76,I$11:I$139,0))+IF(OR(TYPE(AA76)&gt;1,TYPE(MATCH(AA76,O$11:O$139,0))&gt;1),0,MATCH(AA76,O$11:O$139,0))+IF(OR(TYPE(AA76)&gt;1,TYPE(MATCH(AA76,U$11:U$139,0))&gt;1),0,MATCH(U76,U$11:U$139,0))+IF(OR(TYPE(AA76)&gt;1,TYPE(MATCH(AA76,AA77:AA$139,0))&gt;1),0,MATCH(AA76,AA77:AA$139,0))</f>
        <v>0</v>
      </c>
      <c r="AR76" s="319">
        <f t="shared" ca="1" si="18"/>
        <v>0</v>
      </c>
      <c r="AT76" s="318">
        <f t="shared" ca="1" si="34"/>
        <v>0</v>
      </c>
      <c r="AU76" s="318">
        <f ca="1">IF(AND(N(I76)&gt;0,TYPE(VLOOKUP(I76,Hraci!$A$5:$A$800,1,0))&gt;3),1,0) + IF(AND(N(O76)&gt;0,TYPE(VLOOKUP(O76,Hraci!$A$5:$A$800,1,0))&gt;3),1,0) + IF(AND(N(U76)&gt;0,TYPE(VLOOKUP(U76,Hraci!$A$5:$A$800,1,0))&gt;3),1,0)</f>
        <v>0</v>
      </c>
      <c r="BF76" s="319">
        <f t="shared" ref="BF76:BF138" si="35">H76</f>
        <v>66</v>
      </c>
    </row>
    <row r="77" spans="1:58" ht="12.9" x14ac:dyDescent="0.45">
      <c r="A77" s="302">
        <f t="shared" ca="1" si="20"/>
        <v>0</v>
      </c>
      <c r="B77" s="302">
        <f t="shared" ca="1" si="21"/>
        <v>0</v>
      </c>
      <c r="C77" s="302">
        <f t="shared" ca="1" si="22"/>
        <v>0</v>
      </c>
      <c r="D77" s="302">
        <f t="shared" ca="1" si="23"/>
        <v>99999</v>
      </c>
      <c r="E77" s="302">
        <f t="shared" ca="1" si="24"/>
        <v>9999</v>
      </c>
      <c r="F77" s="343" t="str">
        <f t="shared" ca="1" si="25"/>
        <v>00000000000000000000047209</v>
      </c>
      <c r="G77" s="381" t="b">
        <f t="shared" ca="1" si="26"/>
        <v>1</v>
      </c>
      <c r="H77" s="382">
        <f t="shared" si="27"/>
        <v>67</v>
      </c>
      <c r="I77" s="383" t="str">
        <f t="shared" ca="1" si="28"/>
        <v/>
      </c>
      <c r="J77" s="384" t="str">
        <f ca="1">IF(N(I77)&gt;0,VLOOKUP(I77,Hraci!$A$1:$I$1500,2,0),IF(TYPE(INDIRECT(ADDRESS(ROW() + $A$9-9 + (ROW()-11)*4,2,1,1,"Internet")))&gt;1,INDIRECT(ADDRESS(ROW() + $A$9-9 + (ROW()-11)*4,2,1,1,"Internet"))," "))</f>
        <v xml:space="preserve"> </v>
      </c>
      <c r="K77" s="385" t="str">
        <f ca="1">IF(N(I77)&gt;0,VLOOKUP(I77,Hraci!$A$1:$I$1500,3,0)," ")</f>
        <v xml:space="preserve"> </v>
      </c>
      <c r="L77" s="385" t="str">
        <f ca="1">IF(N(I77)&gt;0,VLOOKUP(I77,Hraci!$A$1:$I$1500,5,0),IF(TYPE(INDIRECT(ADDRESS(ROW() + $A$9-9 + (ROW()-11)*4,3,1,1,"Internet")))&gt;1,INDIRECT(ADDRESS(ROW() + $A$9-9 + (ROW()-11)*4,3,1,1,"Internet"))," "))</f>
        <v xml:space="preserve"> </v>
      </c>
      <c r="M77" s="319">
        <f ca="1">IF(N(I77)=0,9999,VLOOKUP(I77,Hraci!$A$1:$I$1500,8,0))</f>
        <v>9999</v>
      </c>
      <c r="N77" s="386">
        <f ca="1">IF(N(I77)=0,0,VLOOKUP(I77,Hraci!$A$1:$I$1500,9,0))</f>
        <v>0</v>
      </c>
      <c r="O77" s="383" t="str">
        <f t="shared" ca="1" si="29"/>
        <v/>
      </c>
      <c r="P77" s="384" t="str">
        <f ca="1">IF(N(O77)&gt;0,VLOOKUP(O77,Hraci!$A$1:$I$1500,2,0),IF(TYPE(INDIRECT(ADDRESS(ROW() + $A$9-8 + (ROW()-11)*4,2,1,1,"Internet")))&gt;1,INDIRECT(ADDRESS(ROW() + $A$9-8 + (ROW()-11)*4,2,1,1,"Internet"))," "))</f>
        <v xml:space="preserve"> </v>
      </c>
      <c r="Q77" s="385" t="str">
        <f ca="1">IF(N(O77)&gt;0,VLOOKUP(O77,Hraci!$A$1:$I$1500,3,0)," ")</f>
        <v xml:space="preserve"> </v>
      </c>
      <c r="R77" s="385" t="str">
        <f ca="1">IF(N(O77)&gt;0,VLOOKUP(O77,Hraci!$A$1:$I$1500,5,0),IF(TYPE(INDIRECT(ADDRESS(ROW() + $A$9-8 + (ROW()-11)*4,3,1,1,"Internet")))&gt;1,INDIRECT(ADDRESS(ROW() + $A$9-8 + (ROW()-11)*4,3,1,1,"Internet"))," "))</f>
        <v xml:space="preserve"> </v>
      </c>
      <c r="S77" s="319">
        <f ca="1">IF(N(O77)=0,9999,VLOOKUP(O77,Hraci!$A$1:$I$1500,8,0))</f>
        <v>9999</v>
      </c>
      <c r="T77" s="386">
        <f ca="1">IF(N(O77)=0,0,VLOOKUP(O77,Hraci!$A$1:$I$1500,9,0))</f>
        <v>0</v>
      </c>
      <c r="U77" s="383" t="str">
        <f t="shared" ca="1" si="30"/>
        <v/>
      </c>
      <c r="V77" s="384" t="str">
        <f ca="1">IF(N(U77)&gt;0,VLOOKUP(U77,Hraci!$A$1:$I$1500,2,0),IF(TYPE(INDIRECT(ADDRESS(ROW() + $A$9-7 + (ROW()-11)*4,2,1,1,"Internet")))&gt;1,INDIRECT(ADDRESS(ROW() + $A$9-7 + (ROW()-11)*4,2,1,1,"Internet"))," "))</f>
        <v xml:space="preserve"> </v>
      </c>
      <c r="W77" s="385" t="str">
        <f ca="1">IF(N(U77)&gt;0,VLOOKUP(U77,Hraci!$A$1:$I$1500,3,0)," ")</f>
        <v xml:space="preserve"> </v>
      </c>
      <c r="X77" s="385" t="str">
        <f ca="1">IF(N(U77)&gt;0,VLOOKUP(U77,Hraci!$A$1:$I$1500,5,0),IF(TYPE(INDIRECT(ADDRESS(ROW() + $A$9-7 + (ROW()-11)*4,3,1,1,"Internet")))&gt;1,INDIRECT(ADDRESS(ROW() + $A$9-7 + (ROW()-11)*4,3,1,1,"Internet"))," "))</f>
        <v xml:space="preserve"> </v>
      </c>
      <c r="Y77" s="319">
        <f ca="1">IF(N(U77)=0,9999,VLOOKUP(U77,Hraci!$A$1:$I$1500,8,0))</f>
        <v>9999</v>
      </c>
      <c r="Z77" s="386">
        <f ca="1">IF(N(U77)=0,0,VLOOKUP(U77,Hraci!$A$1:$I$1500,9,0))</f>
        <v>0</v>
      </c>
      <c r="AA77" s="383" t="str">
        <f t="shared" ca="1" si="31"/>
        <v/>
      </c>
      <c r="AB77" s="384" t="str">
        <f ca="1">IF(N(AA77)&gt;0,VLOOKUP(AA77,Hraci!$A$1:$I$1500,2,0)," ")</f>
        <v xml:space="preserve"> </v>
      </c>
      <c r="AC77" s="385" t="str">
        <f ca="1">IF(N(AA77)&gt;0,VLOOKUP(AA77,Hraci!$A$1:$I$1500,3,0)," ")</f>
        <v xml:space="preserve"> </v>
      </c>
      <c r="AD77" s="385" t="str">
        <f ca="1">IF(N(AA77)&gt;0,VLOOKUP(AA77,Hraci!$A$1:$I$1500,5,0)," ")</f>
        <v xml:space="preserve"> </v>
      </c>
      <c r="AE77" s="319">
        <f ca="1">IF(N(AA77)=0,9999,VLOOKUP(AA77,Hraci!$A$1:$I$1500,8,0))</f>
        <v>9999</v>
      </c>
      <c r="AF77" s="386">
        <f ca="1">IF(N(AA77)=0,0,VLOOKUP(AA77,Hraci!$A$1:$I$1500,9,0))</f>
        <v>0</v>
      </c>
      <c r="AG77" s="391"/>
      <c r="AH77" s="427">
        <f ca="1">IF(TYPE(VLOOKUP(H77,Centrum!$A$3:$E$130,5,0))&lt;4,VLOOKUP(H77,Centrum!$A$3:$E$130,5,0),0)</f>
        <v>0</v>
      </c>
      <c r="AI77" s="387" t="str">
        <f ca="1">IF(N($AH77)&gt;0,VLOOKUP($AH77,Body!$A$4:$F$259,5,0),"")</f>
        <v/>
      </c>
      <c r="AJ77" s="388" t="str">
        <f ca="1">IF(N($AH77)&gt;0,VLOOKUP($AH77,Body!$A$4:$F$259,6,0),"")</f>
        <v/>
      </c>
      <c r="AK77" s="387" t="str">
        <f ca="1">IF(N($AH77)&gt;0,VLOOKUP($AH77,Body!$A$4:$F$259,2,0),"")</f>
        <v/>
      </c>
      <c r="AL77" s="389" t="str">
        <f t="shared" ca="1" si="32"/>
        <v/>
      </c>
      <c r="AM77" s="390">
        <f t="shared" ca="1" si="33"/>
        <v>0</v>
      </c>
      <c r="AN77" s="319">
        <f ca="1">IF(OR(TYPE(I77)&gt;1,TYPE(MATCH(I77,I78:I$139,0))&gt;1),0,MATCH(I77,I78:I$139,0))+IF(OR(TYPE(I77)&gt;1,TYPE(MATCH(I77,O$11:O$139,0))&gt;1),0,MATCH(I77,O$11:O$139,0))+IF(OR(TYPE(I77)&gt;1,TYPE(MATCH(I77,U$11:U$139,0))&gt;1),0,MATCH(I77,U$11:U$139,0))+IF(OR(TYPE(I77)&gt;1,TYPE(MATCH(I77,AA$11:AA$139,0))&gt;1),0,MATCH(I77,AA$11:AA$139,0))</f>
        <v>0</v>
      </c>
      <c r="AO77" s="319">
        <f ca="1">IF(OR(TYPE(O77)&gt;1,TYPE(MATCH(O77,I$11:I$139,0))&gt;1),0,MATCH(O77,I$11:I$139,0))+IF(OR(TYPE(O77)&gt;1,TYPE(MATCH(O77,O78:O$139,0))&gt;1),0,MATCH(O77,O78:O$139,0))+IF(OR(TYPE(O77)&gt;1,TYPE(MATCH(O77,U$11:U$139,0))&gt;1),0,MATCH(O77,U$11:U$139,0))+IF(OR(TYPE(O77)&gt;1,TYPE(MATCH(O77,AA$11:AA$139,0))&gt;1),0,MATCH(O77,AA$11:AA$139,0))</f>
        <v>0</v>
      </c>
      <c r="AP77" s="319">
        <f ca="1">IF(OR(TYPE(U77)&gt;1,TYPE(MATCH(U77,I$11:I$139,0))&gt;1),0,MATCH(U77,I$11:I$139,0))+IF(OR(TYPE(U77)&gt;1,TYPE(MATCH(U77,O$11:O$139,0))&gt;1),0,MATCH(U77,O$11:O$139,0))+IF(OR(TYPE(U77)&gt;1,TYPE(MATCH(U77,U78:U$139,0))&gt;1),0,MATCH(U77,U78:U$139,0))+IF(OR(TYPE(U77)&gt;1,TYPE(MATCH(U77,AA$11:AA$139,0))&gt;1),0,MATCH(U77,AA$11:AA$139,0))</f>
        <v>0</v>
      </c>
      <c r="AQ77" s="319">
        <f ca="1">IF(OR(TYPE(AA77)&gt;1,TYPE(MATCH(AA77,I$11:I$139,0))&gt;1),0,MATCH(AA77,I$11:I$139,0))+IF(OR(TYPE(AA77)&gt;1,TYPE(MATCH(AA77,O$11:O$139,0))&gt;1),0,MATCH(AA77,O$11:O$139,0))+IF(OR(TYPE(AA77)&gt;1,TYPE(MATCH(AA77,U$11:U$139,0))&gt;1),0,MATCH(U77,U$11:U$139,0))+IF(OR(TYPE(AA77)&gt;1,TYPE(MATCH(AA77,AA78:AA$139,0))&gt;1),0,MATCH(AA77,AA78:AA$139,0))</f>
        <v>0</v>
      </c>
      <c r="AR77" s="319">
        <f t="shared" ca="1" si="18"/>
        <v>0</v>
      </c>
      <c r="AT77" s="318">
        <f t="shared" ca="1" si="34"/>
        <v>0</v>
      </c>
      <c r="AU77" s="318">
        <f ca="1">IF(AND(N(I77)&gt;0,TYPE(VLOOKUP(I77,Hraci!$A$5:$A$800,1,0))&gt;3),1,0) + IF(AND(N(O77)&gt;0,TYPE(VLOOKUP(O77,Hraci!$A$5:$A$800,1,0))&gt;3),1,0) + IF(AND(N(U77)&gt;0,TYPE(VLOOKUP(U77,Hraci!$A$5:$A$800,1,0))&gt;3),1,0)</f>
        <v>0</v>
      </c>
      <c r="BF77" s="319">
        <f t="shared" si="35"/>
        <v>67</v>
      </c>
    </row>
    <row r="78" spans="1:58" ht="12.9" x14ac:dyDescent="0.45">
      <c r="A78" s="302">
        <f t="shared" ca="1" si="20"/>
        <v>0</v>
      </c>
      <c r="B78" s="302">
        <f t="shared" ca="1" si="21"/>
        <v>0</v>
      </c>
      <c r="C78" s="302">
        <f t="shared" ca="1" si="22"/>
        <v>0</v>
      </c>
      <c r="D78" s="302">
        <f t="shared" ca="1" si="23"/>
        <v>99999</v>
      </c>
      <c r="E78" s="302">
        <f t="shared" ca="1" si="24"/>
        <v>9999</v>
      </c>
      <c r="F78" s="343" t="str">
        <f t="shared" ca="1" si="25"/>
        <v>00000000000000000000511466</v>
      </c>
      <c r="G78" s="381" t="b">
        <f t="shared" ca="1" si="26"/>
        <v>1</v>
      </c>
      <c r="H78" s="382">
        <f t="shared" si="27"/>
        <v>68</v>
      </c>
      <c r="I78" s="383" t="str">
        <f t="shared" ca="1" si="28"/>
        <v/>
      </c>
      <c r="J78" s="384" t="str">
        <f ca="1">IF(N(I78)&gt;0,VLOOKUP(I78,Hraci!$A$1:$I$1500,2,0),IF(TYPE(INDIRECT(ADDRESS(ROW() + $A$9-9 + (ROW()-11)*4,2,1,1,"Internet")))&gt;1,INDIRECT(ADDRESS(ROW() + $A$9-9 + (ROW()-11)*4,2,1,1,"Internet"))," "))</f>
        <v xml:space="preserve"> </v>
      </c>
      <c r="K78" s="385" t="str">
        <f ca="1">IF(N(I78)&gt;0,VLOOKUP(I78,Hraci!$A$1:$I$1500,3,0)," ")</f>
        <v xml:space="preserve"> </v>
      </c>
      <c r="L78" s="385" t="str">
        <f ca="1">IF(N(I78)&gt;0,VLOOKUP(I78,Hraci!$A$1:$I$1500,5,0),IF(TYPE(INDIRECT(ADDRESS(ROW() + $A$9-9 + (ROW()-11)*4,3,1,1,"Internet")))&gt;1,INDIRECT(ADDRESS(ROW() + $A$9-9 + (ROW()-11)*4,3,1,1,"Internet"))," "))</f>
        <v xml:space="preserve"> </v>
      </c>
      <c r="M78" s="319">
        <f ca="1">IF(N(I78)=0,9999,VLOOKUP(I78,Hraci!$A$1:$I$1500,8,0))</f>
        <v>9999</v>
      </c>
      <c r="N78" s="386">
        <f ca="1">IF(N(I78)=0,0,VLOOKUP(I78,Hraci!$A$1:$I$1500,9,0))</f>
        <v>0</v>
      </c>
      <c r="O78" s="383" t="str">
        <f t="shared" ca="1" si="29"/>
        <v/>
      </c>
      <c r="P78" s="384" t="str">
        <f ca="1">IF(N(O78)&gt;0,VLOOKUP(O78,Hraci!$A$1:$I$1500,2,0),IF(TYPE(INDIRECT(ADDRESS(ROW() + $A$9-8 + (ROW()-11)*4,2,1,1,"Internet")))&gt;1,INDIRECT(ADDRESS(ROW() + $A$9-8 + (ROW()-11)*4,2,1,1,"Internet"))," "))</f>
        <v xml:space="preserve"> </v>
      </c>
      <c r="Q78" s="385" t="str">
        <f ca="1">IF(N(O78)&gt;0,VLOOKUP(O78,Hraci!$A$1:$I$1500,3,0)," ")</f>
        <v xml:space="preserve"> </v>
      </c>
      <c r="R78" s="385" t="str">
        <f ca="1">IF(N(O78)&gt;0,VLOOKUP(O78,Hraci!$A$1:$I$1500,5,0),IF(TYPE(INDIRECT(ADDRESS(ROW() + $A$9-8 + (ROW()-11)*4,3,1,1,"Internet")))&gt;1,INDIRECT(ADDRESS(ROW() + $A$9-8 + (ROW()-11)*4,3,1,1,"Internet"))," "))</f>
        <v xml:space="preserve"> </v>
      </c>
      <c r="S78" s="319">
        <f ca="1">IF(N(O78)=0,9999,VLOOKUP(O78,Hraci!$A$1:$I$1500,8,0))</f>
        <v>9999</v>
      </c>
      <c r="T78" s="386">
        <f ca="1">IF(N(O78)=0,0,VLOOKUP(O78,Hraci!$A$1:$I$1500,9,0))</f>
        <v>0</v>
      </c>
      <c r="U78" s="383" t="str">
        <f t="shared" ca="1" si="30"/>
        <v/>
      </c>
      <c r="V78" s="384" t="str">
        <f ca="1">IF(N(U78)&gt;0,VLOOKUP(U78,Hraci!$A$1:$I$1500,2,0),IF(TYPE(INDIRECT(ADDRESS(ROW() + $A$9-7 + (ROW()-11)*4,2,1,1,"Internet")))&gt;1,INDIRECT(ADDRESS(ROW() + $A$9-7 + (ROW()-11)*4,2,1,1,"Internet"))," "))</f>
        <v xml:space="preserve"> </v>
      </c>
      <c r="W78" s="385" t="str">
        <f ca="1">IF(N(U78)&gt;0,VLOOKUP(U78,Hraci!$A$1:$I$1500,3,0)," ")</f>
        <v xml:space="preserve"> </v>
      </c>
      <c r="X78" s="385" t="str">
        <f ca="1">IF(N(U78)&gt;0,VLOOKUP(U78,Hraci!$A$1:$I$1500,5,0),IF(TYPE(INDIRECT(ADDRESS(ROW() + $A$9-7 + (ROW()-11)*4,3,1,1,"Internet")))&gt;1,INDIRECT(ADDRESS(ROW() + $A$9-7 + (ROW()-11)*4,3,1,1,"Internet"))," "))</f>
        <v xml:space="preserve"> </v>
      </c>
      <c r="Y78" s="319">
        <f ca="1">IF(N(U78)=0,9999,VLOOKUP(U78,Hraci!$A$1:$I$1500,8,0))</f>
        <v>9999</v>
      </c>
      <c r="Z78" s="386">
        <f ca="1">IF(N(U78)=0,0,VLOOKUP(U78,Hraci!$A$1:$I$1500,9,0))</f>
        <v>0</v>
      </c>
      <c r="AA78" s="383" t="str">
        <f t="shared" ca="1" si="31"/>
        <v/>
      </c>
      <c r="AB78" s="384" t="str">
        <f ca="1">IF(N(AA78)&gt;0,VLOOKUP(AA78,Hraci!$A$1:$I$1500,2,0)," ")</f>
        <v xml:space="preserve"> </v>
      </c>
      <c r="AC78" s="385" t="str">
        <f ca="1">IF(N(AA78)&gt;0,VLOOKUP(AA78,Hraci!$A$1:$I$1500,3,0)," ")</f>
        <v xml:space="preserve"> </v>
      </c>
      <c r="AD78" s="385" t="str">
        <f ca="1">IF(N(AA78)&gt;0,VLOOKUP(AA78,Hraci!$A$1:$I$1500,5,0)," ")</f>
        <v xml:space="preserve"> </v>
      </c>
      <c r="AE78" s="319">
        <f ca="1">IF(N(AA78)=0,9999,VLOOKUP(AA78,Hraci!$A$1:$I$1500,8,0))</f>
        <v>9999</v>
      </c>
      <c r="AF78" s="386">
        <f ca="1">IF(N(AA78)=0,0,VLOOKUP(AA78,Hraci!$A$1:$I$1500,9,0))</f>
        <v>0</v>
      </c>
      <c r="AG78" s="391"/>
      <c r="AH78" s="427">
        <f ca="1">IF(TYPE(VLOOKUP(H78,Centrum!$A$3:$E$130,5,0))&lt;4,VLOOKUP(H78,Centrum!$A$3:$E$130,5,0),0)</f>
        <v>0</v>
      </c>
      <c r="AI78" s="387" t="str">
        <f ca="1">IF(N($AH78)&gt;0,VLOOKUP($AH78,Body!$A$4:$F$259,5,0),"")</f>
        <v/>
      </c>
      <c r="AJ78" s="388" t="str">
        <f ca="1">IF(N($AH78)&gt;0,VLOOKUP($AH78,Body!$A$4:$F$259,6,0),"")</f>
        <v/>
      </c>
      <c r="AK78" s="387" t="str">
        <f ca="1">IF(N($AH78)&gt;0,VLOOKUP($AH78,Body!$A$4:$F$259,2,0),"")</f>
        <v/>
      </c>
      <c r="AL78" s="389" t="str">
        <f t="shared" ca="1" si="32"/>
        <v/>
      </c>
      <c r="AM78" s="390">
        <f t="shared" ca="1" si="33"/>
        <v>0</v>
      </c>
      <c r="AN78" s="319">
        <f ca="1">IF(OR(TYPE(I78)&gt;1,TYPE(MATCH(I78,I79:I$139,0))&gt;1),0,MATCH(I78,I79:I$139,0))+IF(OR(TYPE(I78)&gt;1,TYPE(MATCH(I78,O$11:O$139,0))&gt;1),0,MATCH(I78,O$11:O$139,0))+IF(OR(TYPE(I78)&gt;1,TYPE(MATCH(I78,U$11:U$139,0))&gt;1),0,MATCH(I78,U$11:U$139,0))+IF(OR(TYPE(I78)&gt;1,TYPE(MATCH(I78,AA$11:AA$139,0))&gt;1),0,MATCH(I78,AA$11:AA$139,0))</f>
        <v>0</v>
      </c>
      <c r="AO78" s="319">
        <f ca="1">IF(OR(TYPE(O78)&gt;1,TYPE(MATCH(O78,I$11:I$139,0))&gt;1),0,MATCH(O78,I$11:I$139,0))+IF(OR(TYPE(O78)&gt;1,TYPE(MATCH(O78,O79:O$139,0))&gt;1),0,MATCH(O78,O79:O$139,0))+IF(OR(TYPE(O78)&gt;1,TYPE(MATCH(O78,U$11:U$139,0))&gt;1),0,MATCH(O78,U$11:U$139,0))+IF(OR(TYPE(O78)&gt;1,TYPE(MATCH(O78,AA$11:AA$139,0))&gt;1),0,MATCH(O78,AA$11:AA$139,0))</f>
        <v>0</v>
      </c>
      <c r="AP78" s="319">
        <f ca="1">IF(OR(TYPE(U78)&gt;1,TYPE(MATCH(U78,I$11:I$139,0))&gt;1),0,MATCH(U78,I$11:I$139,0))+IF(OR(TYPE(U78)&gt;1,TYPE(MATCH(U78,O$11:O$139,0))&gt;1),0,MATCH(U78,O$11:O$139,0))+IF(OR(TYPE(U78)&gt;1,TYPE(MATCH(U78,U79:U$139,0))&gt;1),0,MATCH(U78,U79:U$139,0))+IF(OR(TYPE(U78)&gt;1,TYPE(MATCH(U78,AA$11:AA$139,0))&gt;1),0,MATCH(U78,AA$11:AA$139,0))</f>
        <v>0</v>
      </c>
      <c r="AQ78" s="319">
        <f ca="1">IF(OR(TYPE(AA78)&gt;1,TYPE(MATCH(AA78,I$11:I$139,0))&gt;1),0,MATCH(AA78,I$11:I$139,0))+IF(OR(TYPE(AA78)&gt;1,TYPE(MATCH(AA78,O$11:O$139,0))&gt;1),0,MATCH(AA78,O$11:O$139,0))+IF(OR(TYPE(AA78)&gt;1,TYPE(MATCH(AA78,U$11:U$139,0))&gt;1),0,MATCH(U78,U$11:U$139,0))+IF(OR(TYPE(AA78)&gt;1,TYPE(MATCH(AA78,AA79:AA$139,0))&gt;1),0,MATCH(AA78,AA79:AA$139,0))</f>
        <v>0</v>
      </c>
      <c r="AR78" s="319">
        <f t="shared" ref="AR78:AR138" ca="1" si="36">SUM(AN78:AQ78)</f>
        <v>0</v>
      </c>
      <c r="AT78" s="318">
        <f t="shared" ca="1" si="34"/>
        <v>0</v>
      </c>
      <c r="AU78" s="318">
        <f ca="1">IF(AND(N(I78)&gt;0,TYPE(VLOOKUP(I78,Hraci!$A$5:$A$800,1,0))&gt;3),1,0) + IF(AND(N(O78)&gt;0,TYPE(VLOOKUP(O78,Hraci!$A$5:$A$800,1,0))&gt;3),1,0) + IF(AND(N(U78)&gt;0,TYPE(VLOOKUP(U78,Hraci!$A$5:$A$800,1,0))&gt;3),1,0)</f>
        <v>0</v>
      </c>
      <c r="BF78" s="319">
        <f t="shared" si="35"/>
        <v>68</v>
      </c>
    </row>
    <row r="79" spans="1:58" ht="12.9" x14ac:dyDescent="0.45">
      <c r="A79" s="302">
        <f t="shared" ca="1" si="20"/>
        <v>0</v>
      </c>
      <c r="B79" s="302">
        <f t="shared" ca="1" si="21"/>
        <v>0</v>
      </c>
      <c r="C79" s="302">
        <f t="shared" ca="1" si="22"/>
        <v>0</v>
      </c>
      <c r="D79" s="302">
        <f t="shared" ca="1" si="23"/>
        <v>99999</v>
      </c>
      <c r="E79" s="302">
        <f t="shared" ca="1" si="24"/>
        <v>9999</v>
      </c>
      <c r="F79" s="343" t="str">
        <f t="shared" ca="1" si="25"/>
        <v>00000000000000000000644600</v>
      </c>
      <c r="G79" s="381" t="b">
        <f t="shared" ca="1" si="26"/>
        <v>1</v>
      </c>
      <c r="H79" s="382">
        <f t="shared" si="27"/>
        <v>69</v>
      </c>
      <c r="I79" s="383" t="str">
        <f t="shared" ca="1" si="28"/>
        <v/>
      </c>
      <c r="J79" s="384" t="str">
        <f ca="1">IF(N(I79)&gt;0,VLOOKUP(I79,Hraci!$A$1:$I$1500,2,0),IF(TYPE(INDIRECT(ADDRESS(ROW() + $A$9-9 + (ROW()-11)*4,2,1,1,"Internet")))&gt;1,INDIRECT(ADDRESS(ROW() + $A$9-9 + (ROW()-11)*4,2,1,1,"Internet"))," "))</f>
        <v xml:space="preserve"> </v>
      </c>
      <c r="K79" s="385" t="str">
        <f ca="1">IF(N(I79)&gt;0,VLOOKUP(I79,Hraci!$A$1:$I$1500,3,0)," ")</f>
        <v xml:space="preserve"> </v>
      </c>
      <c r="L79" s="385" t="str">
        <f ca="1">IF(N(I79)&gt;0,VLOOKUP(I79,Hraci!$A$1:$I$1500,5,0),IF(TYPE(INDIRECT(ADDRESS(ROW() + $A$9-9 + (ROW()-11)*4,3,1,1,"Internet")))&gt;1,INDIRECT(ADDRESS(ROW() + $A$9-9 + (ROW()-11)*4,3,1,1,"Internet"))," "))</f>
        <v xml:space="preserve"> </v>
      </c>
      <c r="M79" s="319">
        <f ca="1">IF(N(I79)=0,9999,VLOOKUP(I79,Hraci!$A$1:$I$1500,8,0))</f>
        <v>9999</v>
      </c>
      <c r="N79" s="386">
        <f ca="1">IF(N(I79)=0,0,VLOOKUP(I79,Hraci!$A$1:$I$1500,9,0))</f>
        <v>0</v>
      </c>
      <c r="O79" s="383" t="str">
        <f t="shared" ca="1" si="29"/>
        <v/>
      </c>
      <c r="P79" s="384" t="str">
        <f ca="1">IF(N(O79)&gt;0,VLOOKUP(O79,Hraci!$A$1:$I$1500,2,0),IF(TYPE(INDIRECT(ADDRESS(ROW() + $A$9-8 + (ROW()-11)*4,2,1,1,"Internet")))&gt;1,INDIRECT(ADDRESS(ROW() + $A$9-8 + (ROW()-11)*4,2,1,1,"Internet"))," "))</f>
        <v xml:space="preserve"> </v>
      </c>
      <c r="Q79" s="385" t="str">
        <f ca="1">IF(N(O79)&gt;0,VLOOKUP(O79,Hraci!$A$1:$I$1500,3,0)," ")</f>
        <v xml:space="preserve"> </v>
      </c>
      <c r="R79" s="385" t="str">
        <f ca="1">IF(N(O79)&gt;0,VLOOKUP(O79,Hraci!$A$1:$I$1500,5,0),IF(TYPE(INDIRECT(ADDRESS(ROW() + $A$9-8 + (ROW()-11)*4,3,1,1,"Internet")))&gt;1,INDIRECT(ADDRESS(ROW() + $A$9-8 + (ROW()-11)*4,3,1,1,"Internet"))," "))</f>
        <v xml:space="preserve"> </v>
      </c>
      <c r="S79" s="319">
        <f ca="1">IF(N(O79)=0,9999,VLOOKUP(O79,Hraci!$A$1:$I$1500,8,0))</f>
        <v>9999</v>
      </c>
      <c r="T79" s="386">
        <f ca="1">IF(N(O79)=0,0,VLOOKUP(O79,Hraci!$A$1:$I$1500,9,0))</f>
        <v>0</v>
      </c>
      <c r="U79" s="383" t="str">
        <f t="shared" ca="1" si="30"/>
        <v/>
      </c>
      <c r="V79" s="384" t="str">
        <f ca="1">IF(N(U79)&gt;0,VLOOKUP(U79,Hraci!$A$1:$I$1500,2,0),IF(TYPE(INDIRECT(ADDRESS(ROW() + $A$9-7 + (ROW()-11)*4,2,1,1,"Internet")))&gt;1,INDIRECT(ADDRESS(ROW() + $A$9-7 + (ROW()-11)*4,2,1,1,"Internet"))," "))</f>
        <v xml:space="preserve"> </v>
      </c>
      <c r="W79" s="385" t="str">
        <f ca="1">IF(N(U79)&gt;0,VLOOKUP(U79,Hraci!$A$1:$I$1500,3,0)," ")</f>
        <v xml:space="preserve"> </v>
      </c>
      <c r="X79" s="385" t="str">
        <f ca="1">IF(N(U79)&gt;0,VLOOKUP(U79,Hraci!$A$1:$I$1500,5,0),IF(TYPE(INDIRECT(ADDRESS(ROW() + $A$9-7 + (ROW()-11)*4,3,1,1,"Internet")))&gt;1,INDIRECT(ADDRESS(ROW() + $A$9-7 + (ROW()-11)*4,3,1,1,"Internet"))," "))</f>
        <v xml:space="preserve"> </v>
      </c>
      <c r="Y79" s="319">
        <f ca="1">IF(N(U79)=0,9999,VLOOKUP(U79,Hraci!$A$1:$I$1500,8,0))</f>
        <v>9999</v>
      </c>
      <c r="Z79" s="386">
        <f ca="1">IF(N(U79)=0,0,VLOOKUP(U79,Hraci!$A$1:$I$1500,9,0))</f>
        <v>0</v>
      </c>
      <c r="AA79" s="383" t="str">
        <f t="shared" ca="1" si="31"/>
        <v/>
      </c>
      <c r="AB79" s="384" t="str">
        <f ca="1">IF(N(AA79)&gt;0,VLOOKUP(AA79,Hraci!$A$1:$I$1500,2,0)," ")</f>
        <v xml:space="preserve"> </v>
      </c>
      <c r="AC79" s="385" t="str">
        <f ca="1">IF(N(AA79)&gt;0,VLOOKUP(AA79,Hraci!$A$1:$I$1500,3,0)," ")</f>
        <v xml:space="preserve"> </v>
      </c>
      <c r="AD79" s="385" t="str">
        <f ca="1">IF(N(AA79)&gt;0,VLOOKUP(AA79,Hraci!$A$1:$I$1500,5,0)," ")</f>
        <v xml:space="preserve"> </v>
      </c>
      <c r="AE79" s="319">
        <f ca="1">IF(N(AA79)=0,9999,VLOOKUP(AA79,Hraci!$A$1:$I$1500,8,0))</f>
        <v>9999</v>
      </c>
      <c r="AF79" s="386">
        <f ca="1">IF(N(AA79)=0,0,VLOOKUP(AA79,Hraci!$A$1:$I$1500,9,0))</f>
        <v>0</v>
      </c>
      <c r="AG79" s="391"/>
      <c r="AH79" s="427">
        <f ca="1">IF(TYPE(VLOOKUP(H79,Centrum!$A$3:$E$130,5,0))&lt;4,VLOOKUP(H79,Centrum!$A$3:$E$130,5,0),0)</f>
        <v>0</v>
      </c>
      <c r="AI79" s="387" t="str">
        <f ca="1">IF(N($AH79)&gt;0,VLOOKUP($AH79,Body!$A$4:$F$259,5,0),"")</f>
        <v/>
      </c>
      <c r="AJ79" s="388" t="str">
        <f ca="1">IF(N($AH79)&gt;0,VLOOKUP($AH79,Body!$A$4:$F$259,6,0),"")</f>
        <v/>
      </c>
      <c r="AK79" s="387" t="str">
        <f ca="1">IF(N($AH79)&gt;0,VLOOKUP($AH79,Body!$A$4:$F$259,2,0),"")</f>
        <v/>
      </c>
      <c r="AL79" s="389" t="str">
        <f t="shared" ca="1" si="32"/>
        <v/>
      </c>
      <c r="AM79" s="390">
        <f t="shared" ca="1" si="33"/>
        <v>0</v>
      </c>
      <c r="AN79" s="319">
        <f ca="1">IF(OR(TYPE(I79)&gt;1,TYPE(MATCH(I79,I80:I$139,0))&gt;1),0,MATCH(I79,I80:I$139,0))+IF(OR(TYPE(I79)&gt;1,TYPE(MATCH(I79,O$11:O$139,0))&gt;1),0,MATCH(I79,O$11:O$139,0))+IF(OR(TYPE(I79)&gt;1,TYPE(MATCH(I79,U$11:U$139,0))&gt;1),0,MATCH(I79,U$11:U$139,0))+IF(OR(TYPE(I79)&gt;1,TYPE(MATCH(I79,AA$11:AA$139,0))&gt;1),0,MATCH(I79,AA$11:AA$139,0))</f>
        <v>0</v>
      </c>
      <c r="AO79" s="319">
        <f ca="1">IF(OR(TYPE(O79)&gt;1,TYPE(MATCH(O79,I$11:I$139,0))&gt;1),0,MATCH(O79,I$11:I$139,0))+IF(OR(TYPE(O79)&gt;1,TYPE(MATCH(O79,O80:O$139,0))&gt;1),0,MATCH(O79,O80:O$139,0))+IF(OR(TYPE(O79)&gt;1,TYPE(MATCH(O79,U$11:U$139,0))&gt;1),0,MATCH(O79,U$11:U$139,0))+IF(OR(TYPE(O79)&gt;1,TYPE(MATCH(O79,AA$11:AA$139,0))&gt;1),0,MATCH(O79,AA$11:AA$139,0))</f>
        <v>0</v>
      </c>
      <c r="AP79" s="319">
        <f ca="1">IF(OR(TYPE(U79)&gt;1,TYPE(MATCH(U79,I$11:I$139,0))&gt;1),0,MATCH(U79,I$11:I$139,0))+IF(OR(TYPE(U79)&gt;1,TYPE(MATCH(U79,O$11:O$139,0))&gt;1),0,MATCH(U79,O$11:O$139,0))+IF(OR(TYPE(U79)&gt;1,TYPE(MATCH(U79,U80:U$139,0))&gt;1),0,MATCH(U79,U80:U$139,0))+IF(OR(TYPE(U79)&gt;1,TYPE(MATCH(U79,AA$11:AA$139,0))&gt;1),0,MATCH(U79,AA$11:AA$139,0))</f>
        <v>0</v>
      </c>
      <c r="AQ79" s="319">
        <f ca="1">IF(OR(TYPE(AA79)&gt;1,TYPE(MATCH(AA79,I$11:I$139,0))&gt;1),0,MATCH(AA79,I$11:I$139,0))+IF(OR(TYPE(AA79)&gt;1,TYPE(MATCH(AA79,O$11:O$139,0))&gt;1),0,MATCH(AA79,O$11:O$139,0))+IF(OR(TYPE(AA79)&gt;1,TYPE(MATCH(AA79,U$11:U$139,0))&gt;1),0,MATCH(U79,U$11:U$139,0))+IF(OR(TYPE(AA79)&gt;1,TYPE(MATCH(AA79,AA80:AA$139,0))&gt;1),0,MATCH(AA79,AA80:AA$139,0))</f>
        <v>0</v>
      </c>
      <c r="AR79" s="319">
        <f t="shared" ca="1" si="36"/>
        <v>0</v>
      </c>
      <c r="AT79" s="318">
        <f t="shared" ca="1" si="34"/>
        <v>0</v>
      </c>
      <c r="AU79" s="318">
        <f ca="1">IF(AND(N(I79)&gt;0,TYPE(VLOOKUP(I79,Hraci!$A$5:$A$800,1,0))&gt;3),1,0) + IF(AND(N(O79)&gt;0,TYPE(VLOOKUP(O79,Hraci!$A$5:$A$800,1,0))&gt;3),1,0) + IF(AND(N(U79)&gt;0,TYPE(VLOOKUP(U79,Hraci!$A$5:$A$800,1,0))&gt;3),1,0)</f>
        <v>0</v>
      </c>
      <c r="BF79" s="319">
        <f t="shared" si="35"/>
        <v>69</v>
      </c>
    </row>
    <row r="80" spans="1:58" ht="12.9" x14ac:dyDescent="0.45">
      <c r="A80" s="302">
        <f t="shared" ca="1" si="20"/>
        <v>0</v>
      </c>
      <c r="B80" s="302">
        <f t="shared" ca="1" si="21"/>
        <v>0</v>
      </c>
      <c r="C80" s="302">
        <f t="shared" ca="1" si="22"/>
        <v>0</v>
      </c>
      <c r="D80" s="302">
        <f t="shared" ca="1" si="23"/>
        <v>99999</v>
      </c>
      <c r="E80" s="302">
        <f t="shared" ca="1" si="24"/>
        <v>9999</v>
      </c>
      <c r="F80" s="343" t="str">
        <f t="shared" ca="1" si="25"/>
        <v>00000000000000000000949987</v>
      </c>
      <c r="G80" s="381" t="b">
        <f t="shared" ca="1" si="26"/>
        <v>1</v>
      </c>
      <c r="H80" s="382">
        <f t="shared" si="27"/>
        <v>70</v>
      </c>
      <c r="I80" s="383" t="str">
        <f t="shared" ca="1" si="28"/>
        <v/>
      </c>
      <c r="J80" s="384" t="str">
        <f ca="1">IF(N(I80)&gt;0,VLOOKUP(I80,Hraci!$A$1:$I$1500,2,0),IF(TYPE(INDIRECT(ADDRESS(ROW() + $A$9-9 + (ROW()-11)*4,2,1,1,"Internet")))&gt;1,INDIRECT(ADDRESS(ROW() + $A$9-9 + (ROW()-11)*4,2,1,1,"Internet"))," "))</f>
        <v xml:space="preserve"> </v>
      </c>
      <c r="K80" s="385" t="str">
        <f ca="1">IF(N(I80)&gt;0,VLOOKUP(I80,Hraci!$A$1:$I$1500,3,0)," ")</f>
        <v xml:space="preserve"> </v>
      </c>
      <c r="L80" s="385" t="str">
        <f ca="1">IF(N(I80)&gt;0,VLOOKUP(I80,Hraci!$A$1:$I$1500,5,0),IF(TYPE(INDIRECT(ADDRESS(ROW() + $A$9-9 + (ROW()-11)*4,3,1,1,"Internet")))&gt;1,INDIRECT(ADDRESS(ROW() + $A$9-9 + (ROW()-11)*4,3,1,1,"Internet"))," "))</f>
        <v xml:space="preserve"> </v>
      </c>
      <c r="M80" s="319">
        <f ca="1">IF(N(I80)=0,9999,VLOOKUP(I80,Hraci!$A$1:$I$1500,8,0))</f>
        <v>9999</v>
      </c>
      <c r="N80" s="386">
        <f ca="1">IF(N(I80)=0,0,VLOOKUP(I80,Hraci!$A$1:$I$1500,9,0))</f>
        <v>0</v>
      </c>
      <c r="O80" s="383" t="str">
        <f t="shared" ca="1" si="29"/>
        <v/>
      </c>
      <c r="P80" s="384" t="str">
        <f ca="1">IF(N(O80)&gt;0,VLOOKUP(O80,Hraci!$A$1:$I$1500,2,0),IF(TYPE(INDIRECT(ADDRESS(ROW() + $A$9-8 + (ROW()-11)*4,2,1,1,"Internet")))&gt;1,INDIRECT(ADDRESS(ROW() + $A$9-8 + (ROW()-11)*4,2,1,1,"Internet"))," "))</f>
        <v xml:space="preserve"> </v>
      </c>
      <c r="Q80" s="385" t="str">
        <f ca="1">IF(N(O80)&gt;0,VLOOKUP(O80,Hraci!$A$1:$I$1500,3,0)," ")</f>
        <v xml:space="preserve"> </v>
      </c>
      <c r="R80" s="385" t="str">
        <f ca="1">IF(N(O80)&gt;0,VLOOKUP(O80,Hraci!$A$1:$I$1500,5,0),IF(TYPE(INDIRECT(ADDRESS(ROW() + $A$9-8 + (ROW()-11)*4,3,1,1,"Internet")))&gt;1,INDIRECT(ADDRESS(ROW() + $A$9-8 + (ROW()-11)*4,3,1,1,"Internet"))," "))</f>
        <v xml:space="preserve"> </v>
      </c>
      <c r="S80" s="319">
        <f ca="1">IF(N(O80)=0,9999,VLOOKUP(O80,Hraci!$A$1:$I$1500,8,0))</f>
        <v>9999</v>
      </c>
      <c r="T80" s="386">
        <f ca="1">IF(N(O80)=0,0,VLOOKUP(O80,Hraci!$A$1:$I$1500,9,0))</f>
        <v>0</v>
      </c>
      <c r="U80" s="383" t="str">
        <f t="shared" ca="1" si="30"/>
        <v/>
      </c>
      <c r="V80" s="384" t="str">
        <f ca="1">IF(N(U80)&gt;0,VLOOKUP(U80,Hraci!$A$1:$I$1500,2,0),IF(TYPE(INDIRECT(ADDRESS(ROW() + $A$9-7 + (ROW()-11)*4,2,1,1,"Internet")))&gt;1,INDIRECT(ADDRESS(ROW() + $A$9-7 + (ROW()-11)*4,2,1,1,"Internet"))," "))</f>
        <v xml:space="preserve"> </v>
      </c>
      <c r="W80" s="385" t="str">
        <f ca="1">IF(N(U80)&gt;0,VLOOKUP(U80,Hraci!$A$1:$I$1500,3,0)," ")</f>
        <v xml:space="preserve"> </v>
      </c>
      <c r="X80" s="385" t="str">
        <f ca="1">IF(N(U80)&gt;0,VLOOKUP(U80,Hraci!$A$1:$I$1500,5,0),IF(TYPE(INDIRECT(ADDRESS(ROW() + $A$9-7 + (ROW()-11)*4,3,1,1,"Internet")))&gt;1,INDIRECT(ADDRESS(ROW() + $A$9-7 + (ROW()-11)*4,3,1,1,"Internet"))," "))</f>
        <v xml:space="preserve"> </v>
      </c>
      <c r="Y80" s="319">
        <f ca="1">IF(N(U80)=0,9999,VLOOKUP(U80,Hraci!$A$1:$I$1500,8,0))</f>
        <v>9999</v>
      </c>
      <c r="Z80" s="386">
        <f ca="1">IF(N(U80)=0,0,VLOOKUP(U80,Hraci!$A$1:$I$1500,9,0))</f>
        <v>0</v>
      </c>
      <c r="AA80" s="383" t="str">
        <f t="shared" ca="1" si="31"/>
        <v/>
      </c>
      <c r="AB80" s="384" t="str">
        <f ca="1">IF(N(AA80)&gt;0,VLOOKUP(AA80,Hraci!$A$1:$I$1500,2,0)," ")</f>
        <v xml:space="preserve"> </v>
      </c>
      <c r="AC80" s="385" t="str">
        <f ca="1">IF(N(AA80)&gt;0,VLOOKUP(AA80,Hraci!$A$1:$I$1500,3,0)," ")</f>
        <v xml:space="preserve"> </v>
      </c>
      <c r="AD80" s="385" t="str">
        <f ca="1">IF(N(AA80)&gt;0,VLOOKUP(AA80,Hraci!$A$1:$I$1500,5,0)," ")</f>
        <v xml:space="preserve"> </v>
      </c>
      <c r="AE80" s="319">
        <f ca="1">IF(N(AA80)=0,9999,VLOOKUP(AA80,Hraci!$A$1:$I$1500,8,0))</f>
        <v>9999</v>
      </c>
      <c r="AF80" s="386">
        <f ca="1">IF(N(AA80)=0,0,VLOOKUP(AA80,Hraci!$A$1:$I$1500,9,0))</f>
        <v>0</v>
      </c>
      <c r="AG80" s="391"/>
      <c r="AH80" s="427">
        <f ca="1">IF(TYPE(VLOOKUP(H80,Centrum!$A$3:$E$130,5,0))&lt;4,VLOOKUP(H80,Centrum!$A$3:$E$130,5,0),0)</f>
        <v>0</v>
      </c>
      <c r="AI80" s="387" t="str">
        <f ca="1">IF(N($AH80)&gt;0,VLOOKUP($AH80,Body!$A$4:$F$259,5,0),"")</f>
        <v/>
      </c>
      <c r="AJ80" s="388" t="str">
        <f ca="1">IF(N($AH80)&gt;0,VLOOKUP($AH80,Body!$A$4:$F$259,6,0),"")</f>
        <v/>
      </c>
      <c r="AK80" s="387" t="str">
        <f ca="1">IF(N($AH80)&gt;0,VLOOKUP($AH80,Body!$A$4:$F$259,2,0),"")</f>
        <v/>
      </c>
      <c r="AL80" s="389" t="str">
        <f t="shared" ca="1" si="32"/>
        <v/>
      </c>
      <c r="AM80" s="390">
        <f t="shared" ca="1" si="33"/>
        <v>0</v>
      </c>
      <c r="AN80" s="319">
        <f ca="1">IF(OR(TYPE(I80)&gt;1,TYPE(MATCH(I80,I81:I$139,0))&gt;1),0,MATCH(I80,I81:I$139,0))+IF(OR(TYPE(I80)&gt;1,TYPE(MATCH(I80,O$11:O$139,0))&gt;1),0,MATCH(I80,O$11:O$139,0))+IF(OR(TYPE(I80)&gt;1,TYPE(MATCH(I80,U$11:U$139,0))&gt;1),0,MATCH(I80,U$11:U$139,0))+IF(OR(TYPE(I80)&gt;1,TYPE(MATCH(I80,AA$11:AA$139,0))&gt;1),0,MATCH(I80,AA$11:AA$139,0))</f>
        <v>0</v>
      </c>
      <c r="AO80" s="319">
        <f ca="1">IF(OR(TYPE(O80)&gt;1,TYPE(MATCH(O80,I$11:I$139,0))&gt;1),0,MATCH(O80,I$11:I$139,0))+IF(OR(TYPE(O80)&gt;1,TYPE(MATCH(O80,O81:O$139,0))&gt;1),0,MATCH(O80,O81:O$139,0))+IF(OR(TYPE(O80)&gt;1,TYPE(MATCH(O80,U$11:U$139,0))&gt;1),0,MATCH(O80,U$11:U$139,0))+IF(OR(TYPE(O80)&gt;1,TYPE(MATCH(O80,AA$11:AA$139,0))&gt;1),0,MATCH(O80,AA$11:AA$139,0))</f>
        <v>0</v>
      </c>
      <c r="AP80" s="319">
        <f ca="1">IF(OR(TYPE(U80)&gt;1,TYPE(MATCH(U80,I$11:I$139,0))&gt;1),0,MATCH(U80,I$11:I$139,0))+IF(OR(TYPE(U80)&gt;1,TYPE(MATCH(U80,O$11:O$139,0))&gt;1),0,MATCH(U80,O$11:O$139,0))+IF(OR(TYPE(U80)&gt;1,TYPE(MATCH(U80,U81:U$139,0))&gt;1),0,MATCH(U80,U81:U$139,0))+IF(OR(TYPE(U80)&gt;1,TYPE(MATCH(U80,AA$11:AA$139,0))&gt;1),0,MATCH(U80,AA$11:AA$139,0))</f>
        <v>0</v>
      </c>
      <c r="AQ80" s="319">
        <f ca="1">IF(OR(TYPE(AA80)&gt;1,TYPE(MATCH(AA80,I$11:I$139,0))&gt;1),0,MATCH(AA80,I$11:I$139,0))+IF(OR(TYPE(AA80)&gt;1,TYPE(MATCH(AA80,O$11:O$139,0))&gt;1),0,MATCH(AA80,O$11:O$139,0))+IF(OR(TYPE(AA80)&gt;1,TYPE(MATCH(AA80,U$11:U$139,0))&gt;1),0,MATCH(U80,U$11:U$139,0))+IF(OR(TYPE(AA80)&gt;1,TYPE(MATCH(AA80,AA81:AA$139,0))&gt;1),0,MATCH(AA80,AA81:AA$139,0))</f>
        <v>0</v>
      </c>
      <c r="AR80" s="319">
        <f t="shared" ca="1" si="36"/>
        <v>0</v>
      </c>
      <c r="AT80" s="318">
        <f t="shared" ca="1" si="34"/>
        <v>0</v>
      </c>
      <c r="AU80" s="318">
        <f ca="1">IF(AND(N(I80)&gt;0,TYPE(VLOOKUP(I80,Hraci!$A$5:$A$800,1,0))&gt;3),1,0) + IF(AND(N(O80)&gt;0,TYPE(VLOOKUP(O80,Hraci!$A$5:$A$800,1,0))&gt;3),1,0) + IF(AND(N(U80)&gt;0,TYPE(VLOOKUP(U80,Hraci!$A$5:$A$800,1,0))&gt;3),1,0)</f>
        <v>0</v>
      </c>
      <c r="BF80" s="319">
        <f t="shared" si="35"/>
        <v>70</v>
      </c>
    </row>
    <row r="81" spans="1:58" ht="12.9" x14ac:dyDescent="0.45">
      <c r="A81" s="302">
        <f t="shared" ca="1" si="20"/>
        <v>0</v>
      </c>
      <c r="B81" s="302">
        <f t="shared" ca="1" si="21"/>
        <v>0</v>
      </c>
      <c r="C81" s="302">
        <f t="shared" ca="1" si="22"/>
        <v>0</v>
      </c>
      <c r="D81" s="302">
        <f t="shared" ca="1" si="23"/>
        <v>99999</v>
      </c>
      <c r="E81" s="302">
        <f t="shared" ca="1" si="24"/>
        <v>9999</v>
      </c>
      <c r="F81" s="343" t="str">
        <f t="shared" ca="1" si="25"/>
        <v>00000000000000000000700236</v>
      </c>
      <c r="G81" s="381" t="b">
        <f t="shared" ca="1" si="26"/>
        <v>1</v>
      </c>
      <c r="H81" s="382">
        <f t="shared" si="27"/>
        <v>71</v>
      </c>
      <c r="I81" s="383" t="str">
        <f t="shared" ca="1" si="28"/>
        <v/>
      </c>
      <c r="J81" s="384" t="str">
        <f ca="1">IF(N(I81)&gt;0,VLOOKUP(I81,Hraci!$A$1:$I$1500,2,0),IF(TYPE(INDIRECT(ADDRESS(ROW() + $A$9-9 + (ROW()-11)*4,2,1,1,"Internet")))&gt;1,INDIRECT(ADDRESS(ROW() + $A$9-9 + (ROW()-11)*4,2,1,1,"Internet"))," "))</f>
        <v xml:space="preserve"> </v>
      </c>
      <c r="K81" s="385" t="str">
        <f ca="1">IF(N(I81)&gt;0,VLOOKUP(I81,Hraci!$A$1:$I$1500,3,0)," ")</f>
        <v xml:space="preserve"> </v>
      </c>
      <c r="L81" s="385" t="str">
        <f ca="1">IF(N(I81)&gt;0,VLOOKUP(I81,Hraci!$A$1:$I$1500,5,0),IF(TYPE(INDIRECT(ADDRESS(ROW() + $A$9-9 + (ROW()-11)*4,3,1,1,"Internet")))&gt;1,INDIRECT(ADDRESS(ROW() + $A$9-9 + (ROW()-11)*4,3,1,1,"Internet"))," "))</f>
        <v xml:space="preserve"> </v>
      </c>
      <c r="M81" s="319">
        <f ca="1">IF(N(I81)=0,9999,VLOOKUP(I81,Hraci!$A$1:$I$1500,8,0))</f>
        <v>9999</v>
      </c>
      <c r="N81" s="386">
        <f ca="1">IF(N(I81)=0,0,VLOOKUP(I81,Hraci!$A$1:$I$1500,9,0))</f>
        <v>0</v>
      </c>
      <c r="O81" s="383" t="str">
        <f t="shared" ca="1" si="29"/>
        <v/>
      </c>
      <c r="P81" s="384" t="str">
        <f ca="1">IF(N(O81)&gt;0,VLOOKUP(O81,Hraci!$A$1:$I$1500,2,0),IF(TYPE(INDIRECT(ADDRESS(ROW() + $A$9-8 + (ROW()-11)*4,2,1,1,"Internet")))&gt;1,INDIRECT(ADDRESS(ROW() + $A$9-8 + (ROW()-11)*4,2,1,1,"Internet"))," "))</f>
        <v xml:space="preserve"> </v>
      </c>
      <c r="Q81" s="385" t="str">
        <f ca="1">IF(N(O81)&gt;0,VLOOKUP(O81,Hraci!$A$1:$I$1500,3,0)," ")</f>
        <v xml:space="preserve"> </v>
      </c>
      <c r="R81" s="385" t="str">
        <f ca="1">IF(N(O81)&gt;0,VLOOKUP(O81,Hraci!$A$1:$I$1500,5,0),IF(TYPE(INDIRECT(ADDRESS(ROW() + $A$9-8 + (ROW()-11)*4,3,1,1,"Internet")))&gt;1,INDIRECT(ADDRESS(ROW() + $A$9-8 + (ROW()-11)*4,3,1,1,"Internet"))," "))</f>
        <v xml:space="preserve"> </v>
      </c>
      <c r="S81" s="319">
        <f ca="1">IF(N(O81)=0,9999,VLOOKUP(O81,Hraci!$A$1:$I$1500,8,0))</f>
        <v>9999</v>
      </c>
      <c r="T81" s="386">
        <f ca="1">IF(N(O81)=0,0,VLOOKUP(O81,Hraci!$A$1:$I$1500,9,0))</f>
        <v>0</v>
      </c>
      <c r="U81" s="383" t="str">
        <f t="shared" ca="1" si="30"/>
        <v/>
      </c>
      <c r="V81" s="384" t="str">
        <f ca="1">IF(N(U81)&gt;0,VLOOKUP(U81,Hraci!$A$1:$I$1500,2,0),IF(TYPE(INDIRECT(ADDRESS(ROW() + $A$9-7 + (ROW()-11)*4,2,1,1,"Internet")))&gt;1,INDIRECT(ADDRESS(ROW() + $A$9-7 + (ROW()-11)*4,2,1,1,"Internet"))," "))</f>
        <v xml:space="preserve"> </v>
      </c>
      <c r="W81" s="385" t="str">
        <f ca="1">IF(N(U81)&gt;0,VLOOKUP(U81,Hraci!$A$1:$I$1500,3,0)," ")</f>
        <v xml:space="preserve"> </v>
      </c>
      <c r="X81" s="385" t="str">
        <f ca="1">IF(N(U81)&gt;0,VLOOKUP(U81,Hraci!$A$1:$I$1500,5,0),IF(TYPE(INDIRECT(ADDRESS(ROW() + $A$9-7 + (ROW()-11)*4,3,1,1,"Internet")))&gt;1,INDIRECT(ADDRESS(ROW() + $A$9-7 + (ROW()-11)*4,3,1,1,"Internet"))," "))</f>
        <v xml:space="preserve"> </v>
      </c>
      <c r="Y81" s="319">
        <f ca="1">IF(N(U81)=0,9999,VLOOKUP(U81,Hraci!$A$1:$I$1500,8,0))</f>
        <v>9999</v>
      </c>
      <c r="Z81" s="386">
        <f ca="1">IF(N(U81)=0,0,VLOOKUP(U81,Hraci!$A$1:$I$1500,9,0))</f>
        <v>0</v>
      </c>
      <c r="AA81" s="383" t="str">
        <f t="shared" ca="1" si="31"/>
        <v/>
      </c>
      <c r="AB81" s="384" t="str">
        <f ca="1">IF(N(AA81)&gt;0,VLOOKUP(AA81,Hraci!$A$1:$I$1500,2,0)," ")</f>
        <v xml:space="preserve"> </v>
      </c>
      <c r="AC81" s="385" t="str">
        <f ca="1">IF(N(AA81)&gt;0,VLOOKUP(AA81,Hraci!$A$1:$I$1500,3,0)," ")</f>
        <v xml:space="preserve"> </v>
      </c>
      <c r="AD81" s="385" t="str">
        <f ca="1">IF(N(AA81)&gt;0,VLOOKUP(AA81,Hraci!$A$1:$I$1500,5,0)," ")</f>
        <v xml:space="preserve"> </v>
      </c>
      <c r="AE81" s="319">
        <f ca="1">IF(N(AA81)=0,9999,VLOOKUP(AA81,Hraci!$A$1:$I$1500,8,0))</f>
        <v>9999</v>
      </c>
      <c r="AF81" s="386">
        <f ca="1">IF(N(AA81)=0,0,VLOOKUP(AA81,Hraci!$A$1:$I$1500,9,0))</f>
        <v>0</v>
      </c>
      <c r="AG81" s="391"/>
      <c r="AH81" s="427">
        <f ca="1">IF(TYPE(VLOOKUP(H81,Centrum!$A$3:$E$130,5,0))&lt;4,VLOOKUP(H81,Centrum!$A$3:$E$130,5,0),0)</f>
        <v>0</v>
      </c>
      <c r="AI81" s="387" t="str">
        <f ca="1">IF(N($AH81)&gt;0,VLOOKUP($AH81,Body!$A$4:$F$259,5,0),"")</f>
        <v/>
      </c>
      <c r="AJ81" s="388" t="str">
        <f ca="1">IF(N($AH81)&gt;0,VLOOKUP($AH81,Body!$A$4:$F$259,6,0),"")</f>
        <v/>
      </c>
      <c r="AK81" s="387" t="str">
        <f ca="1">IF(N($AH81)&gt;0,VLOOKUP($AH81,Body!$A$4:$F$259,2,0),"")</f>
        <v/>
      </c>
      <c r="AL81" s="389" t="str">
        <f t="shared" ca="1" si="32"/>
        <v/>
      </c>
      <c r="AM81" s="390">
        <f t="shared" ca="1" si="33"/>
        <v>0</v>
      </c>
      <c r="AN81" s="319">
        <f ca="1">IF(OR(TYPE(I81)&gt;1,TYPE(MATCH(I81,I82:I$139,0))&gt;1),0,MATCH(I81,I82:I$139,0))+IF(OR(TYPE(I81)&gt;1,TYPE(MATCH(I81,O$11:O$139,0))&gt;1),0,MATCH(I81,O$11:O$139,0))+IF(OR(TYPE(I81)&gt;1,TYPE(MATCH(I81,U$11:U$139,0))&gt;1),0,MATCH(I81,U$11:U$139,0))+IF(OR(TYPE(I81)&gt;1,TYPE(MATCH(I81,AA$11:AA$139,0))&gt;1),0,MATCH(I81,AA$11:AA$139,0))</f>
        <v>0</v>
      </c>
      <c r="AO81" s="319">
        <f ca="1">IF(OR(TYPE(O81)&gt;1,TYPE(MATCH(O81,I$11:I$139,0))&gt;1),0,MATCH(O81,I$11:I$139,0))+IF(OR(TYPE(O81)&gt;1,TYPE(MATCH(O81,O82:O$139,0))&gt;1),0,MATCH(O81,O82:O$139,0))+IF(OR(TYPE(O81)&gt;1,TYPE(MATCH(O81,U$11:U$139,0))&gt;1),0,MATCH(O81,U$11:U$139,0))+IF(OR(TYPE(O81)&gt;1,TYPE(MATCH(O81,AA$11:AA$139,0))&gt;1),0,MATCH(O81,AA$11:AA$139,0))</f>
        <v>0</v>
      </c>
      <c r="AP81" s="319">
        <f ca="1">IF(OR(TYPE(U81)&gt;1,TYPE(MATCH(U81,I$11:I$139,0))&gt;1),0,MATCH(U81,I$11:I$139,0))+IF(OR(TYPE(U81)&gt;1,TYPE(MATCH(U81,O$11:O$139,0))&gt;1),0,MATCH(U81,O$11:O$139,0))+IF(OR(TYPE(U81)&gt;1,TYPE(MATCH(U81,U82:U$139,0))&gt;1),0,MATCH(U81,U82:U$139,0))+IF(OR(TYPE(U81)&gt;1,TYPE(MATCH(U81,AA$11:AA$139,0))&gt;1),0,MATCH(U81,AA$11:AA$139,0))</f>
        <v>0</v>
      </c>
      <c r="AQ81" s="319">
        <f ca="1">IF(OR(TYPE(AA81)&gt;1,TYPE(MATCH(AA81,I$11:I$139,0))&gt;1),0,MATCH(AA81,I$11:I$139,0))+IF(OR(TYPE(AA81)&gt;1,TYPE(MATCH(AA81,O$11:O$139,0))&gt;1),0,MATCH(AA81,O$11:O$139,0))+IF(OR(TYPE(AA81)&gt;1,TYPE(MATCH(AA81,U$11:U$139,0))&gt;1),0,MATCH(U81,U$11:U$139,0))+IF(OR(TYPE(AA81)&gt;1,TYPE(MATCH(AA81,AA82:AA$139,0))&gt;1),0,MATCH(AA81,AA82:AA$139,0))</f>
        <v>0</v>
      </c>
      <c r="AR81" s="319">
        <f t="shared" ca="1" si="36"/>
        <v>0</v>
      </c>
      <c r="AT81" s="318">
        <f t="shared" ca="1" si="34"/>
        <v>0</v>
      </c>
      <c r="AU81" s="318">
        <f ca="1">IF(AND(N(I81)&gt;0,TYPE(VLOOKUP(I81,Hraci!$A$5:$A$800,1,0))&gt;3),1,0) + IF(AND(N(O81)&gt;0,TYPE(VLOOKUP(O81,Hraci!$A$5:$A$800,1,0))&gt;3),1,0) + IF(AND(N(U81)&gt;0,TYPE(VLOOKUP(U81,Hraci!$A$5:$A$800,1,0))&gt;3),1,0)</f>
        <v>0</v>
      </c>
      <c r="BF81" s="319">
        <f t="shared" si="35"/>
        <v>71</v>
      </c>
    </row>
    <row r="82" spans="1:58" ht="12.9" x14ac:dyDescent="0.45">
      <c r="A82" s="302">
        <f t="shared" ca="1" si="20"/>
        <v>0</v>
      </c>
      <c r="B82" s="302">
        <f t="shared" ca="1" si="21"/>
        <v>0</v>
      </c>
      <c r="C82" s="302">
        <f t="shared" ca="1" si="22"/>
        <v>0</v>
      </c>
      <c r="D82" s="302">
        <f t="shared" ca="1" si="23"/>
        <v>99999</v>
      </c>
      <c r="E82" s="302">
        <f t="shared" ca="1" si="24"/>
        <v>9999</v>
      </c>
      <c r="F82" s="343" t="str">
        <f t="shared" ca="1" si="25"/>
        <v>00000000000000000000512486</v>
      </c>
      <c r="G82" s="381" t="b">
        <f t="shared" ca="1" si="26"/>
        <v>1</v>
      </c>
      <c r="H82" s="382">
        <f t="shared" si="27"/>
        <v>72</v>
      </c>
      <c r="I82" s="383" t="str">
        <f t="shared" ca="1" si="28"/>
        <v/>
      </c>
      <c r="J82" s="384" t="str">
        <f ca="1">IF(N(I82)&gt;0,VLOOKUP(I82,Hraci!$A$1:$I$1500,2,0),IF(TYPE(INDIRECT(ADDRESS(ROW() + $A$9-9 + (ROW()-11)*4,2,1,1,"Internet")))&gt;1,INDIRECT(ADDRESS(ROW() + $A$9-9 + (ROW()-11)*4,2,1,1,"Internet"))," "))</f>
        <v xml:space="preserve"> </v>
      </c>
      <c r="K82" s="385" t="str">
        <f ca="1">IF(N(I82)&gt;0,VLOOKUP(I82,Hraci!$A$1:$I$1500,3,0)," ")</f>
        <v xml:space="preserve"> </v>
      </c>
      <c r="L82" s="385" t="str">
        <f ca="1">IF(N(I82)&gt;0,VLOOKUP(I82,Hraci!$A$1:$I$1500,5,0),IF(TYPE(INDIRECT(ADDRESS(ROW() + $A$9-9 + (ROW()-11)*4,3,1,1,"Internet")))&gt;1,INDIRECT(ADDRESS(ROW() + $A$9-9 + (ROW()-11)*4,3,1,1,"Internet"))," "))</f>
        <v xml:space="preserve"> </v>
      </c>
      <c r="M82" s="319">
        <f ca="1">IF(N(I82)=0,9999,VLOOKUP(I82,Hraci!$A$1:$I$1500,8,0))</f>
        <v>9999</v>
      </c>
      <c r="N82" s="386">
        <f ca="1">IF(N(I82)=0,0,VLOOKUP(I82,Hraci!$A$1:$I$1500,9,0))</f>
        <v>0</v>
      </c>
      <c r="O82" s="383" t="str">
        <f t="shared" ca="1" si="29"/>
        <v/>
      </c>
      <c r="P82" s="384" t="str">
        <f ca="1">IF(N(O82)&gt;0,VLOOKUP(O82,Hraci!$A$1:$I$1500,2,0),IF(TYPE(INDIRECT(ADDRESS(ROW() + $A$9-8 + (ROW()-11)*4,2,1,1,"Internet")))&gt;1,INDIRECT(ADDRESS(ROW() + $A$9-8 + (ROW()-11)*4,2,1,1,"Internet"))," "))</f>
        <v xml:space="preserve"> </v>
      </c>
      <c r="Q82" s="385" t="str">
        <f ca="1">IF(N(O82)&gt;0,VLOOKUP(O82,Hraci!$A$1:$I$1500,3,0)," ")</f>
        <v xml:space="preserve"> </v>
      </c>
      <c r="R82" s="385" t="str">
        <f ca="1">IF(N(O82)&gt;0,VLOOKUP(O82,Hraci!$A$1:$I$1500,5,0),IF(TYPE(INDIRECT(ADDRESS(ROW() + $A$9-8 + (ROW()-11)*4,3,1,1,"Internet")))&gt;1,INDIRECT(ADDRESS(ROW() + $A$9-8 + (ROW()-11)*4,3,1,1,"Internet"))," "))</f>
        <v xml:space="preserve"> </v>
      </c>
      <c r="S82" s="319">
        <f ca="1">IF(N(O82)=0,9999,VLOOKUP(O82,Hraci!$A$1:$I$1500,8,0))</f>
        <v>9999</v>
      </c>
      <c r="T82" s="386">
        <f ca="1">IF(N(O82)=0,0,VLOOKUP(O82,Hraci!$A$1:$I$1500,9,0))</f>
        <v>0</v>
      </c>
      <c r="U82" s="383" t="str">
        <f t="shared" ca="1" si="30"/>
        <v/>
      </c>
      <c r="V82" s="384" t="str">
        <f ca="1">IF(N(U82)&gt;0,VLOOKUP(U82,Hraci!$A$1:$I$1500,2,0),IF(TYPE(INDIRECT(ADDRESS(ROW() + $A$9-7 + (ROW()-11)*4,2,1,1,"Internet")))&gt;1,INDIRECT(ADDRESS(ROW() + $A$9-7 + (ROW()-11)*4,2,1,1,"Internet"))," "))</f>
        <v xml:space="preserve"> </v>
      </c>
      <c r="W82" s="385" t="str">
        <f ca="1">IF(N(U82)&gt;0,VLOOKUP(U82,Hraci!$A$1:$I$1500,3,0)," ")</f>
        <v xml:space="preserve"> </v>
      </c>
      <c r="X82" s="385" t="str">
        <f ca="1">IF(N(U82)&gt;0,VLOOKUP(U82,Hraci!$A$1:$I$1500,5,0),IF(TYPE(INDIRECT(ADDRESS(ROW() + $A$9-7 + (ROW()-11)*4,3,1,1,"Internet")))&gt;1,INDIRECT(ADDRESS(ROW() + $A$9-7 + (ROW()-11)*4,3,1,1,"Internet"))," "))</f>
        <v xml:space="preserve"> </v>
      </c>
      <c r="Y82" s="319">
        <f ca="1">IF(N(U82)=0,9999,VLOOKUP(U82,Hraci!$A$1:$I$1500,8,0))</f>
        <v>9999</v>
      </c>
      <c r="Z82" s="386">
        <f ca="1">IF(N(U82)=0,0,VLOOKUP(U82,Hraci!$A$1:$I$1500,9,0))</f>
        <v>0</v>
      </c>
      <c r="AA82" s="383" t="str">
        <f t="shared" ca="1" si="31"/>
        <v/>
      </c>
      <c r="AB82" s="384" t="str">
        <f ca="1">IF(N(AA82)&gt;0,VLOOKUP(AA82,Hraci!$A$1:$I$1500,2,0)," ")</f>
        <v xml:space="preserve"> </v>
      </c>
      <c r="AC82" s="385" t="str">
        <f ca="1">IF(N(AA82)&gt;0,VLOOKUP(AA82,Hraci!$A$1:$I$1500,3,0)," ")</f>
        <v xml:space="preserve"> </v>
      </c>
      <c r="AD82" s="385" t="str">
        <f ca="1">IF(N(AA82)&gt;0,VLOOKUP(AA82,Hraci!$A$1:$I$1500,5,0)," ")</f>
        <v xml:space="preserve"> </v>
      </c>
      <c r="AE82" s="319">
        <f ca="1">IF(N(AA82)=0,9999,VLOOKUP(AA82,Hraci!$A$1:$I$1500,8,0))</f>
        <v>9999</v>
      </c>
      <c r="AF82" s="386">
        <f ca="1">IF(N(AA82)=0,0,VLOOKUP(AA82,Hraci!$A$1:$I$1500,9,0))</f>
        <v>0</v>
      </c>
      <c r="AG82" s="391"/>
      <c r="AH82" s="427">
        <f ca="1">IF(TYPE(VLOOKUP(H82,Centrum!$A$3:$E$130,5,0))&lt;4,VLOOKUP(H82,Centrum!$A$3:$E$130,5,0),0)</f>
        <v>0</v>
      </c>
      <c r="AI82" s="387" t="str">
        <f ca="1">IF(N($AH82)&gt;0,VLOOKUP($AH82,Body!$A$4:$F$259,5,0),"")</f>
        <v/>
      </c>
      <c r="AJ82" s="388" t="str">
        <f ca="1">IF(N($AH82)&gt;0,VLOOKUP($AH82,Body!$A$4:$F$259,6,0),"")</f>
        <v/>
      </c>
      <c r="AK82" s="387" t="str">
        <f ca="1">IF(N($AH82)&gt;0,VLOOKUP($AH82,Body!$A$4:$F$259,2,0),"")</f>
        <v/>
      </c>
      <c r="AL82" s="389" t="str">
        <f t="shared" ca="1" si="32"/>
        <v/>
      </c>
      <c r="AM82" s="390">
        <f t="shared" ca="1" si="33"/>
        <v>0</v>
      </c>
      <c r="AN82" s="319">
        <f ca="1">IF(OR(TYPE(I82)&gt;1,TYPE(MATCH(I82,I83:I$139,0))&gt;1),0,MATCH(I82,I83:I$139,0))+IF(OR(TYPE(I82)&gt;1,TYPE(MATCH(I82,O$11:O$139,0))&gt;1),0,MATCH(I82,O$11:O$139,0))+IF(OR(TYPE(I82)&gt;1,TYPE(MATCH(I82,U$11:U$139,0))&gt;1),0,MATCH(I82,U$11:U$139,0))+IF(OR(TYPE(I82)&gt;1,TYPE(MATCH(I82,AA$11:AA$139,0))&gt;1),0,MATCH(I82,AA$11:AA$139,0))</f>
        <v>0</v>
      </c>
      <c r="AO82" s="319">
        <f ca="1">IF(OR(TYPE(O82)&gt;1,TYPE(MATCH(O82,I$11:I$139,0))&gt;1),0,MATCH(O82,I$11:I$139,0))+IF(OR(TYPE(O82)&gt;1,TYPE(MATCH(O82,O83:O$139,0))&gt;1),0,MATCH(O82,O83:O$139,0))+IF(OR(TYPE(O82)&gt;1,TYPE(MATCH(O82,U$11:U$139,0))&gt;1),0,MATCH(O82,U$11:U$139,0))+IF(OR(TYPE(O82)&gt;1,TYPE(MATCH(O82,AA$11:AA$139,0))&gt;1),0,MATCH(O82,AA$11:AA$139,0))</f>
        <v>0</v>
      </c>
      <c r="AP82" s="319">
        <f ca="1">IF(OR(TYPE(U82)&gt;1,TYPE(MATCH(U82,I$11:I$139,0))&gt;1),0,MATCH(U82,I$11:I$139,0))+IF(OR(TYPE(U82)&gt;1,TYPE(MATCH(U82,O$11:O$139,0))&gt;1),0,MATCH(U82,O$11:O$139,0))+IF(OR(TYPE(U82)&gt;1,TYPE(MATCH(U82,U83:U$139,0))&gt;1),0,MATCH(U82,U83:U$139,0))+IF(OR(TYPE(U82)&gt;1,TYPE(MATCH(U82,AA$11:AA$139,0))&gt;1),0,MATCH(U82,AA$11:AA$139,0))</f>
        <v>0</v>
      </c>
      <c r="AQ82" s="319">
        <f ca="1">IF(OR(TYPE(AA82)&gt;1,TYPE(MATCH(AA82,I$11:I$139,0))&gt;1),0,MATCH(AA82,I$11:I$139,0))+IF(OR(TYPE(AA82)&gt;1,TYPE(MATCH(AA82,O$11:O$139,0))&gt;1),0,MATCH(AA82,O$11:O$139,0))+IF(OR(TYPE(AA82)&gt;1,TYPE(MATCH(AA82,U$11:U$139,0))&gt;1),0,MATCH(U82,U$11:U$139,0))+IF(OR(TYPE(AA82)&gt;1,TYPE(MATCH(AA82,AA83:AA$139,0))&gt;1),0,MATCH(AA82,AA83:AA$139,0))</f>
        <v>0</v>
      </c>
      <c r="AR82" s="319">
        <f t="shared" ca="1" si="36"/>
        <v>0</v>
      </c>
      <c r="AT82" s="318">
        <f t="shared" ca="1" si="34"/>
        <v>0</v>
      </c>
      <c r="AU82" s="318">
        <f ca="1">IF(AND(N(I82)&gt;0,TYPE(VLOOKUP(I82,Hraci!$A$5:$A$800,1,0))&gt;3),1,0) + IF(AND(N(O82)&gt;0,TYPE(VLOOKUP(O82,Hraci!$A$5:$A$800,1,0))&gt;3),1,0) + IF(AND(N(U82)&gt;0,TYPE(VLOOKUP(U82,Hraci!$A$5:$A$800,1,0))&gt;3),1,0)</f>
        <v>0</v>
      </c>
      <c r="BF82" s="319">
        <f t="shared" si="35"/>
        <v>72</v>
      </c>
    </row>
    <row r="83" spans="1:58" ht="12.9" x14ac:dyDescent="0.45">
      <c r="A83" s="302">
        <f t="shared" ca="1" si="20"/>
        <v>0</v>
      </c>
      <c r="B83" s="302">
        <f t="shared" ca="1" si="21"/>
        <v>0</v>
      </c>
      <c r="C83" s="302">
        <f t="shared" ca="1" si="22"/>
        <v>0</v>
      </c>
      <c r="D83" s="302">
        <f t="shared" ca="1" si="23"/>
        <v>99999</v>
      </c>
      <c r="E83" s="302">
        <f t="shared" ca="1" si="24"/>
        <v>9999</v>
      </c>
      <c r="F83" s="343" t="str">
        <f t="shared" ca="1" si="25"/>
        <v>00000000000000000000326782</v>
      </c>
      <c r="G83" s="381" t="b">
        <f t="shared" ca="1" si="26"/>
        <v>1</v>
      </c>
      <c r="H83" s="382">
        <f t="shared" si="27"/>
        <v>73</v>
      </c>
      <c r="I83" s="383" t="str">
        <f t="shared" ca="1" si="28"/>
        <v/>
      </c>
      <c r="J83" s="384" t="str">
        <f ca="1">IF(N(I83)&gt;0,VLOOKUP(I83,Hraci!$A$1:$I$1500,2,0),IF(TYPE(INDIRECT(ADDRESS(ROW() + $A$9-9 + (ROW()-11)*4,2,1,1,"Internet")))&gt;1,INDIRECT(ADDRESS(ROW() + $A$9-9 + (ROW()-11)*4,2,1,1,"Internet"))," "))</f>
        <v xml:space="preserve"> </v>
      </c>
      <c r="K83" s="385" t="str">
        <f ca="1">IF(N(I83)&gt;0,VLOOKUP(I83,Hraci!$A$1:$I$1500,3,0)," ")</f>
        <v xml:space="preserve"> </v>
      </c>
      <c r="L83" s="385" t="str">
        <f ca="1">IF(N(I83)&gt;0,VLOOKUP(I83,Hraci!$A$1:$I$1500,5,0),IF(TYPE(INDIRECT(ADDRESS(ROW() + $A$9-9 + (ROW()-11)*4,3,1,1,"Internet")))&gt;1,INDIRECT(ADDRESS(ROW() + $A$9-9 + (ROW()-11)*4,3,1,1,"Internet"))," "))</f>
        <v xml:space="preserve"> </v>
      </c>
      <c r="M83" s="319">
        <f ca="1">IF(N(I83)=0,9999,VLOOKUP(I83,Hraci!$A$1:$I$1500,8,0))</f>
        <v>9999</v>
      </c>
      <c r="N83" s="386">
        <f ca="1">IF(N(I83)=0,0,VLOOKUP(I83,Hraci!$A$1:$I$1500,9,0))</f>
        <v>0</v>
      </c>
      <c r="O83" s="383" t="str">
        <f t="shared" ca="1" si="29"/>
        <v/>
      </c>
      <c r="P83" s="384" t="str">
        <f ca="1">IF(N(O83)&gt;0,VLOOKUP(O83,Hraci!$A$1:$I$1500,2,0),IF(TYPE(INDIRECT(ADDRESS(ROW() + $A$9-8 + (ROW()-11)*4,2,1,1,"Internet")))&gt;1,INDIRECT(ADDRESS(ROW() + $A$9-8 + (ROW()-11)*4,2,1,1,"Internet"))," "))</f>
        <v xml:space="preserve"> </v>
      </c>
      <c r="Q83" s="385" t="str">
        <f ca="1">IF(N(O83)&gt;0,VLOOKUP(O83,Hraci!$A$1:$I$1500,3,0)," ")</f>
        <v xml:space="preserve"> </v>
      </c>
      <c r="R83" s="385" t="str">
        <f ca="1">IF(N(O83)&gt;0,VLOOKUP(O83,Hraci!$A$1:$I$1500,5,0),IF(TYPE(INDIRECT(ADDRESS(ROW() + $A$9-8 + (ROW()-11)*4,3,1,1,"Internet")))&gt;1,INDIRECT(ADDRESS(ROW() + $A$9-8 + (ROW()-11)*4,3,1,1,"Internet"))," "))</f>
        <v xml:space="preserve"> </v>
      </c>
      <c r="S83" s="319">
        <f ca="1">IF(N(O83)=0,9999,VLOOKUP(O83,Hraci!$A$1:$I$1500,8,0))</f>
        <v>9999</v>
      </c>
      <c r="T83" s="386">
        <f ca="1">IF(N(O83)=0,0,VLOOKUP(O83,Hraci!$A$1:$I$1500,9,0))</f>
        <v>0</v>
      </c>
      <c r="U83" s="383" t="str">
        <f t="shared" ca="1" si="30"/>
        <v/>
      </c>
      <c r="V83" s="384" t="str">
        <f ca="1">IF(N(U83)&gt;0,VLOOKUP(U83,Hraci!$A$1:$I$1500,2,0),IF(TYPE(INDIRECT(ADDRESS(ROW() + $A$9-7 + (ROW()-11)*4,2,1,1,"Internet")))&gt;1,INDIRECT(ADDRESS(ROW() + $A$9-7 + (ROW()-11)*4,2,1,1,"Internet"))," "))</f>
        <v xml:space="preserve"> </v>
      </c>
      <c r="W83" s="385" t="str">
        <f ca="1">IF(N(U83)&gt;0,VLOOKUP(U83,Hraci!$A$1:$I$1500,3,0)," ")</f>
        <v xml:space="preserve"> </v>
      </c>
      <c r="X83" s="385" t="str">
        <f ca="1">IF(N(U83)&gt;0,VLOOKUP(U83,Hraci!$A$1:$I$1500,5,0),IF(TYPE(INDIRECT(ADDRESS(ROW() + $A$9-7 + (ROW()-11)*4,3,1,1,"Internet")))&gt;1,INDIRECT(ADDRESS(ROW() + $A$9-7 + (ROW()-11)*4,3,1,1,"Internet"))," "))</f>
        <v xml:space="preserve"> </v>
      </c>
      <c r="Y83" s="319">
        <f ca="1">IF(N(U83)=0,9999,VLOOKUP(U83,Hraci!$A$1:$I$1500,8,0))</f>
        <v>9999</v>
      </c>
      <c r="Z83" s="386">
        <f ca="1">IF(N(U83)=0,0,VLOOKUP(U83,Hraci!$A$1:$I$1500,9,0))</f>
        <v>0</v>
      </c>
      <c r="AA83" s="383" t="str">
        <f t="shared" ca="1" si="31"/>
        <v/>
      </c>
      <c r="AB83" s="384" t="str">
        <f ca="1">IF(N(AA83)&gt;0,VLOOKUP(AA83,Hraci!$A$1:$I$1500,2,0)," ")</f>
        <v xml:space="preserve"> </v>
      </c>
      <c r="AC83" s="385" t="str">
        <f ca="1">IF(N(AA83)&gt;0,VLOOKUP(AA83,Hraci!$A$1:$I$1500,3,0)," ")</f>
        <v xml:space="preserve"> </v>
      </c>
      <c r="AD83" s="385" t="str">
        <f ca="1">IF(N(AA83)&gt;0,VLOOKUP(AA83,Hraci!$A$1:$I$1500,5,0)," ")</f>
        <v xml:space="preserve"> </v>
      </c>
      <c r="AE83" s="319">
        <f ca="1">IF(N(AA83)=0,9999,VLOOKUP(AA83,Hraci!$A$1:$I$1500,8,0))</f>
        <v>9999</v>
      </c>
      <c r="AF83" s="386">
        <f ca="1">IF(N(AA83)=0,0,VLOOKUP(AA83,Hraci!$A$1:$I$1500,9,0))</f>
        <v>0</v>
      </c>
      <c r="AG83" s="391"/>
      <c r="AH83" s="427">
        <f ca="1">IF(TYPE(VLOOKUP(H83,Centrum!$A$3:$E$130,5,0))&lt;4,VLOOKUP(H83,Centrum!$A$3:$E$130,5,0),0)</f>
        <v>0</v>
      </c>
      <c r="AI83" s="387" t="str">
        <f ca="1">IF(N($AH83)&gt;0,VLOOKUP($AH83,Body!$A$4:$F$259,5,0),"")</f>
        <v/>
      </c>
      <c r="AJ83" s="388" t="str">
        <f ca="1">IF(N($AH83)&gt;0,VLOOKUP($AH83,Body!$A$4:$F$259,6,0),"")</f>
        <v/>
      </c>
      <c r="AK83" s="387" t="str">
        <f ca="1">IF(N($AH83)&gt;0,VLOOKUP($AH83,Body!$A$4:$F$259,2,0),"")</f>
        <v/>
      </c>
      <c r="AL83" s="389" t="str">
        <f t="shared" ca="1" si="32"/>
        <v/>
      </c>
      <c r="AM83" s="390">
        <f t="shared" ca="1" si="33"/>
        <v>0</v>
      </c>
      <c r="AN83" s="319">
        <f ca="1">IF(OR(TYPE(I83)&gt;1,TYPE(MATCH(I83,I84:I$139,0))&gt;1),0,MATCH(I83,I84:I$139,0))+IF(OR(TYPE(I83)&gt;1,TYPE(MATCH(I83,O$11:O$139,0))&gt;1),0,MATCH(I83,O$11:O$139,0))+IF(OR(TYPE(I83)&gt;1,TYPE(MATCH(I83,U$11:U$139,0))&gt;1),0,MATCH(I83,U$11:U$139,0))+IF(OR(TYPE(I83)&gt;1,TYPE(MATCH(I83,AA$11:AA$139,0))&gt;1),0,MATCH(I83,AA$11:AA$139,0))</f>
        <v>0</v>
      </c>
      <c r="AO83" s="319">
        <f ca="1">IF(OR(TYPE(O83)&gt;1,TYPE(MATCH(O83,I$11:I$139,0))&gt;1),0,MATCH(O83,I$11:I$139,0))+IF(OR(TYPE(O83)&gt;1,TYPE(MATCH(O83,O84:O$139,0))&gt;1),0,MATCH(O83,O84:O$139,0))+IF(OR(TYPE(O83)&gt;1,TYPE(MATCH(O83,U$11:U$139,0))&gt;1),0,MATCH(O83,U$11:U$139,0))+IF(OR(TYPE(O83)&gt;1,TYPE(MATCH(O83,AA$11:AA$139,0))&gt;1),0,MATCH(O83,AA$11:AA$139,0))</f>
        <v>0</v>
      </c>
      <c r="AP83" s="319">
        <f ca="1">IF(OR(TYPE(U83)&gt;1,TYPE(MATCH(U83,I$11:I$139,0))&gt;1),0,MATCH(U83,I$11:I$139,0))+IF(OR(TYPE(U83)&gt;1,TYPE(MATCH(U83,O$11:O$139,0))&gt;1),0,MATCH(U83,O$11:O$139,0))+IF(OR(TYPE(U83)&gt;1,TYPE(MATCH(U83,U84:U$139,0))&gt;1),0,MATCH(U83,U84:U$139,0))+IF(OR(TYPE(U83)&gt;1,TYPE(MATCH(U83,AA$11:AA$139,0))&gt;1),0,MATCH(U83,AA$11:AA$139,0))</f>
        <v>0</v>
      </c>
      <c r="AQ83" s="319">
        <f ca="1">IF(OR(TYPE(AA83)&gt;1,TYPE(MATCH(AA83,I$11:I$139,0))&gt;1),0,MATCH(AA83,I$11:I$139,0))+IF(OR(TYPE(AA83)&gt;1,TYPE(MATCH(AA83,O$11:O$139,0))&gt;1),0,MATCH(AA83,O$11:O$139,0))+IF(OR(TYPE(AA83)&gt;1,TYPE(MATCH(AA83,U$11:U$139,0))&gt;1),0,MATCH(U83,U$11:U$139,0))+IF(OR(TYPE(AA83)&gt;1,TYPE(MATCH(AA83,AA84:AA$139,0))&gt;1),0,MATCH(AA83,AA84:AA$139,0))</f>
        <v>0</v>
      </c>
      <c r="AR83" s="319">
        <f t="shared" ca="1" si="36"/>
        <v>0</v>
      </c>
      <c r="AT83" s="318">
        <f t="shared" ca="1" si="34"/>
        <v>0</v>
      </c>
      <c r="AU83" s="318">
        <f ca="1">IF(AND(N(I83)&gt;0,TYPE(VLOOKUP(I83,Hraci!$A$5:$A$800,1,0))&gt;3),1,0) + IF(AND(N(O83)&gt;0,TYPE(VLOOKUP(O83,Hraci!$A$5:$A$800,1,0))&gt;3),1,0) + IF(AND(N(U83)&gt;0,TYPE(VLOOKUP(U83,Hraci!$A$5:$A$800,1,0))&gt;3),1,0)</f>
        <v>0</v>
      </c>
      <c r="BF83" s="319">
        <f t="shared" si="35"/>
        <v>73</v>
      </c>
    </row>
    <row r="84" spans="1:58" ht="12.9" x14ac:dyDescent="0.45">
      <c r="A84" s="302">
        <f t="shared" ca="1" si="20"/>
        <v>0</v>
      </c>
      <c r="B84" s="302">
        <f t="shared" ca="1" si="21"/>
        <v>0</v>
      </c>
      <c r="C84" s="302">
        <f t="shared" ca="1" si="22"/>
        <v>0</v>
      </c>
      <c r="D84" s="302">
        <f t="shared" ca="1" si="23"/>
        <v>99999</v>
      </c>
      <c r="E84" s="302">
        <f t="shared" ca="1" si="24"/>
        <v>9999</v>
      </c>
      <c r="F84" s="343" t="str">
        <f t="shared" ca="1" si="25"/>
        <v>00000000000000000000634158</v>
      </c>
      <c r="G84" s="381" t="b">
        <f t="shared" ca="1" si="26"/>
        <v>1</v>
      </c>
      <c r="H84" s="382">
        <f t="shared" si="27"/>
        <v>74</v>
      </c>
      <c r="I84" s="383" t="str">
        <f t="shared" ca="1" si="28"/>
        <v/>
      </c>
      <c r="J84" s="384" t="str">
        <f ca="1">IF(N(I84)&gt;0,VLOOKUP(I84,Hraci!$A$1:$I$1500,2,0),IF(TYPE(INDIRECT(ADDRESS(ROW() + $A$9-9 + (ROW()-11)*4,2,1,1,"Internet")))&gt;1,INDIRECT(ADDRESS(ROW() + $A$9-9 + (ROW()-11)*4,2,1,1,"Internet"))," "))</f>
        <v xml:space="preserve"> </v>
      </c>
      <c r="K84" s="385" t="str">
        <f ca="1">IF(N(I84)&gt;0,VLOOKUP(I84,Hraci!$A$1:$I$1500,3,0)," ")</f>
        <v xml:space="preserve"> </v>
      </c>
      <c r="L84" s="385" t="str">
        <f ca="1">IF(N(I84)&gt;0,VLOOKUP(I84,Hraci!$A$1:$I$1500,5,0),IF(TYPE(INDIRECT(ADDRESS(ROW() + $A$9-9 + (ROW()-11)*4,3,1,1,"Internet")))&gt;1,INDIRECT(ADDRESS(ROW() + $A$9-9 + (ROW()-11)*4,3,1,1,"Internet"))," "))</f>
        <v xml:space="preserve"> </v>
      </c>
      <c r="M84" s="319">
        <f ca="1">IF(N(I84)=0,9999,VLOOKUP(I84,Hraci!$A$1:$I$1500,8,0))</f>
        <v>9999</v>
      </c>
      <c r="N84" s="386">
        <f ca="1">IF(N(I84)=0,0,VLOOKUP(I84,Hraci!$A$1:$I$1500,9,0))</f>
        <v>0</v>
      </c>
      <c r="O84" s="383" t="str">
        <f t="shared" ca="1" si="29"/>
        <v/>
      </c>
      <c r="P84" s="384" t="str">
        <f ca="1">IF(N(O84)&gt;0,VLOOKUP(O84,Hraci!$A$1:$I$1500,2,0),IF(TYPE(INDIRECT(ADDRESS(ROW() + $A$9-8 + (ROW()-11)*4,2,1,1,"Internet")))&gt;1,INDIRECT(ADDRESS(ROW() + $A$9-8 + (ROW()-11)*4,2,1,1,"Internet"))," "))</f>
        <v xml:space="preserve"> </v>
      </c>
      <c r="Q84" s="385" t="str">
        <f ca="1">IF(N(O84)&gt;0,VLOOKUP(O84,Hraci!$A$1:$I$1500,3,0)," ")</f>
        <v xml:space="preserve"> </v>
      </c>
      <c r="R84" s="385" t="str">
        <f ca="1">IF(N(O84)&gt;0,VLOOKUP(O84,Hraci!$A$1:$I$1500,5,0),IF(TYPE(INDIRECT(ADDRESS(ROW() + $A$9-8 + (ROW()-11)*4,3,1,1,"Internet")))&gt;1,INDIRECT(ADDRESS(ROW() + $A$9-8 + (ROW()-11)*4,3,1,1,"Internet"))," "))</f>
        <v xml:space="preserve"> </v>
      </c>
      <c r="S84" s="319">
        <f ca="1">IF(N(O84)=0,9999,VLOOKUP(O84,Hraci!$A$1:$I$1500,8,0))</f>
        <v>9999</v>
      </c>
      <c r="T84" s="386">
        <f ca="1">IF(N(O84)=0,0,VLOOKUP(O84,Hraci!$A$1:$I$1500,9,0))</f>
        <v>0</v>
      </c>
      <c r="U84" s="383" t="str">
        <f t="shared" ca="1" si="30"/>
        <v/>
      </c>
      <c r="V84" s="384" t="str">
        <f ca="1">IF(N(U84)&gt;0,VLOOKUP(U84,Hraci!$A$1:$I$1500,2,0),IF(TYPE(INDIRECT(ADDRESS(ROW() + $A$9-7 + (ROW()-11)*4,2,1,1,"Internet")))&gt;1,INDIRECT(ADDRESS(ROW() + $A$9-7 + (ROW()-11)*4,2,1,1,"Internet"))," "))</f>
        <v xml:space="preserve"> </v>
      </c>
      <c r="W84" s="385" t="str">
        <f ca="1">IF(N(U84)&gt;0,VLOOKUP(U84,Hraci!$A$1:$I$1500,3,0)," ")</f>
        <v xml:space="preserve"> </v>
      </c>
      <c r="X84" s="385" t="str">
        <f ca="1">IF(N(U84)&gt;0,VLOOKUP(U84,Hraci!$A$1:$I$1500,5,0),IF(TYPE(INDIRECT(ADDRESS(ROW() + $A$9-7 + (ROW()-11)*4,3,1,1,"Internet")))&gt;1,INDIRECT(ADDRESS(ROW() + $A$9-7 + (ROW()-11)*4,3,1,1,"Internet"))," "))</f>
        <v xml:space="preserve"> </v>
      </c>
      <c r="Y84" s="319">
        <f ca="1">IF(N(U84)=0,9999,VLOOKUP(U84,Hraci!$A$1:$I$1500,8,0))</f>
        <v>9999</v>
      </c>
      <c r="Z84" s="386">
        <f ca="1">IF(N(U84)=0,0,VLOOKUP(U84,Hraci!$A$1:$I$1500,9,0))</f>
        <v>0</v>
      </c>
      <c r="AA84" s="383" t="str">
        <f t="shared" ca="1" si="31"/>
        <v/>
      </c>
      <c r="AB84" s="384" t="str">
        <f ca="1">IF(N(AA84)&gt;0,VLOOKUP(AA84,Hraci!$A$1:$I$1500,2,0)," ")</f>
        <v xml:space="preserve"> </v>
      </c>
      <c r="AC84" s="385" t="str">
        <f ca="1">IF(N(AA84)&gt;0,VLOOKUP(AA84,Hraci!$A$1:$I$1500,3,0)," ")</f>
        <v xml:space="preserve"> </v>
      </c>
      <c r="AD84" s="385" t="str">
        <f ca="1">IF(N(AA84)&gt;0,VLOOKUP(AA84,Hraci!$A$1:$I$1500,5,0)," ")</f>
        <v xml:space="preserve"> </v>
      </c>
      <c r="AE84" s="319">
        <f ca="1">IF(N(AA84)=0,9999,VLOOKUP(AA84,Hraci!$A$1:$I$1500,8,0))</f>
        <v>9999</v>
      </c>
      <c r="AF84" s="386">
        <f ca="1">IF(N(AA84)=0,0,VLOOKUP(AA84,Hraci!$A$1:$I$1500,9,0))</f>
        <v>0</v>
      </c>
      <c r="AG84" s="391"/>
      <c r="AH84" s="427">
        <f ca="1">IF(TYPE(VLOOKUP(H84,Centrum!$A$3:$E$130,5,0))&lt;4,VLOOKUP(H84,Centrum!$A$3:$E$130,5,0),0)</f>
        <v>0</v>
      </c>
      <c r="AI84" s="387" t="str">
        <f ca="1">IF(N($AH84)&gt;0,VLOOKUP($AH84,Body!$A$4:$F$259,5,0),"")</f>
        <v/>
      </c>
      <c r="AJ84" s="388" t="str">
        <f ca="1">IF(N($AH84)&gt;0,VLOOKUP($AH84,Body!$A$4:$F$259,6,0),"")</f>
        <v/>
      </c>
      <c r="AK84" s="387" t="str">
        <f ca="1">IF(N($AH84)&gt;0,VLOOKUP($AH84,Body!$A$4:$F$259,2,0),"")</f>
        <v/>
      </c>
      <c r="AL84" s="389" t="str">
        <f t="shared" ca="1" si="32"/>
        <v/>
      </c>
      <c r="AM84" s="390">
        <f t="shared" ca="1" si="33"/>
        <v>0</v>
      </c>
      <c r="AN84" s="319">
        <f ca="1">IF(OR(TYPE(I84)&gt;1,TYPE(MATCH(I84,I85:I$139,0))&gt;1),0,MATCH(I84,I85:I$139,0))+IF(OR(TYPE(I84)&gt;1,TYPE(MATCH(I84,O$11:O$139,0))&gt;1),0,MATCH(I84,O$11:O$139,0))+IF(OR(TYPE(I84)&gt;1,TYPE(MATCH(I84,U$11:U$139,0))&gt;1),0,MATCH(I84,U$11:U$139,0))+IF(OR(TYPE(I84)&gt;1,TYPE(MATCH(I84,AA$11:AA$139,0))&gt;1),0,MATCH(I84,AA$11:AA$139,0))</f>
        <v>0</v>
      </c>
      <c r="AO84" s="319">
        <f ca="1">IF(OR(TYPE(O84)&gt;1,TYPE(MATCH(O84,I$11:I$139,0))&gt;1),0,MATCH(O84,I$11:I$139,0))+IF(OR(TYPE(O84)&gt;1,TYPE(MATCH(O84,O85:O$139,0))&gt;1),0,MATCH(O84,O85:O$139,0))+IF(OR(TYPE(O84)&gt;1,TYPE(MATCH(O84,U$11:U$139,0))&gt;1),0,MATCH(O84,U$11:U$139,0))+IF(OR(TYPE(O84)&gt;1,TYPE(MATCH(O84,AA$11:AA$139,0))&gt;1),0,MATCH(O84,AA$11:AA$139,0))</f>
        <v>0</v>
      </c>
      <c r="AP84" s="319">
        <f ca="1">IF(OR(TYPE(U84)&gt;1,TYPE(MATCH(U84,I$11:I$139,0))&gt;1),0,MATCH(U84,I$11:I$139,0))+IF(OR(TYPE(U84)&gt;1,TYPE(MATCH(U84,O$11:O$139,0))&gt;1),0,MATCH(U84,O$11:O$139,0))+IF(OR(TYPE(U84)&gt;1,TYPE(MATCH(U84,U85:U$139,0))&gt;1),0,MATCH(U84,U85:U$139,0))+IF(OR(TYPE(U84)&gt;1,TYPE(MATCH(U84,AA$11:AA$139,0))&gt;1),0,MATCH(U84,AA$11:AA$139,0))</f>
        <v>0</v>
      </c>
      <c r="AQ84" s="319">
        <f ca="1">IF(OR(TYPE(AA84)&gt;1,TYPE(MATCH(AA84,I$11:I$139,0))&gt;1),0,MATCH(AA84,I$11:I$139,0))+IF(OR(TYPE(AA84)&gt;1,TYPE(MATCH(AA84,O$11:O$139,0))&gt;1),0,MATCH(AA84,O$11:O$139,0))+IF(OR(TYPE(AA84)&gt;1,TYPE(MATCH(AA84,U$11:U$139,0))&gt;1),0,MATCH(U84,U$11:U$139,0))+IF(OR(TYPE(AA84)&gt;1,TYPE(MATCH(AA84,AA85:AA$139,0))&gt;1),0,MATCH(AA84,AA85:AA$139,0))</f>
        <v>0</v>
      </c>
      <c r="AR84" s="319">
        <f t="shared" ca="1" si="36"/>
        <v>0</v>
      </c>
      <c r="AT84" s="318">
        <f t="shared" ca="1" si="34"/>
        <v>0</v>
      </c>
      <c r="AU84" s="318">
        <f ca="1">IF(AND(N(I84)&gt;0,TYPE(VLOOKUP(I84,Hraci!$A$5:$A$800,1,0))&gt;3),1,0) + IF(AND(N(O84)&gt;0,TYPE(VLOOKUP(O84,Hraci!$A$5:$A$800,1,0))&gt;3),1,0) + IF(AND(N(U84)&gt;0,TYPE(VLOOKUP(U84,Hraci!$A$5:$A$800,1,0))&gt;3),1,0)</f>
        <v>0</v>
      </c>
      <c r="BF84" s="319">
        <f t="shared" si="35"/>
        <v>74</v>
      </c>
    </row>
    <row r="85" spans="1:58" ht="12.9" x14ac:dyDescent="0.45">
      <c r="A85" s="302">
        <f t="shared" ca="1" si="20"/>
        <v>0</v>
      </c>
      <c r="B85" s="302">
        <f t="shared" ca="1" si="21"/>
        <v>0</v>
      </c>
      <c r="C85" s="302">
        <f t="shared" ca="1" si="22"/>
        <v>0</v>
      </c>
      <c r="D85" s="302">
        <f t="shared" ca="1" si="23"/>
        <v>99999</v>
      </c>
      <c r="E85" s="302">
        <f t="shared" ca="1" si="24"/>
        <v>9999</v>
      </c>
      <c r="F85" s="343" t="str">
        <f t="shared" ca="1" si="25"/>
        <v>00000000000000000000876932</v>
      </c>
      <c r="G85" s="381" t="b">
        <f t="shared" ca="1" si="26"/>
        <v>1</v>
      </c>
      <c r="H85" s="382">
        <f t="shared" si="27"/>
        <v>75</v>
      </c>
      <c r="I85" s="383" t="str">
        <f t="shared" ca="1" si="28"/>
        <v/>
      </c>
      <c r="J85" s="384" t="str">
        <f ca="1">IF(N(I85)&gt;0,VLOOKUP(I85,Hraci!$A$1:$I$1500,2,0),IF(TYPE(INDIRECT(ADDRESS(ROW() + $A$9-9 + (ROW()-11)*4,2,1,1,"Internet")))&gt;1,INDIRECT(ADDRESS(ROW() + $A$9-9 + (ROW()-11)*4,2,1,1,"Internet"))," "))</f>
        <v xml:space="preserve"> </v>
      </c>
      <c r="K85" s="385" t="str">
        <f ca="1">IF(N(I85)&gt;0,VLOOKUP(I85,Hraci!$A$1:$I$1500,3,0)," ")</f>
        <v xml:space="preserve"> </v>
      </c>
      <c r="L85" s="385" t="str">
        <f ca="1">IF(N(I85)&gt;0,VLOOKUP(I85,Hraci!$A$1:$I$1500,5,0),IF(TYPE(INDIRECT(ADDRESS(ROW() + $A$9-9 + (ROW()-11)*4,3,1,1,"Internet")))&gt;1,INDIRECT(ADDRESS(ROW() + $A$9-9 + (ROW()-11)*4,3,1,1,"Internet"))," "))</f>
        <v xml:space="preserve"> </v>
      </c>
      <c r="M85" s="319">
        <f ca="1">IF(N(I85)=0,9999,VLOOKUP(I85,Hraci!$A$1:$I$1500,8,0))</f>
        <v>9999</v>
      </c>
      <c r="N85" s="386">
        <f ca="1">IF(N(I85)=0,0,VLOOKUP(I85,Hraci!$A$1:$I$1500,9,0))</f>
        <v>0</v>
      </c>
      <c r="O85" s="383" t="str">
        <f t="shared" ca="1" si="29"/>
        <v/>
      </c>
      <c r="P85" s="384" t="str">
        <f ca="1">IF(N(O85)&gt;0,VLOOKUP(O85,Hraci!$A$1:$I$1500,2,0),IF(TYPE(INDIRECT(ADDRESS(ROW() + $A$9-8 + (ROW()-11)*4,2,1,1,"Internet")))&gt;1,INDIRECT(ADDRESS(ROW() + $A$9-8 + (ROW()-11)*4,2,1,1,"Internet"))," "))</f>
        <v xml:space="preserve"> </v>
      </c>
      <c r="Q85" s="385" t="str">
        <f ca="1">IF(N(O85)&gt;0,VLOOKUP(O85,Hraci!$A$1:$I$1500,3,0)," ")</f>
        <v xml:space="preserve"> </v>
      </c>
      <c r="R85" s="385" t="str">
        <f ca="1">IF(N(O85)&gt;0,VLOOKUP(O85,Hraci!$A$1:$I$1500,5,0),IF(TYPE(INDIRECT(ADDRESS(ROW() + $A$9-8 + (ROW()-11)*4,3,1,1,"Internet")))&gt;1,INDIRECT(ADDRESS(ROW() + $A$9-8 + (ROW()-11)*4,3,1,1,"Internet"))," "))</f>
        <v xml:space="preserve"> </v>
      </c>
      <c r="S85" s="319">
        <f ca="1">IF(N(O85)=0,9999,VLOOKUP(O85,Hraci!$A$1:$I$1500,8,0))</f>
        <v>9999</v>
      </c>
      <c r="T85" s="386">
        <f ca="1">IF(N(O85)=0,0,VLOOKUP(O85,Hraci!$A$1:$I$1500,9,0))</f>
        <v>0</v>
      </c>
      <c r="U85" s="383" t="str">
        <f t="shared" ca="1" si="30"/>
        <v/>
      </c>
      <c r="V85" s="384" t="str">
        <f ca="1">IF(N(U85)&gt;0,VLOOKUP(U85,Hraci!$A$1:$I$1500,2,0),IF(TYPE(INDIRECT(ADDRESS(ROW() + $A$9-7 + (ROW()-11)*4,2,1,1,"Internet")))&gt;1,INDIRECT(ADDRESS(ROW() + $A$9-7 + (ROW()-11)*4,2,1,1,"Internet"))," "))</f>
        <v xml:space="preserve"> </v>
      </c>
      <c r="W85" s="385" t="str">
        <f ca="1">IF(N(U85)&gt;0,VLOOKUP(U85,Hraci!$A$1:$I$1500,3,0)," ")</f>
        <v xml:space="preserve"> </v>
      </c>
      <c r="X85" s="385" t="str">
        <f ca="1">IF(N(U85)&gt;0,VLOOKUP(U85,Hraci!$A$1:$I$1500,5,0),IF(TYPE(INDIRECT(ADDRESS(ROW() + $A$9-7 + (ROW()-11)*4,3,1,1,"Internet")))&gt;1,INDIRECT(ADDRESS(ROW() + $A$9-7 + (ROW()-11)*4,3,1,1,"Internet"))," "))</f>
        <v xml:space="preserve"> </v>
      </c>
      <c r="Y85" s="319">
        <f ca="1">IF(N(U85)=0,9999,VLOOKUP(U85,Hraci!$A$1:$I$1500,8,0))</f>
        <v>9999</v>
      </c>
      <c r="Z85" s="386">
        <f ca="1">IF(N(U85)=0,0,VLOOKUP(U85,Hraci!$A$1:$I$1500,9,0))</f>
        <v>0</v>
      </c>
      <c r="AA85" s="383" t="str">
        <f t="shared" ca="1" si="31"/>
        <v/>
      </c>
      <c r="AB85" s="384" t="str">
        <f ca="1">IF(N(AA85)&gt;0,VLOOKUP(AA85,Hraci!$A$1:$I$1500,2,0)," ")</f>
        <v xml:space="preserve"> </v>
      </c>
      <c r="AC85" s="385" t="str">
        <f ca="1">IF(N(AA85)&gt;0,VLOOKUP(AA85,Hraci!$A$1:$I$1500,3,0)," ")</f>
        <v xml:space="preserve"> </v>
      </c>
      <c r="AD85" s="385" t="str">
        <f ca="1">IF(N(AA85)&gt;0,VLOOKUP(AA85,Hraci!$A$1:$I$1500,5,0)," ")</f>
        <v xml:space="preserve"> </v>
      </c>
      <c r="AE85" s="319">
        <f ca="1">IF(N(AA85)=0,9999,VLOOKUP(AA85,Hraci!$A$1:$I$1500,8,0))</f>
        <v>9999</v>
      </c>
      <c r="AF85" s="386">
        <f ca="1">IF(N(AA85)=0,0,VLOOKUP(AA85,Hraci!$A$1:$I$1500,9,0))</f>
        <v>0</v>
      </c>
      <c r="AG85" s="391"/>
      <c r="AH85" s="427">
        <f ca="1">IF(TYPE(VLOOKUP(H85,Centrum!$A$3:$E$130,5,0))&lt;4,VLOOKUP(H85,Centrum!$A$3:$E$130,5,0),0)</f>
        <v>0</v>
      </c>
      <c r="AI85" s="387" t="str">
        <f ca="1">IF(N($AH85)&gt;0,VLOOKUP($AH85,Body!$A$4:$F$259,5,0),"")</f>
        <v/>
      </c>
      <c r="AJ85" s="388" t="str">
        <f ca="1">IF(N($AH85)&gt;0,VLOOKUP($AH85,Body!$A$4:$F$259,6,0),"")</f>
        <v/>
      </c>
      <c r="AK85" s="387" t="str">
        <f ca="1">IF(N($AH85)&gt;0,VLOOKUP($AH85,Body!$A$4:$F$259,2,0),"")</f>
        <v/>
      </c>
      <c r="AL85" s="389" t="str">
        <f t="shared" ca="1" si="32"/>
        <v/>
      </c>
      <c r="AM85" s="390">
        <f t="shared" ca="1" si="33"/>
        <v>0</v>
      </c>
      <c r="AN85" s="319">
        <f ca="1">IF(OR(TYPE(I85)&gt;1,TYPE(MATCH(I85,I86:I$139,0))&gt;1),0,MATCH(I85,I86:I$139,0))+IF(OR(TYPE(I85)&gt;1,TYPE(MATCH(I85,O$11:O$139,0))&gt;1),0,MATCH(I85,O$11:O$139,0))+IF(OR(TYPE(I85)&gt;1,TYPE(MATCH(I85,U$11:U$139,0))&gt;1),0,MATCH(I85,U$11:U$139,0))+IF(OR(TYPE(I85)&gt;1,TYPE(MATCH(I85,AA$11:AA$139,0))&gt;1),0,MATCH(I85,AA$11:AA$139,0))</f>
        <v>0</v>
      </c>
      <c r="AO85" s="319">
        <f ca="1">IF(OR(TYPE(O85)&gt;1,TYPE(MATCH(O85,I$11:I$139,0))&gt;1),0,MATCH(O85,I$11:I$139,0))+IF(OR(TYPE(O85)&gt;1,TYPE(MATCH(O85,O86:O$139,0))&gt;1),0,MATCH(O85,O86:O$139,0))+IF(OR(TYPE(O85)&gt;1,TYPE(MATCH(O85,U$11:U$139,0))&gt;1),0,MATCH(O85,U$11:U$139,0))+IF(OR(TYPE(O85)&gt;1,TYPE(MATCH(O85,AA$11:AA$139,0))&gt;1),0,MATCH(O85,AA$11:AA$139,0))</f>
        <v>0</v>
      </c>
      <c r="AP85" s="319">
        <f ca="1">IF(OR(TYPE(U85)&gt;1,TYPE(MATCH(U85,I$11:I$139,0))&gt;1),0,MATCH(U85,I$11:I$139,0))+IF(OR(TYPE(U85)&gt;1,TYPE(MATCH(U85,O$11:O$139,0))&gt;1),0,MATCH(U85,O$11:O$139,0))+IF(OR(TYPE(U85)&gt;1,TYPE(MATCH(U85,U86:U$139,0))&gt;1),0,MATCH(U85,U86:U$139,0))+IF(OR(TYPE(U85)&gt;1,TYPE(MATCH(U85,AA$11:AA$139,0))&gt;1),0,MATCH(U85,AA$11:AA$139,0))</f>
        <v>0</v>
      </c>
      <c r="AQ85" s="319">
        <f ca="1">IF(OR(TYPE(AA85)&gt;1,TYPE(MATCH(AA85,I$11:I$139,0))&gt;1),0,MATCH(AA85,I$11:I$139,0))+IF(OR(TYPE(AA85)&gt;1,TYPE(MATCH(AA85,O$11:O$139,0))&gt;1),0,MATCH(AA85,O$11:O$139,0))+IF(OR(TYPE(AA85)&gt;1,TYPE(MATCH(AA85,U$11:U$139,0))&gt;1),0,MATCH(U85,U$11:U$139,0))+IF(OR(TYPE(AA85)&gt;1,TYPE(MATCH(AA85,AA86:AA$139,0))&gt;1),0,MATCH(AA85,AA86:AA$139,0))</f>
        <v>0</v>
      </c>
      <c r="AR85" s="319">
        <f t="shared" ca="1" si="36"/>
        <v>0</v>
      </c>
      <c r="AT85" s="318">
        <f t="shared" ca="1" si="34"/>
        <v>0</v>
      </c>
      <c r="AU85" s="318">
        <f ca="1">IF(AND(N(I85)&gt;0,TYPE(VLOOKUP(I85,Hraci!$A$5:$A$800,1,0))&gt;3),1,0) + IF(AND(N(O85)&gt;0,TYPE(VLOOKUP(O85,Hraci!$A$5:$A$800,1,0))&gt;3),1,0) + IF(AND(N(U85)&gt;0,TYPE(VLOOKUP(U85,Hraci!$A$5:$A$800,1,0))&gt;3),1,0)</f>
        <v>0</v>
      </c>
      <c r="BF85" s="319">
        <f t="shared" si="35"/>
        <v>75</v>
      </c>
    </row>
    <row r="86" spans="1:58" ht="12.9" x14ac:dyDescent="0.45">
      <c r="A86" s="302">
        <f t="shared" ca="1" si="20"/>
        <v>0</v>
      </c>
      <c r="B86" s="302">
        <f t="shared" ca="1" si="21"/>
        <v>0</v>
      </c>
      <c r="C86" s="302">
        <f t="shared" ca="1" si="22"/>
        <v>0</v>
      </c>
      <c r="D86" s="302">
        <f t="shared" ca="1" si="23"/>
        <v>99999</v>
      </c>
      <c r="E86" s="302">
        <f t="shared" ca="1" si="24"/>
        <v>9999</v>
      </c>
      <c r="F86" s="343" t="str">
        <f t="shared" ca="1" si="25"/>
        <v>00000000000000000000813680</v>
      </c>
      <c r="G86" s="381" t="b">
        <f t="shared" ca="1" si="26"/>
        <v>1</v>
      </c>
      <c r="H86" s="382">
        <f t="shared" si="27"/>
        <v>76</v>
      </c>
      <c r="I86" s="383" t="str">
        <f t="shared" ca="1" si="28"/>
        <v/>
      </c>
      <c r="J86" s="384" t="str">
        <f ca="1">IF(N(I86)&gt;0,VLOOKUP(I86,Hraci!$A$1:$I$1500,2,0),IF(TYPE(INDIRECT(ADDRESS(ROW() + $A$9-9 + (ROW()-11)*4,2,1,1,"Internet")))&gt;1,INDIRECT(ADDRESS(ROW() + $A$9-9 + (ROW()-11)*4,2,1,1,"Internet"))," "))</f>
        <v xml:space="preserve"> </v>
      </c>
      <c r="K86" s="385" t="str">
        <f ca="1">IF(N(I86)&gt;0,VLOOKUP(I86,Hraci!$A$1:$I$1500,3,0)," ")</f>
        <v xml:space="preserve"> </v>
      </c>
      <c r="L86" s="385" t="str">
        <f ca="1">IF(N(I86)&gt;0,VLOOKUP(I86,Hraci!$A$1:$I$1500,5,0),IF(TYPE(INDIRECT(ADDRESS(ROW() + $A$9-9 + (ROW()-11)*4,3,1,1,"Internet")))&gt;1,INDIRECT(ADDRESS(ROW() + $A$9-9 + (ROW()-11)*4,3,1,1,"Internet"))," "))</f>
        <v xml:space="preserve"> </v>
      </c>
      <c r="M86" s="319">
        <f ca="1">IF(N(I86)=0,9999,VLOOKUP(I86,Hraci!$A$1:$I$1500,8,0))</f>
        <v>9999</v>
      </c>
      <c r="N86" s="386">
        <f ca="1">IF(N(I86)=0,0,VLOOKUP(I86,Hraci!$A$1:$I$1500,9,0))</f>
        <v>0</v>
      </c>
      <c r="O86" s="383" t="str">
        <f t="shared" ca="1" si="29"/>
        <v/>
      </c>
      <c r="P86" s="384" t="str">
        <f ca="1">IF(N(O86)&gt;0,VLOOKUP(O86,Hraci!$A$1:$I$1500,2,0),IF(TYPE(INDIRECT(ADDRESS(ROW() + $A$9-8 + (ROW()-11)*4,2,1,1,"Internet")))&gt;1,INDIRECT(ADDRESS(ROW() + $A$9-8 + (ROW()-11)*4,2,1,1,"Internet"))," "))</f>
        <v xml:space="preserve"> </v>
      </c>
      <c r="Q86" s="385" t="str">
        <f ca="1">IF(N(O86)&gt;0,VLOOKUP(O86,Hraci!$A$1:$I$1500,3,0)," ")</f>
        <v xml:space="preserve"> </v>
      </c>
      <c r="R86" s="385" t="str">
        <f ca="1">IF(N(O86)&gt;0,VLOOKUP(O86,Hraci!$A$1:$I$1500,5,0),IF(TYPE(INDIRECT(ADDRESS(ROW() + $A$9-8 + (ROW()-11)*4,3,1,1,"Internet")))&gt;1,INDIRECT(ADDRESS(ROW() + $A$9-8 + (ROW()-11)*4,3,1,1,"Internet"))," "))</f>
        <v xml:space="preserve"> </v>
      </c>
      <c r="S86" s="319">
        <f ca="1">IF(N(O86)=0,9999,VLOOKUP(O86,Hraci!$A$1:$I$1500,8,0))</f>
        <v>9999</v>
      </c>
      <c r="T86" s="386">
        <f ca="1">IF(N(O86)=0,0,VLOOKUP(O86,Hraci!$A$1:$I$1500,9,0))</f>
        <v>0</v>
      </c>
      <c r="U86" s="383" t="str">
        <f t="shared" ca="1" si="30"/>
        <v/>
      </c>
      <c r="V86" s="384" t="str">
        <f ca="1">IF(N(U86)&gt;0,VLOOKUP(U86,Hraci!$A$1:$I$1500,2,0),IF(TYPE(INDIRECT(ADDRESS(ROW() + $A$9-7 + (ROW()-11)*4,2,1,1,"Internet")))&gt;1,INDIRECT(ADDRESS(ROW() + $A$9-7 + (ROW()-11)*4,2,1,1,"Internet"))," "))</f>
        <v xml:space="preserve"> </v>
      </c>
      <c r="W86" s="385" t="str">
        <f ca="1">IF(N(U86)&gt;0,VLOOKUP(U86,Hraci!$A$1:$I$1500,3,0)," ")</f>
        <v xml:space="preserve"> </v>
      </c>
      <c r="X86" s="385" t="str">
        <f ca="1">IF(N(U86)&gt;0,VLOOKUP(U86,Hraci!$A$1:$I$1500,5,0),IF(TYPE(INDIRECT(ADDRESS(ROW() + $A$9-7 + (ROW()-11)*4,3,1,1,"Internet")))&gt;1,INDIRECT(ADDRESS(ROW() + $A$9-7 + (ROW()-11)*4,3,1,1,"Internet"))," "))</f>
        <v xml:space="preserve"> </v>
      </c>
      <c r="Y86" s="319">
        <f ca="1">IF(N(U86)=0,9999,VLOOKUP(U86,Hraci!$A$1:$I$1500,8,0))</f>
        <v>9999</v>
      </c>
      <c r="Z86" s="386">
        <f ca="1">IF(N(U86)=0,0,VLOOKUP(U86,Hraci!$A$1:$I$1500,9,0))</f>
        <v>0</v>
      </c>
      <c r="AA86" s="383" t="str">
        <f t="shared" ca="1" si="31"/>
        <v/>
      </c>
      <c r="AB86" s="384" t="str">
        <f ca="1">IF(N(AA86)&gt;0,VLOOKUP(AA86,Hraci!$A$1:$I$1500,2,0)," ")</f>
        <v xml:space="preserve"> </v>
      </c>
      <c r="AC86" s="385" t="str">
        <f ca="1">IF(N(AA86)&gt;0,VLOOKUP(AA86,Hraci!$A$1:$I$1500,3,0)," ")</f>
        <v xml:space="preserve"> </v>
      </c>
      <c r="AD86" s="385" t="str">
        <f ca="1">IF(N(AA86)&gt;0,VLOOKUP(AA86,Hraci!$A$1:$I$1500,5,0)," ")</f>
        <v xml:space="preserve"> </v>
      </c>
      <c r="AE86" s="319">
        <f ca="1">IF(N(AA86)=0,9999,VLOOKUP(AA86,Hraci!$A$1:$I$1500,8,0))</f>
        <v>9999</v>
      </c>
      <c r="AF86" s="386">
        <f ca="1">IF(N(AA86)=0,0,VLOOKUP(AA86,Hraci!$A$1:$I$1500,9,0))</f>
        <v>0</v>
      </c>
      <c r="AG86" s="391"/>
      <c r="AH86" s="427">
        <f ca="1">IF(TYPE(VLOOKUP(H86,Centrum!$A$3:$E$130,5,0))&lt;4,VLOOKUP(H86,Centrum!$A$3:$E$130,5,0),0)</f>
        <v>0</v>
      </c>
      <c r="AI86" s="387" t="str">
        <f ca="1">IF(N($AH86)&gt;0,VLOOKUP($AH86,Body!$A$4:$F$259,5,0),"")</f>
        <v/>
      </c>
      <c r="AJ86" s="388" t="str">
        <f ca="1">IF(N($AH86)&gt;0,VLOOKUP($AH86,Body!$A$4:$F$259,6,0),"")</f>
        <v/>
      </c>
      <c r="AK86" s="387" t="str">
        <f ca="1">IF(N($AH86)&gt;0,VLOOKUP($AH86,Body!$A$4:$F$259,2,0),"")</f>
        <v/>
      </c>
      <c r="AL86" s="389" t="str">
        <f t="shared" ca="1" si="32"/>
        <v/>
      </c>
      <c r="AM86" s="390">
        <f t="shared" ca="1" si="33"/>
        <v>0</v>
      </c>
      <c r="AN86" s="319">
        <f ca="1">IF(OR(TYPE(I86)&gt;1,TYPE(MATCH(I86,I87:I$139,0))&gt;1),0,MATCH(I86,I87:I$139,0))+IF(OR(TYPE(I86)&gt;1,TYPE(MATCH(I86,O$11:O$139,0))&gt;1),0,MATCH(I86,O$11:O$139,0))+IF(OR(TYPE(I86)&gt;1,TYPE(MATCH(I86,U$11:U$139,0))&gt;1),0,MATCH(I86,U$11:U$139,0))+IF(OR(TYPE(I86)&gt;1,TYPE(MATCH(I86,AA$11:AA$139,0))&gt;1),0,MATCH(I86,AA$11:AA$139,0))</f>
        <v>0</v>
      </c>
      <c r="AO86" s="319">
        <f ca="1">IF(OR(TYPE(O86)&gt;1,TYPE(MATCH(O86,I$11:I$139,0))&gt;1),0,MATCH(O86,I$11:I$139,0))+IF(OR(TYPE(O86)&gt;1,TYPE(MATCH(O86,O87:O$139,0))&gt;1),0,MATCH(O86,O87:O$139,0))+IF(OR(TYPE(O86)&gt;1,TYPE(MATCH(O86,U$11:U$139,0))&gt;1),0,MATCH(O86,U$11:U$139,0))+IF(OR(TYPE(O86)&gt;1,TYPE(MATCH(O86,AA$11:AA$139,0))&gt;1),0,MATCH(O86,AA$11:AA$139,0))</f>
        <v>0</v>
      </c>
      <c r="AP86" s="319">
        <f ca="1">IF(OR(TYPE(U86)&gt;1,TYPE(MATCH(U86,I$11:I$139,0))&gt;1),0,MATCH(U86,I$11:I$139,0))+IF(OR(TYPE(U86)&gt;1,TYPE(MATCH(U86,O$11:O$139,0))&gt;1),0,MATCH(U86,O$11:O$139,0))+IF(OR(TYPE(U86)&gt;1,TYPE(MATCH(U86,U87:U$139,0))&gt;1),0,MATCH(U86,U87:U$139,0))+IF(OR(TYPE(U86)&gt;1,TYPE(MATCH(U86,AA$11:AA$139,0))&gt;1),0,MATCH(U86,AA$11:AA$139,0))</f>
        <v>0</v>
      </c>
      <c r="AQ86" s="319">
        <f ca="1">IF(OR(TYPE(AA86)&gt;1,TYPE(MATCH(AA86,I$11:I$139,0))&gt;1),0,MATCH(AA86,I$11:I$139,0))+IF(OR(TYPE(AA86)&gt;1,TYPE(MATCH(AA86,O$11:O$139,0))&gt;1),0,MATCH(AA86,O$11:O$139,0))+IF(OR(TYPE(AA86)&gt;1,TYPE(MATCH(AA86,U$11:U$139,0))&gt;1),0,MATCH(U86,U$11:U$139,0))+IF(OR(TYPE(AA86)&gt;1,TYPE(MATCH(AA86,AA87:AA$139,0))&gt;1),0,MATCH(AA86,AA87:AA$139,0))</f>
        <v>0</v>
      </c>
      <c r="AR86" s="319">
        <f t="shared" ca="1" si="36"/>
        <v>0</v>
      </c>
      <c r="AT86" s="318">
        <f t="shared" ca="1" si="34"/>
        <v>0</v>
      </c>
      <c r="AU86" s="318">
        <f ca="1">IF(AND(N(I86)&gt;0,TYPE(VLOOKUP(I86,Hraci!$A$5:$A$800,1,0))&gt;3),1,0) + IF(AND(N(O86)&gt;0,TYPE(VLOOKUP(O86,Hraci!$A$5:$A$800,1,0))&gt;3),1,0) + IF(AND(N(U86)&gt;0,TYPE(VLOOKUP(U86,Hraci!$A$5:$A$800,1,0))&gt;3),1,0)</f>
        <v>0</v>
      </c>
      <c r="BF86" s="319">
        <f t="shared" si="35"/>
        <v>76</v>
      </c>
    </row>
    <row r="87" spans="1:58" ht="12.9" x14ac:dyDescent="0.45">
      <c r="A87" s="302">
        <f t="shared" ca="1" si="20"/>
        <v>0</v>
      </c>
      <c r="B87" s="302">
        <f t="shared" ca="1" si="21"/>
        <v>0</v>
      </c>
      <c r="C87" s="302">
        <f t="shared" ca="1" si="22"/>
        <v>0</v>
      </c>
      <c r="D87" s="302">
        <f t="shared" ca="1" si="23"/>
        <v>99999</v>
      </c>
      <c r="E87" s="302">
        <f t="shared" ca="1" si="24"/>
        <v>9999</v>
      </c>
      <c r="F87" s="343" t="str">
        <f t="shared" ca="1" si="25"/>
        <v>00000000000000000000902190</v>
      </c>
      <c r="G87" s="381" t="b">
        <f t="shared" ca="1" si="26"/>
        <v>1</v>
      </c>
      <c r="H87" s="382">
        <f t="shared" si="27"/>
        <v>77</v>
      </c>
      <c r="I87" s="383" t="str">
        <f t="shared" ca="1" si="28"/>
        <v/>
      </c>
      <c r="J87" s="384" t="str">
        <f ca="1">IF(N(I87)&gt;0,VLOOKUP(I87,Hraci!$A$1:$I$1500,2,0),IF(TYPE(INDIRECT(ADDRESS(ROW() + $A$9-9 + (ROW()-11)*4,2,1,1,"Internet")))&gt;1,INDIRECT(ADDRESS(ROW() + $A$9-9 + (ROW()-11)*4,2,1,1,"Internet"))," "))</f>
        <v xml:space="preserve"> </v>
      </c>
      <c r="K87" s="385" t="str">
        <f ca="1">IF(N(I87)&gt;0,VLOOKUP(I87,Hraci!$A$1:$I$1500,3,0)," ")</f>
        <v xml:space="preserve"> </v>
      </c>
      <c r="L87" s="385" t="str">
        <f ca="1">IF(N(I87)&gt;0,VLOOKUP(I87,Hraci!$A$1:$I$1500,5,0),IF(TYPE(INDIRECT(ADDRESS(ROW() + $A$9-9 + (ROW()-11)*4,3,1,1,"Internet")))&gt;1,INDIRECT(ADDRESS(ROW() + $A$9-9 + (ROW()-11)*4,3,1,1,"Internet"))," "))</f>
        <v xml:space="preserve"> </v>
      </c>
      <c r="M87" s="319">
        <f ca="1">IF(N(I87)=0,9999,VLOOKUP(I87,Hraci!$A$1:$I$1500,8,0))</f>
        <v>9999</v>
      </c>
      <c r="N87" s="386">
        <f ca="1">IF(N(I87)=0,0,VLOOKUP(I87,Hraci!$A$1:$I$1500,9,0))</f>
        <v>0</v>
      </c>
      <c r="O87" s="383" t="str">
        <f t="shared" ca="1" si="29"/>
        <v/>
      </c>
      <c r="P87" s="384" t="str">
        <f ca="1">IF(N(O87)&gt;0,VLOOKUP(O87,Hraci!$A$1:$I$1500,2,0),IF(TYPE(INDIRECT(ADDRESS(ROW() + $A$9-8 + (ROW()-11)*4,2,1,1,"Internet")))&gt;1,INDIRECT(ADDRESS(ROW() + $A$9-8 + (ROW()-11)*4,2,1,1,"Internet"))," "))</f>
        <v xml:space="preserve"> </v>
      </c>
      <c r="Q87" s="385" t="str">
        <f ca="1">IF(N(O87)&gt;0,VLOOKUP(O87,Hraci!$A$1:$I$1500,3,0)," ")</f>
        <v xml:space="preserve"> </v>
      </c>
      <c r="R87" s="385" t="str">
        <f ca="1">IF(N(O87)&gt;0,VLOOKUP(O87,Hraci!$A$1:$I$1500,5,0),IF(TYPE(INDIRECT(ADDRESS(ROW() + $A$9-8 + (ROW()-11)*4,3,1,1,"Internet")))&gt;1,INDIRECT(ADDRESS(ROW() + $A$9-8 + (ROW()-11)*4,3,1,1,"Internet"))," "))</f>
        <v xml:space="preserve"> </v>
      </c>
      <c r="S87" s="319">
        <f ca="1">IF(N(O87)=0,9999,VLOOKUP(O87,Hraci!$A$1:$I$1500,8,0))</f>
        <v>9999</v>
      </c>
      <c r="T87" s="386">
        <f ca="1">IF(N(O87)=0,0,VLOOKUP(O87,Hraci!$A$1:$I$1500,9,0))</f>
        <v>0</v>
      </c>
      <c r="U87" s="383" t="str">
        <f t="shared" ca="1" si="30"/>
        <v/>
      </c>
      <c r="V87" s="384" t="str">
        <f ca="1">IF(N(U87)&gt;0,VLOOKUP(U87,Hraci!$A$1:$I$1500,2,0),IF(TYPE(INDIRECT(ADDRESS(ROW() + $A$9-7 + (ROW()-11)*4,2,1,1,"Internet")))&gt;1,INDIRECT(ADDRESS(ROW() + $A$9-7 + (ROW()-11)*4,2,1,1,"Internet"))," "))</f>
        <v xml:space="preserve"> </v>
      </c>
      <c r="W87" s="385" t="str">
        <f ca="1">IF(N(U87)&gt;0,VLOOKUP(U87,Hraci!$A$1:$I$1500,3,0)," ")</f>
        <v xml:space="preserve"> </v>
      </c>
      <c r="X87" s="385" t="str">
        <f ca="1">IF(N(U87)&gt;0,VLOOKUP(U87,Hraci!$A$1:$I$1500,5,0),IF(TYPE(INDIRECT(ADDRESS(ROW() + $A$9-7 + (ROW()-11)*4,3,1,1,"Internet")))&gt;1,INDIRECT(ADDRESS(ROW() + $A$9-7 + (ROW()-11)*4,3,1,1,"Internet"))," "))</f>
        <v xml:space="preserve"> </v>
      </c>
      <c r="Y87" s="319">
        <f ca="1">IF(N(U87)=0,9999,VLOOKUP(U87,Hraci!$A$1:$I$1500,8,0))</f>
        <v>9999</v>
      </c>
      <c r="Z87" s="386">
        <f ca="1">IF(N(U87)=0,0,VLOOKUP(U87,Hraci!$A$1:$I$1500,9,0))</f>
        <v>0</v>
      </c>
      <c r="AA87" s="383" t="str">
        <f t="shared" ca="1" si="31"/>
        <v/>
      </c>
      <c r="AB87" s="384" t="str">
        <f ca="1">IF(N(AA87)&gt;0,VLOOKUP(AA87,Hraci!$A$1:$I$1500,2,0)," ")</f>
        <v xml:space="preserve"> </v>
      </c>
      <c r="AC87" s="385" t="str">
        <f ca="1">IF(N(AA87)&gt;0,VLOOKUP(AA87,Hraci!$A$1:$I$1500,3,0)," ")</f>
        <v xml:space="preserve"> </v>
      </c>
      <c r="AD87" s="385" t="str">
        <f ca="1">IF(N(AA87)&gt;0,VLOOKUP(AA87,Hraci!$A$1:$I$1500,5,0)," ")</f>
        <v xml:space="preserve"> </v>
      </c>
      <c r="AE87" s="319">
        <f ca="1">IF(N(AA87)=0,9999,VLOOKUP(AA87,Hraci!$A$1:$I$1500,8,0))</f>
        <v>9999</v>
      </c>
      <c r="AF87" s="386">
        <f ca="1">IF(N(AA87)=0,0,VLOOKUP(AA87,Hraci!$A$1:$I$1500,9,0))</f>
        <v>0</v>
      </c>
      <c r="AG87" s="391"/>
      <c r="AH87" s="427">
        <f ca="1">IF(TYPE(VLOOKUP(H87,Centrum!$A$3:$E$130,5,0))&lt;4,VLOOKUP(H87,Centrum!$A$3:$E$130,5,0),0)</f>
        <v>0</v>
      </c>
      <c r="AI87" s="387" t="str">
        <f ca="1">IF(N($AH87)&gt;0,VLOOKUP($AH87,Body!$A$4:$F$259,5,0),"")</f>
        <v/>
      </c>
      <c r="AJ87" s="388" t="str">
        <f ca="1">IF(N($AH87)&gt;0,VLOOKUP($AH87,Body!$A$4:$F$259,6,0),"")</f>
        <v/>
      </c>
      <c r="AK87" s="387" t="str">
        <f ca="1">IF(N($AH87)&gt;0,VLOOKUP($AH87,Body!$A$4:$F$259,2,0),"")</f>
        <v/>
      </c>
      <c r="AL87" s="389" t="str">
        <f t="shared" ca="1" si="32"/>
        <v/>
      </c>
      <c r="AM87" s="390">
        <f t="shared" ca="1" si="33"/>
        <v>0</v>
      </c>
      <c r="AN87" s="319">
        <f ca="1">IF(OR(TYPE(I87)&gt;1,TYPE(MATCH(I87,I88:I$139,0))&gt;1),0,MATCH(I87,I88:I$139,0))+IF(OR(TYPE(I87)&gt;1,TYPE(MATCH(I87,O$11:O$139,0))&gt;1),0,MATCH(I87,O$11:O$139,0))+IF(OR(TYPE(I87)&gt;1,TYPE(MATCH(I87,U$11:U$139,0))&gt;1),0,MATCH(I87,U$11:U$139,0))+IF(OR(TYPE(I87)&gt;1,TYPE(MATCH(I87,AA$11:AA$139,0))&gt;1),0,MATCH(I87,AA$11:AA$139,0))</f>
        <v>0</v>
      </c>
      <c r="AO87" s="319">
        <f ca="1">IF(OR(TYPE(O87)&gt;1,TYPE(MATCH(O87,I$11:I$139,0))&gt;1),0,MATCH(O87,I$11:I$139,0))+IF(OR(TYPE(O87)&gt;1,TYPE(MATCH(O87,O88:O$139,0))&gt;1),0,MATCH(O87,O88:O$139,0))+IF(OR(TYPE(O87)&gt;1,TYPE(MATCH(O87,U$11:U$139,0))&gt;1),0,MATCH(O87,U$11:U$139,0))+IF(OR(TYPE(O87)&gt;1,TYPE(MATCH(O87,AA$11:AA$139,0))&gt;1),0,MATCH(O87,AA$11:AA$139,0))</f>
        <v>0</v>
      </c>
      <c r="AP87" s="319">
        <f ca="1">IF(OR(TYPE(U87)&gt;1,TYPE(MATCH(U87,I$11:I$139,0))&gt;1),0,MATCH(U87,I$11:I$139,0))+IF(OR(TYPE(U87)&gt;1,TYPE(MATCH(U87,O$11:O$139,0))&gt;1),0,MATCH(U87,O$11:O$139,0))+IF(OR(TYPE(U87)&gt;1,TYPE(MATCH(U87,U88:U$139,0))&gt;1),0,MATCH(U87,U88:U$139,0))+IF(OR(TYPE(U87)&gt;1,TYPE(MATCH(U87,AA$11:AA$139,0))&gt;1),0,MATCH(U87,AA$11:AA$139,0))</f>
        <v>0</v>
      </c>
      <c r="AQ87" s="319">
        <f ca="1">IF(OR(TYPE(AA87)&gt;1,TYPE(MATCH(AA87,I$11:I$139,0))&gt;1),0,MATCH(AA87,I$11:I$139,0))+IF(OR(TYPE(AA87)&gt;1,TYPE(MATCH(AA87,O$11:O$139,0))&gt;1),0,MATCH(AA87,O$11:O$139,0))+IF(OR(TYPE(AA87)&gt;1,TYPE(MATCH(AA87,U$11:U$139,0))&gt;1),0,MATCH(U87,U$11:U$139,0))+IF(OR(TYPE(AA87)&gt;1,TYPE(MATCH(AA87,AA88:AA$139,0))&gt;1),0,MATCH(AA87,AA88:AA$139,0))</f>
        <v>0</v>
      </c>
      <c r="AR87" s="319">
        <f t="shared" ca="1" si="36"/>
        <v>0</v>
      </c>
      <c r="AT87" s="318">
        <f t="shared" ca="1" si="34"/>
        <v>0</v>
      </c>
      <c r="AU87" s="318">
        <f ca="1">IF(AND(N(I87)&gt;0,TYPE(VLOOKUP(I87,Hraci!$A$5:$A$800,1,0))&gt;3),1,0) + IF(AND(N(O87)&gt;0,TYPE(VLOOKUP(O87,Hraci!$A$5:$A$800,1,0))&gt;3),1,0) + IF(AND(N(U87)&gt;0,TYPE(VLOOKUP(U87,Hraci!$A$5:$A$800,1,0))&gt;3),1,0)</f>
        <v>0</v>
      </c>
      <c r="BF87" s="319">
        <f t="shared" si="35"/>
        <v>77</v>
      </c>
    </row>
    <row r="88" spans="1:58" ht="12.9" x14ac:dyDescent="0.45">
      <c r="A88" s="302">
        <f t="shared" ca="1" si="20"/>
        <v>0</v>
      </c>
      <c r="B88" s="302">
        <f t="shared" ca="1" si="21"/>
        <v>0</v>
      </c>
      <c r="C88" s="302">
        <f t="shared" ca="1" si="22"/>
        <v>0</v>
      </c>
      <c r="D88" s="302">
        <f t="shared" ca="1" si="23"/>
        <v>99999</v>
      </c>
      <c r="E88" s="302">
        <f t="shared" ca="1" si="24"/>
        <v>9999</v>
      </c>
      <c r="F88" s="343" t="str">
        <f t="shared" ca="1" si="25"/>
        <v>00000000000000000000476034</v>
      </c>
      <c r="G88" s="381" t="b">
        <f t="shared" ca="1" si="26"/>
        <v>1</v>
      </c>
      <c r="H88" s="382">
        <f t="shared" si="27"/>
        <v>78</v>
      </c>
      <c r="I88" s="383" t="str">
        <f t="shared" ca="1" si="28"/>
        <v/>
      </c>
      <c r="J88" s="384" t="str">
        <f ca="1">IF(N(I88)&gt;0,VLOOKUP(I88,Hraci!$A$1:$I$1500,2,0),IF(TYPE(INDIRECT(ADDRESS(ROW() + $A$9-9 + (ROW()-11)*4,2,1,1,"Internet")))&gt;1,INDIRECT(ADDRESS(ROW() + $A$9-9 + (ROW()-11)*4,2,1,1,"Internet"))," "))</f>
        <v xml:space="preserve"> </v>
      </c>
      <c r="K88" s="385" t="str">
        <f ca="1">IF(N(I88)&gt;0,VLOOKUP(I88,Hraci!$A$1:$I$1500,3,0)," ")</f>
        <v xml:space="preserve"> </v>
      </c>
      <c r="L88" s="385" t="str">
        <f ca="1">IF(N(I88)&gt;0,VLOOKUP(I88,Hraci!$A$1:$I$1500,5,0),IF(TYPE(INDIRECT(ADDRESS(ROW() + $A$9-9 + (ROW()-11)*4,3,1,1,"Internet")))&gt;1,INDIRECT(ADDRESS(ROW() + $A$9-9 + (ROW()-11)*4,3,1,1,"Internet"))," "))</f>
        <v xml:space="preserve"> </v>
      </c>
      <c r="M88" s="319">
        <f ca="1">IF(N(I88)=0,9999,VLOOKUP(I88,Hraci!$A$1:$I$1500,8,0))</f>
        <v>9999</v>
      </c>
      <c r="N88" s="386">
        <f ca="1">IF(N(I88)=0,0,VLOOKUP(I88,Hraci!$A$1:$I$1500,9,0))</f>
        <v>0</v>
      </c>
      <c r="O88" s="383" t="str">
        <f t="shared" ca="1" si="29"/>
        <v/>
      </c>
      <c r="P88" s="384" t="str">
        <f ca="1">IF(N(O88)&gt;0,VLOOKUP(O88,Hraci!$A$1:$I$1500,2,0),IF(TYPE(INDIRECT(ADDRESS(ROW() + $A$9-8 + (ROW()-11)*4,2,1,1,"Internet")))&gt;1,INDIRECT(ADDRESS(ROW() + $A$9-8 + (ROW()-11)*4,2,1,1,"Internet"))," "))</f>
        <v xml:space="preserve"> </v>
      </c>
      <c r="Q88" s="385" t="str">
        <f ca="1">IF(N(O88)&gt;0,VLOOKUP(O88,Hraci!$A$1:$I$1500,3,0)," ")</f>
        <v xml:space="preserve"> </v>
      </c>
      <c r="R88" s="385" t="str">
        <f ca="1">IF(N(O88)&gt;0,VLOOKUP(O88,Hraci!$A$1:$I$1500,5,0),IF(TYPE(INDIRECT(ADDRESS(ROW() + $A$9-8 + (ROW()-11)*4,3,1,1,"Internet")))&gt;1,INDIRECT(ADDRESS(ROW() + $A$9-8 + (ROW()-11)*4,3,1,1,"Internet"))," "))</f>
        <v xml:space="preserve"> </v>
      </c>
      <c r="S88" s="319">
        <f ca="1">IF(N(O88)=0,9999,VLOOKUP(O88,Hraci!$A$1:$I$1500,8,0))</f>
        <v>9999</v>
      </c>
      <c r="T88" s="386">
        <f ca="1">IF(N(O88)=0,0,VLOOKUP(O88,Hraci!$A$1:$I$1500,9,0))</f>
        <v>0</v>
      </c>
      <c r="U88" s="383" t="str">
        <f t="shared" ca="1" si="30"/>
        <v/>
      </c>
      <c r="V88" s="384" t="str">
        <f ca="1">IF(N(U88)&gt;0,VLOOKUP(U88,Hraci!$A$1:$I$1500,2,0),IF(TYPE(INDIRECT(ADDRESS(ROW() + $A$9-7 + (ROW()-11)*4,2,1,1,"Internet")))&gt;1,INDIRECT(ADDRESS(ROW() + $A$9-7 + (ROW()-11)*4,2,1,1,"Internet"))," "))</f>
        <v xml:space="preserve"> </v>
      </c>
      <c r="W88" s="385" t="str">
        <f ca="1">IF(N(U88)&gt;0,VLOOKUP(U88,Hraci!$A$1:$I$1500,3,0)," ")</f>
        <v xml:space="preserve"> </v>
      </c>
      <c r="X88" s="385" t="str">
        <f ca="1">IF(N(U88)&gt;0,VLOOKUP(U88,Hraci!$A$1:$I$1500,5,0),IF(TYPE(INDIRECT(ADDRESS(ROW() + $A$9-7 + (ROW()-11)*4,3,1,1,"Internet")))&gt;1,INDIRECT(ADDRESS(ROW() + $A$9-7 + (ROW()-11)*4,3,1,1,"Internet"))," "))</f>
        <v xml:space="preserve"> </v>
      </c>
      <c r="Y88" s="319">
        <f ca="1">IF(N(U88)=0,9999,VLOOKUP(U88,Hraci!$A$1:$I$1500,8,0))</f>
        <v>9999</v>
      </c>
      <c r="Z88" s="386">
        <f ca="1">IF(N(U88)=0,0,VLOOKUP(U88,Hraci!$A$1:$I$1500,9,0))</f>
        <v>0</v>
      </c>
      <c r="AA88" s="383" t="str">
        <f t="shared" ca="1" si="31"/>
        <v/>
      </c>
      <c r="AB88" s="384" t="str">
        <f ca="1">IF(N(AA88)&gt;0,VLOOKUP(AA88,Hraci!$A$1:$I$1500,2,0)," ")</f>
        <v xml:space="preserve"> </v>
      </c>
      <c r="AC88" s="385" t="str">
        <f ca="1">IF(N(AA88)&gt;0,VLOOKUP(AA88,Hraci!$A$1:$I$1500,3,0)," ")</f>
        <v xml:space="preserve"> </v>
      </c>
      <c r="AD88" s="385" t="str">
        <f ca="1">IF(N(AA88)&gt;0,VLOOKUP(AA88,Hraci!$A$1:$I$1500,5,0)," ")</f>
        <v xml:space="preserve"> </v>
      </c>
      <c r="AE88" s="319">
        <f ca="1">IF(N(AA88)=0,9999,VLOOKUP(AA88,Hraci!$A$1:$I$1500,8,0))</f>
        <v>9999</v>
      </c>
      <c r="AF88" s="386">
        <f ca="1">IF(N(AA88)=0,0,VLOOKUP(AA88,Hraci!$A$1:$I$1500,9,0))</f>
        <v>0</v>
      </c>
      <c r="AG88" s="391"/>
      <c r="AH88" s="427">
        <f ca="1">IF(TYPE(VLOOKUP(H88,Centrum!$A$3:$E$130,5,0))&lt;4,VLOOKUP(H88,Centrum!$A$3:$E$130,5,0),0)</f>
        <v>0</v>
      </c>
      <c r="AI88" s="387" t="str">
        <f ca="1">IF(N($AH88)&gt;0,VLOOKUP($AH88,Body!$A$4:$F$259,5,0),"")</f>
        <v/>
      </c>
      <c r="AJ88" s="388" t="str">
        <f ca="1">IF(N($AH88)&gt;0,VLOOKUP($AH88,Body!$A$4:$F$259,6,0),"")</f>
        <v/>
      </c>
      <c r="AK88" s="387" t="str">
        <f ca="1">IF(N($AH88)&gt;0,VLOOKUP($AH88,Body!$A$4:$F$259,2,0),"")</f>
        <v/>
      </c>
      <c r="AL88" s="389" t="str">
        <f t="shared" ca="1" si="32"/>
        <v/>
      </c>
      <c r="AM88" s="390">
        <f t="shared" ca="1" si="33"/>
        <v>0</v>
      </c>
      <c r="AN88" s="319">
        <f ca="1">IF(OR(TYPE(I88)&gt;1,TYPE(MATCH(I88,I89:I$139,0))&gt;1),0,MATCH(I88,I89:I$139,0))+IF(OR(TYPE(I88)&gt;1,TYPE(MATCH(I88,O$11:O$139,0))&gt;1),0,MATCH(I88,O$11:O$139,0))+IF(OR(TYPE(I88)&gt;1,TYPE(MATCH(I88,U$11:U$139,0))&gt;1),0,MATCH(I88,U$11:U$139,0))+IF(OR(TYPE(I88)&gt;1,TYPE(MATCH(I88,AA$11:AA$139,0))&gt;1),0,MATCH(I88,AA$11:AA$139,0))</f>
        <v>0</v>
      </c>
      <c r="AO88" s="319">
        <f ca="1">IF(OR(TYPE(O88)&gt;1,TYPE(MATCH(O88,I$11:I$139,0))&gt;1),0,MATCH(O88,I$11:I$139,0))+IF(OR(TYPE(O88)&gt;1,TYPE(MATCH(O88,O89:O$139,0))&gt;1),0,MATCH(O88,O89:O$139,0))+IF(OR(TYPE(O88)&gt;1,TYPE(MATCH(O88,U$11:U$139,0))&gt;1),0,MATCH(O88,U$11:U$139,0))+IF(OR(TYPE(O88)&gt;1,TYPE(MATCH(O88,AA$11:AA$139,0))&gt;1),0,MATCH(O88,AA$11:AA$139,0))</f>
        <v>0</v>
      </c>
      <c r="AP88" s="319">
        <f ca="1">IF(OR(TYPE(U88)&gt;1,TYPE(MATCH(U88,I$11:I$139,0))&gt;1),0,MATCH(U88,I$11:I$139,0))+IF(OR(TYPE(U88)&gt;1,TYPE(MATCH(U88,O$11:O$139,0))&gt;1),0,MATCH(U88,O$11:O$139,0))+IF(OR(TYPE(U88)&gt;1,TYPE(MATCH(U88,U89:U$139,0))&gt;1),0,MATCH(U88,U89:U$139,0))+IF(OR(TYPE(U88)&gt;1,TYPE(MATCH(U88,AA$11:AA$139,0))&gt;1),0,MATCH(U88,AA$11:AA$139,0))</f>
        <v>0</v>
      </c>
      <c r="AQ88" s="319">
        <f ca="1">IF(OR(TYPE(AA88)&gt;1,TYPE(MATCH(AA88,I$11:I$139,0))&gt;1),0,MATCH(AA88,I$11:I$139,0))+IF(OR(TYPE(AA88)&gt;1,TYPE(MATCH(AA88,O$11:O$139,0))&gt;1),0,MATCH(AA88,O$11:O$139,0))+IF(OR(TYPE(AA88)&gt;1,TYPE(MATCH(AA88,U$11:U$139,0))&gt;1),0,MATCH(U88,U$11:U$139,0))+IF(OR(TYPE(AA88)&gt;1,TYPE(MATCH(AA88,AA89:AA$139,0))&gt;1),0,MATCH(AA88,AA89:AA$139,0))</f>
        <v>0</v>
      </c>
      <c r="AR88" s="319">
        <f t="shared" ca="1" si="36"/>
        <v>0</v>
      </c>
      <c r="AT88" s="318">
        <f t="shared" ca="1" si="34"/>
        <v>0</v>
      </c>
      <c r="AU88" s="318">
        <f ca="1">IF(AND(N(I88)&gt;0,TYPE(VLOOKUP(I88,Hraci!$A$5:$A$800,1,0))&gt;3),1,0) + IF(AND(N(O88)&gt;0,TYPE(VLOOKUP(O88,Hraci!$A$5:$A$800,1,0))&gt;3),1,0) + IF(AND(N(U88)&gt;0,TYPE(VLOOKUP(U88,Hraci!$A$5:$A$800,1,0))&gt;3),1,0)</f>
        <v>0</v>
      </c>
      <c r="BF88" s="319">
        <f t="shared" si="35"/>
        <v>78</v>
      </c>
    </row>
    <row r="89" spans="1:58" ht="12.9" x14ac:dyDescent="0.45">
      <c r="A89" s="302">
        <f t="shared" ca="1" si="20"/>
        <v>0</v>
      </c>
      <c r="B89" s="302">
        <f t="shared" ca="1" si="21"/>
        <v>0</v>
      </c>
      <c r="C89" s="302">
        <f t="shared" ca="1" si="22"/>
        <v>0</v>
      </c>
      <c r="D89" s="302">
        <f t="shared" ca="1" si="23"/>
        <v>99999</v>
      </c>
      <c r="E89" s="302">
        <f t="shared" ca="1" si="24"/>
        <v>9999</v>
      </c>
      <c r="F89" s="343" t="str">
        <f t="shared" ca="1" si="25"/>
        <v>00000000000000000000426192</v>
      </c>
      <c r="G89" s="381" t="b">
        <f t="shared" ca="1" si="26"/>
        <v>1</v>
      </c>
      <c r="H89" s="382">
        <f t="shared" si="27"/>
        <v>79</v>
      </c>
      <c r="I89" s="383" t="str">
        <f t="shared" ca="1" si="28"/>
        <v/>
      </c>
      <c r="J89" s="384" t="str">
        <f ca="1">IF(N(I89)&gt;0,VLOOKUP(I89,Hraci!$A$1:$I$1500,2,0),IF(TYPE(INDIRECT(ADDRESS(ROW() + $A$9-9 + (ROW()-11)*4,2,1,1,"Internet")))&gt;1,INDIRECT(ADDRESS(ROW() + $A$9-9 + (ROW()-11)*4,2,1,1,"Internet"))," "))</f>
        <v xml:space="preserve"> </v>
      </c>
      <c r="K89" s="385" t="str">
        <f ca="1">IF(N(I89)&gt;0,VLOOKUP(I89,Hraci!$A$1:$I$1500,3,0)," ")</f>
        <v xml:space="preserve"> </v>
      </c>
      <c r="L89" s="385" t="str">
        <f ca="1">IF(N(I89)&gt;0,VLOOKUP(I89,Hraci!$A$1:$I$1500,5,0),IF(TYPE(INDIRECT(ADDRESS(ROW() + $A$9-9 + (ROW()-11)*4,3,1,1,"Internet")))&gt;1,INDIRECT(ADDRESS(ROW() + $A$9-9 + (ROW()-11)*4,3,1,1,"Internet"))," "))</f>
        <v xml:space="preserve"> </v>
      </c>
      <c r="M89" s="319">
        <f ca="1">IF(N(I89)=0,9999,VLOOKUP(I89,Hraci!$A$1:$I$1500,8,0))</f>
        <v>9999</v>
      </c>
      <c r="N89" s="386">
        <f ca="1">IF(N(I89)=0,0,VLOOKUP(I89,Hraci!$A$1:$I$1500,9,0))</f>
        <v>0</v>
      </c>
      <c r="O89" s="383" t="str">
        <f t="shared" ca="1" si="29"/>
        <v/>
      </c>
      <c r="P89" s="384" t="str">
        <f ca="1">IF(N(O89)&gt;0,VLOOKUP(O89,Hraci!$A$1:$I$1500,2,0),IF(TYPE(INDIRECT(ADDRESS(ROW() + $A$9-8 + (ROW()-11)*4,2,1,1,"Internet")))&gt;1,INDIRECT(ADDRESS(ROW() + $A$9-8 + (ROW()-11)*4,2,1,1,"Internet"))," "))</f>
        <v xml:space="preserve"> </v>
      </c>
      <c r="Q89" s="385" t="str">
        <f ca="1">IF(N(O89)&gt;0,VLOOKUP(O89,Hraci!$A$1:$I$1500,3,0)," ")</f>
        <v xml:space="preserve"> </v>
      </c>
      <c r="R89" s="385" t="str">
        <f ca="1">IF(N(O89)&gt;0,VLOOKUP(O89,Hraci!$A$1:$I$1500,5,0),IF(TYPE(INDIRECT(ADDRESS(ROW() + $A$9-8 + (ROW()-11)*4,3,1,1,"Internet")))&gt;1,INDIRECT(ADDRESS(ROW() + $A$9-8 + (ROW()-11)*4,3,1,1,"Internet"))," "))</f>
        <v xml:space="preserve"> </v>
      </c>
      <c r="S89" s="319">
        <f ca="1">IF(N(O89)=0,9999,VLOOKUP(O89,Hraci!$A$1:$I$1500,8,0))</f>
        <v>9999</v>
      </c>
      <c r="T89" s="386">
        <f ca="1">IF(N(O89)=0,0,VLOOKUP(O89,Hraci!$A$1:$I$1500,9,0))</f>
        <v>0</v>
      </c>
      <c r="U89" s="383" t="str">
        <f t="shared" ca="1" si="30"/>
        <v/>
      </c>
      <c r="V89" s="384" t="str">
        <f ca="1">IF(N(U89)&gt;0,VLOOKUP(U89,Hraci!$A$1:$I$1500,2,0),IF(TYPE(INDIRECT(ADDRESS(ROW() + $A$9-7 + (ROW()-11)*4,2,1,1,"Internet")))&gt;1,INDIRECT(ADDRESS(ROW() + $A$9-7 + (ROW()-11)*4,2,1,1,"Internet"))," "))</f>
        <v xml:space="preserve"> </v>
      </c>
      <c r="W89" s="385" t="str">
        <f ca="1">IF(N(U89)&gt;0,VLOOKUP(U89,Hraci!$A$1:$I$1500,3,0)," ")</f>
        <v xml:space="preserve"> </v>
      </c>
      <c r="X89" s="385" t="str">
        <f ca="1">IF(N(U89)&gt;0,VLOOKUP(U89,Hraci!$A$1:$I$1500,5,0),IF(TYPE(INDIRECT(ADDRESS(ROW() + $A$9-7 + (ROW()-11)*4,3,1,1,"Internet")))&gt;1,INDIRECT(ADDRESS(ROW() + $A$9-7 + (ROW()-11)*4,3,1,1,"Internet"))," "))</f>
        <v xml:space="preserve"> </v>
      </c>
      <c r="Y89" s="319">
        <f ca="1">IF(N(U89)=0,9999,VLOOKUP(U89,Hraci!$A$1:$I$1500,8,0))</f>
        <v>9999</v>
      </c>
      <c r="Z89" s="386">
        <f ca="1">IF(N(U89)=0,0,VLOOKUP(U89,Hraci!$A$1:$I$1500,9,0))</f>
        <v>0</v>
      </c>
      <c r="AA89" s="383" t="str">
        <f t="shared" ca="1" si="31"/>
        <v/>
      </c>
      <c r="AB89" s="384" t="str">
        <f ca="1">IF(N(AA89)&gt;0,VLOOKUP(AA89,Hraci!$A$1:$I$1500,2,0)," ")</f>
        <v xml:space="preserve"> </v>
      </c>
      <c r="AC89" s="385" t="str">
        <f ca="1">IF(N(AA89)&gt;0,VLOOKUP(AA89,Hraci!$A$1:$I$1500,3,0)," ")</f>
        <v xml:space="preserve"> </v>
      </c>
      <c r="AD89" s="385" t="str">
        <f ca="1">IF(N(AA89)&gt;0,VLOOKUP(AA89,Hraci!$A$1:$I$1500,5,0)," ")</f>
        <v xml:space="preserve"> </v>
      </c>
      <c r="AE89" s="319">
        <f ca="1">IF(N(AA89)=0,9999,VLOOKUP(AA89,Hraci!$A$1:$I$1500,8,0))</f>
        <v>9999</v>
      </c>
      <c r="AF89" s="386">
        <f ca="1">IF(N(AA89)=0,0,VLOOKUP(AA89,Hraci!$A$1:$I$1500,9,0))</f>
        <v>0</v>
      </c>
      <c r="AG89" s="391"/>
      <c r="AH89" s="427">
        <f ca="1">IF(TYPE(VLOOKUP(H89,Centrum!$A$3:$E$130,5,0))&lt;4,VLOOKUP(H89,Centrum!$A$3:$E$130,5,0),0)</f>
        <v>0</v>
      </c>
      <c r="AI89" s="387" t="str">
        <f ca="1">IF(N($AH89)&gt;0,VLOOKUP($AH89,Body!$A$4:$F$259,5,0),"")</f>
        <v/>
      </c>
      <c r="AJ89" s="388" t="str">
        <f ca="1">IF(N($AH89)&gt;0,VLOOKUP($AH89,Body!$A$4:$F$259,6,0),"")</f>
        <v/>
      </c>
      <c r="AK89" s="387" t="str">
        <f ca="1">IF(N($AH89)&gt;0,VLOOKUP($AH89,Body!$A$4:$F$259,2,0),"")</f>
        <v/>
      </c>
      <c r="AL89" s="389" t="str">
        <f t="shared" ca="1" si="32"/>
        <v/>
      </c>
      <c r="AM89" s="390">
        <f t="shared" ca="1" si="33"/>
        <v>0</v>
      </c>
      <c r="AN89" s="319">
        <f ca="1">IF(OR(TYPE(I89)&gt;1,TYPE(MATCH(I89,I90:I$139,0))&gt;1),0,MATCH(I89,I90:I$139,0))+IF(OR(TYPE(I89)&gt;1,TYPE(MATCH(I89,O$11:O$139,0))&gt;1),0,MATCH(I89,O$11:O$139,0))+IF(OR(TYPE(I89)&gt;1,TYPE(MATCH(I89,U$11:U$139,0))&gt;1),0,MATCH(I89,U$11:U$139,0))+IF(OR(TYPE(I89)&gt;1,TYPE(MATCH(I89,AA$11:AA$139,0))&gt;1),0,MATCH(I89,AA$11:AA$139,0))</f>
        <v>0</v>
      </c>
      <c r="AO89" s="319">
        <f ca="1">IF(OR(TYPE(O89)&gt;1,TYPE(MATCH(O89,I$11:I$139,0))&gt;1),0,MATCH(O89,I$11:I$139,0))+IF(OR(TYPE(O89)&gt;1,TYPE(MATCH(O89,O90:O$139,0))&gt;1),0,MATCH(O89,O90:O$139,0))+IF(OR(TYPE(O89)&gt;1,TYPE(MATCH(O89,U$11:U$139,0))&gt;1),0,MATCH(O89,U$11:U$139,0))+IF(OR(TYPE(O89)&gt;1,TYPE(MATCH(O89,AA$11:AA$139,0))&gt;1),0,MATCH(O89,AA$11:AA$139,0))</f>
        <v>0</v>
      </c>
      <c r="AP89" s="319">
        <f ca="1">IF(OR(TYPE(U89)&gt;1,TYPE(MATCH(U89,I$11:I$139,0))&gt;1),0,MATCH(U89,I$11:I$139,0))+IF(OR(TYPE(U89)&gt;1,TYPE(MATCH(U89,O$11:O$139,0))&gt;1),0,MATCH(U89,O$11:O$139,0))+IF(OR(TYPE(U89)&gt;1,TYPE(MATCH(U89,U90:U$139,0))&gt;1),0,MATCH(U89,U90:U$139,0))+IF(OR(TYPE(U89)&gt;1,TYPE(MATCH(U89,AA$11:AA$139,0))&gt;1),0,MATCH(U89,AA$11:AA$139,0))</f>
        <v>0</v>
      </c>
      <c r="AQ89" s="319">
        <f ca="1">IF(OR(TYPE(AA89)&gt;1,TYPE(MATCH(AA89,I$11:I$139,0))&gt;1),0,MATCH(AA89,I$11:I$139,0))+IF(OR(TYPE(AA89)&gt;1,TYPE(MATCH(AA89,O$11:O$139,0))&gt;1),0,MATCH(AA89,O$11:O$139,0))+IF(OR(TYPE(AA89)&gt;1,TYPE(MATCH(AA89,U$11:U$139,0))&gt;1),0,MATCH(U89,U$11:U$139,0))+IF(OR(TYPE(AA89)&gt;1,TYPE(MATCH(AA89,AA90:AA$139,0))&gt;1),0,MATCH(AA89,AA90:AA$139,0))</f>
        <v>0</v>
      </c>
      <c r="AR89" s="319">
        <f t="shared" ca="1" si="36"/>
        <v>0</v>
      </c>
      <c r="AT89" s="318">
        <f t="shared" ca="1" si="34"/>
        <v>0</v>
      </c>
      <c r="AU89" s="318">
        <f ca="1">IF(AND(N(I89)&gt;0,TYPE(VLOOKUP(I89,Hraci!$A$5:$A$800,1,0))&gt;3),1,0) + IF(AND(N(O89)&gt;0,TYPE(VLOOKUP(O89,Hraci!$A$5:$A$800,1,0))&gt;3),1,0) + IF(AND(N(U89)&gt;0,TYPE(VLOOKUP(U89,Hraci!$A$5:$A$800,1,0))&gt;3),1,0)</f>
        <v>0</v>
      </c>
      <c r="BF89" s="319">
        <f t="shared" si="35"/>
        <v>79</v>
      </c>
    </row>
    <row r="90" spans="1:58" ht="12.9" x14ac:dyDescent="0.45">
      <c r="A90" s="302">
        <f t="shared" ca="1" si="20"/>
        <v>0</v>
      </c>
      <c r="B90" s="302">
        <f t="shared" ca="1" si="21"/>
        <v>0</v>
      </c>
      <c r="C90" s="302">
        <f t="shared" ca="1" si="22"/>
        <v>0</v>
      </c>
      <c r="D90" s="302">
        <f t="shared" ca="1" si="23"/>
        <v>99999</v>
      </c>
      <c r="E90" s="302">
        <f t="shared" ca="1" si="24"/>
        <v>9999</v>
      </c>
      <c r="F90" s="343" t="str">
        <f t="shared" ca="1" si="25"/>
        <v>00000000000000000000873300</v>
      </c>
      <c r="G90" s="381" t="b">
        <f t="shared" ca="1" si="26"/>
        <v>1</v>
      </c>
      <c r="H90" s="382">
        <f t="shared" si="27"/>
        <v>80</v>
      </c>
      <c r="I90" s="383" t="str">
        <f t="shared" ca="1" si="28"/>
        <v/>
      </c>
      <c r="J90" s="384" t="str">
        <f ca="1">IF(N(I90)&gt;0,VLOOKUP(I90,Hraci!$A$1:$I$1500,2,0),IF(TYPE(INDIRECT(ADDRESS(ROW() + $A$9-9 + (ROW()-11)*4,2,1,1,"Internet")))&gt;1,INDIRECT(ADDRESS(ROW() + $A$9-9 + (ROW()-11)*4,2,1,1,"Internet"))," "))</f>
        <v xml:space="preserve"> </v>
      </c>
      <c r="K90" s="385" t="str">
        <f ca="1">IF(N(I90)&gt;0,VLOOKUP(I90,Hraci!$A$1:$I$1500,3,0)," ")</f>
        <v xml:space="preserve"> </v>
      </c>
      <c r="L90" s="385" t="str">
        <f ca="1">IF(N(I90)&gt;0,VLOOKUP(I90,Hraci!$A$1:$I$1500,5,0),IF(TYPE(INDIRECT(ADDRESS(ROW() + $A$9-9 + (ROW()-11)*4,3,1,1,"Internet")))&gt;1,INDIRECT(ADDRESS(ROW() + $A$9-9 + (ROW()-11)*4,3,1,1,"Internet"))," "))</f>
        <v xml:space="preserve"> </v>
      </c>
      <c r="M90" s="319">
        <f ca="1">IF(N(I90)=0,9999,VLOOKUP(I90,Hraci!$A$1:$I$1500,8,0))</f>
        <v>9999</v>
      </c>
      <c r="N90" s="386">
        <f ca="1">IF(N(I90)=0,0,VLOOKUP(I90,Hraci!$A$1:$I$1500,9,0))</f>
        <v>0</v>
      </c>
      <c r="O90" s="383" t="str">
        <f t="shared" ca="1" si="29"/>
        <v/>
      </c>
      <c r="P90" s="384" t="str">
        <f ca="1">IF(N(O90)&gt;0,VLOOKUP(O90,Hraci!$A$1:$I$1500,2,0),IF(TYPE(INDIRECT(ADDRESS(ROW() + $A$9-8 + (ROW()-11)*4,2,1,1,"Internet")))&gt;1,INDIRECT(ADDRESS(ROW() + $A$9-8 + (ROW()-11)*4,2,1,1,"Internet"))," "))</f>
        <v xml:space="preserve"> </v>
      </c>
      <c r="Q90" s="385" t="str">
        <f ca="1">IF(N(O90)&gt;0,VLOOKUP(O90,Hraci!$A$1:$I$1500,3,0)," ")</f>
        <v xml:space="preserve"> </v>
      </c>
      <c r="R90" s="385" t="str">
        <f ca="1">IF(N(O90)&gt;0,VLOOKUP(O90,Hraci!$A$1:$I$1500,5,0),IF(TYPE(INDIRECT(ADDRESS(ROW() + $A$9-8 + (ROW()-11)*4,3,1,1,"Internet")))&gt;1,INDIRECT(ADDRESS(ROW() + $A$9-8 + (ROW()-11)*4,3,1,1,"Internet"))," "))</f>
        <v xml:space="preserve"> </v>
      </c>
      <c r="S90" s="319">
        <f ca="1">IF(N(O90)=0,9999,VLOOKUP(O90,Hraci!$A$1:$I$1500,8,0))</f>
        <v>9999</v>
      </c>
      <c r="T90" s="386">
        <f ca="1">IF(N(O90)=0,0,VLOOKUP(O90,Hraci!$A$1:$I$1500,9,0))</f>
        <v>0</v>
      </c>
      <c r="U90" s="383" t="str">
        <f t="shared" ca="1" si="30"/>
        <v/>
      </c>
      <c r="V90" s="384" t="str">
        <f ca="1">IF(N(U90)&gt;0,VLOOKUP(U90,Hraci!$A$1:$I$1500,2,0),IF(TYPE(INDIRECT(ADDRESS(ROW() + $A$9-7 + (ROW()-11)*4,2,1,1,"Internet")))&gt;1,INDIRECT(ADDRESS(ROW() + $A$9-7 + (ROW()-11)*4,2,1,1,"Internet"))," "))</f>
        <v xml:space="preserve"> </v>
      </c>
      <c r="W90" s="385" t="str">
        <f ca="1">IF(N(U90)&gt;0,VLOOKUP(U90,Hraci!$A$1:$I$1500,3,0)," ")</f>
        <v xml:space="preserve"> </v>
      </c>
      <c r="X90" s="385" t="str">
        <f ca="1">IF(N(U90)&gt;0,VLOOKUP(U90,Hraci!$A$1:$I$1500,5,0),IF(TYPE(INDIRECT(ADDRESS(ROW() + $A$9-7 + (ROW()-11)*4,3,1,1,"Internet")))&gt;1,INDIRECT(ADDRESS(ROW() + $A$9-7 + (ROW()-11)*4,3,1,1,"Internet"))," "))</f>
        <v xml:space="preserve"> </v>
      </c>
      <c r="Y90" s="319">
        <f ca="1">IF(N(U90)=0,9999,VLOOKUP(U90,Hraci!$A$1:$I$1500,8,0))</f>
        <v>9999</v>
      </c>
      <c r="Z90" s="386">
        <f ca="1">IF(N(U90)=0,0,VLOOKUP(U90,Hraci!$A$1:$I$1500,9,0))</f>
        <v>0</v>
      </c>
      <c r="AA90" s="383" t="str">
        <f t="shared" ca="1" si="31"/>
        <v/>
      </c>
      <c r="AB90" s="384" t="str">
        <f ca="1">IF(N(AA90)&gt;0,VLOOKUP(AA90,Hraci!$A$1:$I$1500,2,0)," ")</f>
        <v xml:space="preserve"> </v>
      </c>
      <c r="AC90" s="385" t="str">
        <f ca="1">IF(N(AA90)&gt;0,VLOOKUP(AA90,Hraci!$A$1:$I$1500,3,0)," ")</f>
        <v xml:space="preserve"> </v>
      </c>
      <c r="AD90" s="385" t="str">
        <f ca="1">IF(N(AA90)&gt;0,VLOOKUP(AA90,Hraci!$A$1:$I$1500,5,0)," ")</f>
        <v xml:space="preserve"> </v>
      </c>
      <c r="AE90" s="319">
        <f ca="1">IF(N(AA90)=0,9999,VLOOKUP(AA90,Hraci!$A$1:$I$1500,8,0))</f>
        <v>9999</v>
      </c>
      <c r="AF90" s="386">
        <f ca="1">IF(N(AA90)=0,0,VLOOKUP(AA90,Hraci!$A$1:$I$1500,9,0))</f>
        <v>0</v>
      </c>
      <c r="AG90" s="391"/>
      <c r="AH90" s="427">
        <f ca="1">IF(TYPE(VLOOKUP(H90,Centrum!$A$3:$E$130,5,0))&lt;4,VLOOKUP(H90,Centrum!$A$3:$E$130,5,0),0)</f>
        <v>0</v>
      </c>
      <c r="AI90" s="387" t="str">
        <f ca="1">IF(N($AH90)&gt;0,VLOOKUP($AH90,Body!$A$4:$F$259,5,0),"")</f>
        <v/>
      </c>
      <c r="AJ90" s="388" t="str">
        <f ca="1">IF(N($AH90)&gt;0,VLOOKUP($AH90,Body!$A$4:$F$259,6,0),"")</f>
        <v/>
      </c>
      <c r="AK90" s="387" t="str">
        <f ca="1">IF(N($AH90)&gt;0,VLOOKUP($AH90,Body!$A$4:$F$259,2,0),"")</f>
        <v/>
      </c>
      <c r="AL90" s="389" t="str">
        <f t="shared" ca="1" si="32"/>
        <v/>
      </c>
      <c r="AM90" s="390">
        <f t="shared" ca="1" si="33"/>
        <v>0</v>
      </c>
      <c r="AN90" s="319">
        <f ca="1">IF(OR(TYPE(I90)&gt;1,TYPE(MATCH(I90,I91:I$139,0))&gt;1),0,MATCH(I90,I91:I$139,0))+IF(OR(TYPE(I90)&gt;1,TYPE(MATCH(I90,O$11:O$139,0))&gt;1),0,MATCH(I90,O$11:O$139,0))+IF(OR(TYPE(I90)&gt;1,TYPE(MATCH(I90,U$11:U$139,0))&gt;1),0,MATCH(I90,U$11:U$139,0))+IF(OR(TYPE(I90)&gt;1,TYPE(MATCH(I90,AA$11:AA$139,0))&gt;1),0,MATCH(I90,AA$11:AA$139,0))</f>
        <v>0</v>
      </c>
      <c r="AO90" s="319">
        <f ca="1">IF(OR(TYPE(O90)&gt;1,TYPE(MATCH(O90,I$11:I$139,0))&gt;1),0,MATCH(O90,I$11:I$139,0))+IF(OR(TYPE(O90)&gt;1,TYPE(MATCH(O90,O91:O$139,0))&gt;1),0,MATCH(O90,O91:O$139,0))+IF(OR(TYPE(O90)&gt;1,TYPE(MATCH(O90,U$11:U$139,0))&gt;1),0,MATCH(O90,U$11:U$139,0))+IF(OR(TYPE(O90)&gt;1,TYPE(MATCH(O90,AA$11:AA$139,0))&gt;1),0,MATCH(O90,AA$11:AA$139,0))</f>
        <v>0</v>
      </c>
      <c r="AP90" s="319">
        <f ca="1">IF(OR(TYPE(U90)&gt;1,TYPE(MATCH(U90,I$11:I$139,0))&gt;1),0,MATCH(U90,I$11:I$139,0))+IF(OR(TYPE(U90)&gt;1,TYPE(MATCH(U90,O$11:O$139,0))&gt;1),0,MATCH(U90,O$11:O$139,0))+IF(OR(TYPE(U90)&gt;1,TYPE(MATCH(U90,U91:U$139,0))&gt;1),0,MATCH(U90,U91:U$139,0))+IF(OR(TYPE(U90)&gt;1,TYPE(MATCH(U90,AA$11:AA$139,0))&gt;1),0,MATCH(U90,AA$11:AA$139,0))</f>
        <v>0</v>
      </c>
      <c r="AQ90" s="319">
        <f ca="1">IF(OR(TYPE(AA90)&gt;1,TYPE(MATCH(AA90,I$11:I$139,0))&gt;1),0,MATCH(AA90,I$11:I$139,0))+IF(OR(TYPE(AA90)&gt;1,TYPE(MATCH(AA90,O$11:O$139,0))&gt;1),0,MATCH(AA90,O$11:O$139,0))+IF(OR(TYPE(AA90)&gt;1,TYPE(MATCH(AA90,U$11:U$139,0))&gt;1),0,MATCH(U90,U$11:U$139,0))+IF(OR(TYPE(AA90)&gt;1,TYPE(MATCH(AA90,AA91:AA$139,0))&gt;1),0,MATCH(AA90,AA91:AA$139,0))</f>
        <v>0</v>
      </c>
      <c r="AR90" s="319">
        <f t="shared" ca="1" si="36"/>
        <v>0</v>
      </c>
      <c r="AT90" s="318">
        <f t="shared" ca="1" si="34"/>
        <v>0</v>
      </c>
      <c r="AU90" s="318">
        <f ca="1">IF(AND(N(I90)&gt;0,TYPE(VLOOKUP(I90,Hraci!$A$5:$A$800,1,0))&gt;3),1,0) + IF(AND(N(O90)&gt;0,TYPE(VLOOKUP(O90,Hraci!$A$5:$A$800,1,0))&gt;3),1,0) + IF(AND(N(U90)&gt;0,TYPE(VLOOKUP(U90,Hraci!$A$5:$A$800,1,0))&gt;3),1,0)</f>
        <v>0</v>
      </c>
      <c r="BF90" s="319">
        <f t="shared" si="35"/>
        <v>80</v>
      </c>
    </row>
    <row r="91" spans="1:58" ht="12.9" x14ac:dyDescent="0.45">
      <c r="A91" s="302">
        <f t="shared" ca="1" si="20"/>
        <v>0</v>
      </c>
      <c r="B91" s="302">
        <f t="shared" ca="1" si="21"/>
        <v>0</v>
      </c>
      <c r="C91" s="302">
        <f t="shared" ca="1" si="22"/>
        <v>0</v>
      </c>
      <c r="D91" s="302">
        <f t="shared" ca="1" si="23"/>
        <v>99999</v>
      </c>
      <c r="E91" s="302">
        <f t="shared" ca="1" si="24"/>
        <v>9999</v>
      </c>
      <c r="F91" s="343" t="str">
        <f t="shared" ca="1" si="25"/>
        <v>00000000000000000000593035</v>
      </c>
      <c r="G91" s="381" t="b">
        <f t="shared" ca="1" si="26"/>
        <v>1</v>
      </c>
      <c r="H91" s="382">
        <f t="shared" si="27"/>
        <v>81</v>
      </c>
      <c r="I91" s="383" t="str">
        <f t="shared" ca="1" si="28"/>
        <v/>
      </c>
      <c r="J91" s="384" t="str">
        <f ca="1">IF(N(I91)&gt;0,VLOOKUP(I91,Hraci!$A$1:$I$1500,2,0),IF(TYPE(INDIRECT(ADDRESS(ROW() + $A$9-9 + (ROW()-11)*4,2,1,1,"Internet")))&gt;1,INDIRECT(ADDRESS(ROW() + $A$9-9 + (ROW()-11)*4,2,1,1,"Internet"))," "))</f>
        <v xml:space="preserve"> </v>
      </c>
      <c r="K91" s="385" t="str">
        <f ca="1">IF(N(I91)&gt;0,VLOOKUP(I91,Hraci!$A$1:$I$1500,3,0)," ")</f>
        <v xml:space="preserve"> </v>
      </c>
      <c r="L91" s="385" t="str">
        <f ca="1">IF(N(I91)&gt;0,VLOOKUP(I91,Hraci!$A$1:$I$1500,5,0),IF(TYPE(INDIRECT(ADDRESS(ROW() + $A$9-9 + (ROW()-11)*4,3,1,1,"Internet")))&gt;1,INDIRECT(ADDRESS(ROW() + $A$9-9 + (ROW()-11)*4,3,1,1,"Internet"))," "))</f>
        <v xml:space="preserve"> </v>
      </c>
      <c r="M91" s="319">
        <f ca="1">IF(N(I91)=0,9999,VLOOKUP(I91,Hraci!$A$1:$I$1500,8,0))</f>
        <v>9999</v>
      </c>
      <c r="N91" s="386">
        <f ca="1">IF(N(I91)=0,0,VLOOKUP(I91,Hraci!$A$1:$I$1500,9,0))</f>
        <v>0</v>
      </c>
      <c r="O91" s="383" t="str">
        <f t="shared" ca="1" si="29"/>
        <v/>
      </c>
      <c r="P91" s="384" t="str">
        <f ca="1">IF(N(O91)&gt;0,VLOOKUP(O91,Hraci!$A$1:$I$1500,2,0),IF(TYPE(INDIRECT(ADDRESS(ROW() + $A$9-8 + (ROW()-11)*4,2,1,1,"Internet")))&gt;1,INDIRECT(ADDRESS(ROW() + $A$9-8 + (ROW()-11)*4,2,1,1,"Internet"))," "))</f>
        <v xml:space="preserve"> </v>
      </c>
      <c r="Q91" s="385" t="str">
        <f ca="1">IF(N(O91)&gt;0,VLOOKUP(O91,Hraci!$A$1:$I$1500,3,0)," ")</f>
        <v xml:space="preserve"> </v>
      </c>
      <c r="R91" s="385" t="str">
        <f ca="1">IF(N(O91)&gt;0,VLOOKUP(O91,Hraci!$A$1:$I$1500,5,0),IF(TYPE(INDIRECT(ADDRESS(ROW() + $A$9-8 + (ROW()-11)*4,3,1,1,"Internet")))&gt;1,INDIRECT(ADDRESS(ROW() + $A$9-8 + (ROW()-11)*4,3,1,1,"Internet"))," "))</f>
        <v xml:space="preserve"> </v>
      </c>
      <c r="S91" s="319">
        <f ca="1">IF(N(O91)=0,9999,VLOOKUP(O91,Hraci!$A$1:$I$1500,8,0))</f>
        <v>9999</v>
      </c>
      <c r="T91" s="386">
        <f ca="1">IF(N(O91)=0,0,VLOOKUP(O91,Hraci!$A$1:$I$1500,9,0))</f>
        <v>0</v>
      </c>
      <c r="U91" s="383" t="str">
        <f t="shared" ca="1" si="30"/>
        <v/>
      </c>
      <c r="V91" s="384" t="str">
        <f ca="1">IF(N(U91)&gt;0,VLOOKUP(U91,Hraci!$A$1:$I$1500,2,0),IF(TYPE(INDIRECT(ADDRESS(ROW() + $A$9-7 + (ROW()-11)*4,2,1,1,"Internet")))&gt;1,INDIRECT(ADDRESS(ROW() + $A$9-7 + (ROW()-11)*4,2,1,1,"Internet"))," "))</f>
        <v xml:space="preserve"> </v>
      </c>
      <c r="W91" s="385" t="str">
        <f ca="1">IF(N(U91)&gt;0,VLOOKUP(U91,Hraci!$A$1:$I$1500,3,0)," ")</f>
        <v xml:space="preserve"> </v>
      </c>
      <c r="X91" s="385" t="str">
        <f ca="1">IF(N(U91)&gt;0,VLOOKUP(U91,Hraci!$A$1:$I$1500,5,0),IF(TYPE(INDIRECT(ADDRESS(ROW() + $A$9-7 + (ROW()-11)*4,3,1,1,"Internet")))&gt;1,INDIRECT(ADDRESS(ROW() + $A$9-7 + (ROW()-11)*4,3,1,1,"Internet"))," "))</f>
        <v xml:space="preserve"> </v>
      </c>
      <c r="Y91" s="319">
        <f ca="1">IF(N(U91)=0,9999,VLOOKUP(U91,Hraci!$A$1:$I$1500,8,0))</f>
        <v>9999</v>
      </c>
      <c r="Z91" s="386">
        <f ca="1">IF(N(U91)=0,0,VLOOKUP(U91,Hraci!$A$1:$I$1500,9,0))</f>
        <v>0</v>
      </c>
      <c r="AA91" s="383" t="str">
        <f t="shared" ca="1" si="31"/>
        <v/>
      </c>
      <c r="AB91" s="384" t="str">
        <f ca="1">IF(N(AA91)&gt;0,VLOOKUP(AA91,Hraci!$A$1:$I$1500,2,0)," ")</f>
        <v xml:space="preserve"> </v>
      </c>
      <c r="AC91" s="385" t="str">
        <f ca="1">IF(N(AA91)&gt;0,VLOOKUP(AA91,Hraci!$A$1:$I$1500,3,0)," ")</f>
        <v xml:space="preserve"> </v>
      </c>
      <c r="AD91" s="385" t="str">
        <f ca="1">IF(N(AA91)&gt;0,VLOOKUP(AA91,Hraci!$A$1:$I$1500,5,0)," ")</f>
        <v xml:space="preserve"> </v>
      </c>
      <c r="AE91" s="319">
        <f ca="1">IF(N(AA91)=0,9999,VLOOKUP(AA91,Hraci!$A$1:$I$1500,8,0))</f>
        <v>9999</v>
      </c>
      <c r="AF91" s="386">
        <f ca="1">IF(N(AA91)=0,0,VLOOKUP(AA91,Hraci!$A$1:$I$1500,9,0))</f>
        <v>0</v>
      </c>
      <c r="AG91" s="391"/>
      <c r="AH91" s="427">
        <f ca="1">IF(TYPE(VLOOKUP(H91,Centrum!$A$3:$E$130,5,0))&lt;4,VLOOKUP(H91,Centrum!$A$3:$E$130,5,0),0)</f>
        <v>0</v>
      </c>
      <c r="AI91" s="387" t="str">
        <f ca="1">IF(N($AH91)&gt;0,VLOOKUP($AH91,Body!$A$4:$F$259,5,0),"")</f>
        <v/>
      </c>
      <c r="AJ91" s="388" t="str">
        <f ca="1">IF(N($AH91)&gt;0,VLOOKUP($AH91,Body!$A$4:$F$259,6,0),"")</f>
        <v/>
      </c>
      <c r="AK91" s="387" t="str">
        <f ca="1">IF(N($AH91)&gt;0,VLOOKUP($AH91,Body!$A$4:$F$259,2,0),"")</f>
        <v/>
      </c>
      <c r="AL91" s="389" t="str">
        <f t="shared" ca="1" si="32"/>
        <v/>
      </c>
      <c r="AM91" s="390">
        <f t="shared" ca="1" si="33"/>
        <v>0</v>
      </c>
      <c r="AN91" s="319">
        <f ca="1">IF(OR(TYPE(I91)&gt;1,TYPE(MATCH(I91,I92:I$139,0))&gt;1),0,MATCH(I91,I92:I$139,0))+IF(OR(TYPE(I91)&gt;1,TYPE(MATCH(I91,O$11:O$139,0))&gt;1),0,MATCH(I91,O$11:O$139,0))+IF(OR(TYPE(I91)&gt;1,TYPE(MATCH(I91,U$11:U$139,0))&gt;1),0,MATCH(I91,U$11:U$139,0))+IF(OR(TYPE(I91)&gt;1,TYPE(MATCH(I91,AA$11:AA$139,0))&gt;1),0,MATCH(I91,AA$11:AA$139,0))</f>
        <v>0</v>
      </c>
      <c r="AO91" s="319">
        <f ca="1">IF(OR(TYPE(O91)&gt;1,TYPE(MATCH(O91,I$11:I$139,0))&gt;1),0,MATCH(O91,I$11:I$139,0))+IF(OR(TYPE(O91)&gt;1,TYPE(MATCH(O91,O92:O$139,0))&gt;1),0,MATCH(O91,O92:O$139,0))+IF(OR(TYPE(O91)&gt;1,TYPE(MATCH(O91,U$11:U$139,0))&gt;1),0,MATCH(O91,U$11:U$139,0))+IF(OR(TYPE(O91)&gt;1,TYPE(MATCH(O91,AA$11:AA$139,0))&gt;1),0,MATCH(O91,AA$11:AA$139,0))</f>
        <v>0</v>
      </c>
      <c r="AP91" s="319">
        <f ca="1">IF(OR(TYPE(U91)&gt;1,TYPE(MATCH(U91,I$11:I$139,0))&gt;1),0,MATCH(U91,I$11:I$139,0))+IF(OR(TYPE(U91)&gt;1,TYPE(MATCH(U91,O$11:O$139,0))&gt;1),0,MATCH(U91,O$11:O$139,0))+IF(OR(TYPE(U91)&gt;1,TYPE(MATCH(U91,U92:U$139,0))&gt;1),0,MATCH(U91,U92:U$139,0))+IF(OR(TYPE(U91)&gt;1,TYPE(MATCH(U91,AA$11:AA$139,0))&gt;1),0,MATCH(U91,AA$11:AA$139,0))</f>
        <v>0</v>
      </c>
      <c r="AQ91" s="319">
        <f ca="1">IF(OR(TYPE(AA91)&gt;1,TYPE(MATCH(AA91,I$11:I$139,0))&gt;1),0,MATCH(AA91,I$11:I$139,0))+IF(OR(TYPE(AA91)&gt;1,TYPE(MATCH(AA91,O$11:O$139,0))&gt;1),0,MATCH(AA91,O$11:O$139,0))+IF(OR(TYPE(AA91)&gt;1,TYPE(MATCH(AA91,U$11:U$139,0))&gt;1),0,MATCH(U91,U$11:U$139,0))+IF(OR(TYPE(AA91)&gt;1,TYPE(MATCH(AA91,AA92:AA$139,0))&gt;1),0,MATCH(AA91,AA92:AA$139,0))</f>
        <v>0</v>
      </c>
      <c r="AR91" s="319">
        <f t="shared" ca="1" si="36"/>
        <v>0</v>
      </c>
      <c r="AT91" s="318">
        <f t="shared" ca="1" si="34"/>
        <v>0</v>
      </c>
      <c r="AU91" s="318">
        <f ca="1">IF(AND(N(I91)&gt;0,TYPE(VLOOKUP(I91,Hraci!$A$5:$A$800,1,0))&gt;3),1,0) + IF(AND(N(O91)&gt;0,TYPE(VLOOKUP(O91,Hraci!$A$5:$A$800,1,0))&gt;3),1,0) + IF(AND(N(U91)&gt;0,TYPE(VLOOKUP(U91,Hraci!$A$5:$A$800,1,0))&gt;3),1,0)</f>
        <v>0</v>
      </c>
      <c r="BF91" s="319">
        <f t="shared" si="35"/>
        <v>81</v>
      </c>
    </row>
    <row r="92" spans="1:58" ht="12.9" x14ac:dyDescent="0.45">
      <c r="A92" s="302">
        <f t="shared" ca="1" si="20"/>
        <v>0</v>
      </c>
      <c r="B92" s="302">
        <f t="shared" ca="1" si="21"/>
        <v>0</v>
      </c>
      <c r="C92" s="302">
        <f t="shared" ca="1" si="22"/>
        <v>0</v>
      </c>
      <c r="D92" s="302">
        <f t="shared" ca="1" si="23"/>
        <v>99999</v>
      </c>
      <c r="E92" s="302">
        <f t="shared" ca="1" si="24"/>
        <v>9999</v>
      </c>
      <c r="F92" s="343" t="str">
        <f t="shared" ca="1" si="25"/>
        <v>00000000000000000000125949</v>
      </c>
      <c r="G92" s="381" t="b">
        <f t="shared" ca="1" si="26"/>
        <v>1</v>
      </c>
      <c r="H92" s="382">
        <f t="shared" si="27"/>
        <v>82</v>
      </c>
      <c r="I92" s="383" t="str">
        <f t="shared" ca="1" si="28"/>
        <v/>
      </c>
      <c r="J92" s="384" t="str">
        <f ca="1">IF(N(I92)&gt;0,VLOOKUP(I92,Hraci!$A$1:$I$1500,2,0),IF(TYPE(INDIRECT(ADDRESS(ROW() + $A$9-9 + (ROW()-11)*4,2,1,1,"Internet")))&gt;1,INDIRECT(ADDRESS(ROW() + $A$9-9 + (ROW()-11)*4,2,1,1,"Internet"))," "))</f>
        <v xml:space="preserve"> </v>
      </c>
      <c r="K92" s="385" t="str">
        <f ca="1">IF(N(I92)&gt;0,VLOOKUP(I92,Hraci!$A$1:$I$1500,3,0)," ")</f>
        <v xml:space="preserve"> </v>
      </c>
      <c r="L92" s="385" t="str">
        <f ca="1">IF(N(I92)&gt;0,VLOOKUP(I92,Hraci!$A$1:$I$1500,5,0),IF(TYPE(INDIRECT(ADDRESS(ROW() + $A$9-9 + (ROW()-11)*4,3,1,1,"Internet")))&gt;1,INDIRECT(ADDRESS(ROW() + $A$9-9 + (ROW()-11)*4,3,1,1,"Internet"))," "))</f>
        <v xml:space="preserve"> </v>
      </c>
      <c r="M92" s="319">
        <f ca="1">IF(N(I92)=0,9999,VLOOKUP(I92,Hraci!$A$1:$I$1500,8,0))</f>
        <v>9999</v>
      </c>
      <c r="N92" s="386">
        <f ca="1">IF(N(I92)=0,0,VLOOKUP(I92,Hraci!$A$1:$I$1500,9,0))</f>
        <v>0</v>
      </c>
      <c r="O92" s="383" t="str">
        <f t="shared" ca="1" si="29"/>
        <v/>
      </c>
      <c r="P92" s="384" t="str">
        <f ca="1">IF(N(O92)&gt;0,VLOOKUP(O92,Hraci!$A$1:$I$1500,2,0),IF(TYPE(INDIRECT(ADDRESS(ROW() + $A$9-8 + (ROW()-11)*4,2,1,1,"Internet")))&gt;1,INDIRECT(ADDRESS(ROW() + $A$9-8 + (ROW()-11)*4,2,1,1,"Internet"))," "))</f>
        <v xml:space="preserve"> </v>
      </c>
      <c r="Q92" s="385" t="str">
        <f ca="1">IF(N(O92)&gt;0,VLOOKUP(O92,Hraci!$A$1:$I$1500,3,0)," ")</f>
        <v xml:space="preserve"> </v>
      </c>
      <c r="R92" s="385" t="str">
        <f ca="1">IF(N(O92)&gt;0,VLOOKUP(O92,Hraci!$A$1:$I$1500,5,0),IF(TYPE(INDIRECT(ADDRESS(ROW() + $A$9-8 + (ROW()-11)*4,3,1,1,"Internet")))&gt;1,INDIRECT(ADDRESS(ROW() + $A$9-8 + (ROW()-11)*4,3,1,1,"Internet"))," "))</f>
        <v xml:space="preserve"> </v>
      </c>
      <c r="S92" s="319">
        <f ca="1">IF(N(O92)=0,9999,VLOOKUP(O92,Hraci!$A$1:$I$1500,8,0))</f>
        <v>9999</v>
      </c>
      <c r="T92" s="386">
        <f ca="1">IF(N(O92)=0,0,VLOOKUP(O92,Hraci!$A$1:$I$1500,9,0))</f>
        <v>0</v>
      </c>
      <c r="U92" s="383" t="str">
        <f t="shared" ca="1" si="30"/>
        <v/>
      </c>
      <c r="V92" s="384" t="str">
        <f ca="1">IF(N(U92)&gt;0,VLOOKUP(U92,Hraci!$A$1:$I$1500,2,0),IF(TYPE(INDIRECT(ADDRESS(ROW() + $A$9-7 + (ROW()-11)*4,2,1,1,"Internet")))&gt;1,INDIRECT(ADDRESS(ROW() + $A$9-7 + (ROW()-11)*4,2,1,1,"Internet"))," "))</f>
        <v xml:space="preserve"> </v>
      </c>
      <c r="W92" s="385" t="str">
        <f ca="1">IF(N(U92)&gt;0,VLOOKUP(U92,Hraci!$A$1:$I$1500,3,0)," ")</f>
        <v xml:space="preserve"> </v>
      </c>
      <c r="X92" s="385" t="str">
        <f ca="1">IF(N(U92)&gt;0,VLOOKUP(U92,Hraci!$A$1:$I$1500,5,0),IF(TYPE(INDIRECT(ADDRESS(ROW() + $A$9-7 + (ROW()-11)*4,3,1,1,"Internet")))&gt;1,INDIRECT(ADDRESS(ROW() + $A$9-7 + (ROW()-11)*4,3,1,1,"Internet"))," "))</f>
        <v xml:space="preserve"> </v>
      </c>
      <c r="Y92" s="319">
        <f ca="1">IF(N(U92)=0,9999,VLOOKUP(U92,Hraci!$A$1:$I$1500,8,0))</f>
        <v>9999</v>
      </c>
      <c r="Z92" s="386">
        <f ca="1">IF(N(U92)=0,0,VLOOKUP(U92,Hraci!$A$1:$I$1500,9,0))</f>
        <v>0</v>
      </c>
      <c r="AA92" s="383" t="str">
        <f t="shared" ca="1" si="31"/>
        <v/>
      </c>
      <c r="AB92" s="384" t="str">
        <f ca="1">IF(N(AA92)&gt;0,VLOOKUP(AA92,Hraci!$A$1:$I$1500,2,0)," ")</f>
        <v xml:space="preserve"> </v>
      </c>
      <c r="AC92" s="385" t="str">
        <f ca="1">IF(N(AA92)&gt;0,VLOOKUP(AA92,Hraci!$A$1:$I$1500,3,0)," ")</f>
        <v xml:space="preserve"> </v>
      </c>
      <c r="AD92" s="385" t="str">
        <f ca="1">IF(N(AA92)&gt;0,VLOOKUP(AA92,Hraci!$A$1:$I$1500,5,0)," ")</f>
        <v xml:space="preserve"> </v>
      </c>
      <c r="AE92" s="319">
        <f ca="1">IF(N(AA92)=0,9999,VLOOKUP(AA92,Hraci!$A$1:$I$1500,8,0))</f>
        <v>9999</v>
      </c>
      <c r="AF92" s="386">
        <f ca="1">IF(N(AA92)=0,0,VLOOKUP(AA92,Hraci!$A$1:$I$1500,9,0))</f>
        <v>0</v>
      </c>
      <c r="AG92" s="391"/>
      <c r="AH92" s="427">
        <f ca="1">IF(TYPE(VLOOKUP(H92,Centrum!$A$3:$E$130,5,0))&lt;4,VLOOKUP(H92,Centrum!$A$3:$E$130,5,0),0)</f>
        <v>0</v>
      </c>
      <c r="AI92" s="387" t="str">
        <f ca="1">IF(N($AH92)&gt;0,VLOOKUP($AH92,Body!$A$4:$F$259,5,0),"")</f>
        <v/>
      </c>
      <c r="AJ92" s="388" t="str">
        <f ca="1">IF(N($AH92)&gt;0,VLOOKUP($AH92,Body!$A$4:$F$259,6,0),"")</f>
        <v/>
      </c>
      <c r="AK92" s="387" t="str">
        <f ca="1">IF(N($AH92)&gt;0,VLOOKUP($AH92,Body!$A$4:$F$259,2,0),"")</f>
        <v/>
      </c>
      <c r="AL92" s="389" t="str">
        <f t="shared" ca="1" si="32"/>
        <v/>
      </c>
      <c r="AM92" s="390">
        <f t="shared" ca="1" si="33"/>
        <v>0</v>
      </c>
      <c r="AN92" s="319">
        <f ca="1">IF(OR(TYPE(I92)&gt;1,TYPE(MATCH(I92,I93:I$139,0))&gt;1),0,MATCH(I92,I93:I$139,0))+IF(OR(TYPE(I92)&gt;1,TYPE(MATCH(I92,O$11:O$139,0))&gt;1),0,MATCH(I92,O$11:O$139,0))+IF(OR(TYPE(I92)&gt;1,TYPE(MATCH(I92,U$11:U$139,0))&gt;1),0,MATCH(I92,U$11:U$139,0))+IF(OR(TYPE(I92)&gt;1,TYPE(MATCH(I92,AA$11:AA$139,0))&gt;1),0,MATCH(I92,AA$11:AA$139,0))</f>
        <v>0</v>
      </c>
      <c r="AO92" s="319">
        <f ca="1">IF(OR(TYPE(O92)&gt;1,TYPE(MATCH(O92,I$11:I$139,0))&gt;1),0,MATCH(O92,I$11:I$139,0))+IF(OR(TYPE(O92)&gt;1,TYPE(MATCH(O92,O93:O$139,0))&gt;1),0,MATCH(O92,O93:O$139,0))+IF(OR(TYPE(O92)&gt;1,TYPE(MATCH(O92,U$11:U$139,0))&gt;1),0,MATCH(O92,U$11:U$139,0))+IF(OR(TYPE(O92)&gt;1,TYPE(MATCH(O92,AA$11:AA$139,0))&gt;1),0,MATCH(O92,AA$11:AA$139,0))</f>
        <v>0</v>
      </c>
      <c r="AP92" s="319">
        <f ca="1">IF(OR(TYPE(U92)&gt;1,TYPE(MATCH(U92,I$11:I$139,0))&gt;1),0,MATCH(U92,I$11:I$139,0))+IF(OR(TYPE(U92)&gt;1,TYPE(MATCH(U92,O$11:O$139,0))&gt;1),0,MATCH(U92,O$11:O$139,0))+IF(OR(TYPE(U92)&gt;1,TYPE(MATCH(U92,U93:U$139,0))&gt;1),0,MATCH(U92,U93:U$139,0))+IF(OR(TYPE(U92)&gt;1,TYPE(MATCH(U92,AA$11:AA$139,0))&gt;1),0,MATCH(U92,AA$11:AA$139,0))</f>
        <v>0</v>
      </c>
      <c r="AQ92" s="319">
        <f ca="1">IF(OR(TYPE(AA92)&gt;1,TYPE(MATCH(AA92,I$11:I$139,0))&gt;1),0,MATCH(AA92,I$11:I$139,0))+IF(OR(TYPE(AA92)&gt;1,TYPE(MATCH(AA92,O$11:O$139,0))&gt;1),0,MATCH(AA92,O$11:O$139,0))+IF(OR(TYPE(AA92)&gt;1,TYPE(MATCH(AA92,U$11:U$139,0))&gt;1),0,MATCH(U92,U$11:U$139,0))+IF(OR(TYPE(AA92)&gt;1,TYPE(MATCH(AA92,AA93:AA$139,0))&gt;1),0,MATCH(AA92,AA93:AA$139,0))</f>
        <v>0</v>
      </c>
      <c r="AR92" s="319">
        <f t="shared" ca="1" si="36"/>
        <v>0</v>
      </c>
      <c r="AT92" s="318">
        <f t="shared" ca="1" si="34"/>
        <v>0</v>
      </c>
      <c r="AU92" s="318">
        <f ca="1">IF(AND(N(I92)&gt;0,TYPE(VLOOKUP(I92,Hraci!$A$5:$A$800,1,0))&gt;3),1,0) + IF(AND(N(O92)&gt;0,TYPE(VLOOKUP(O92,Hraci!$A$5:$A$800,1,0))&gt;3),1,0) + IF(AND(N(U92)&gt;0,TYPE(VLOOKUP(U92,Hraci!$A$5:$A$800,1,0))&gt;3),1,0)</f>
        <v>0</v>
      </c>
      <c r="BF92" s="319">
        <f t="shared" si="35"/>
        <v>82</v>
      </c>
    </row>
    <row r="93" spans="1:58" ht="12.9" x14ac:dyDescent="0.45">
      <c r="A93" s="302">
        <f t="shared" ca="1" si="20"/>
        <v>0</v>
      </c>
      <c r="B93" s="302">
        <f t="shared" ca="1" si="21"/>
        <v>0</v>
      </c>
      <c r="C93" s="302">
        <f t="shared" ca="1" si="22"/>
        <v>0</v>
      </c>
      <c r="D93" s="302">
        <f t="shared" ca="1" si="23"/>
        <v>99999</v>
      </c>
      <c r="E93" s="302">
        <f t="shared" ca="1" si="24"/>
        <v>9999</v>
      </c>
      <c r="F93" s="343" t="str">
        <f t="shared" ca="1" si="25"/>
        <v>00000000000000000000720777</v>
      </c>
      <c r="G93" s="381" t="b">
        <f t="shared" ca="1" si="26"/>
        <v>1</v>
      </c>
      <c r="H93" s="382">
        <f t="shared" si="27"/>
        <v>83</v>
      </c>
      <c r="I93" s="383" t="str">
        <f t="shared" ca="1" si="28"/>
        <v/>
      </c>
      <c r="J93" s="384" t="str">
        <f ca="1">IF(N(I93)&gt;0,VLOOKUP(I93,Hraci!$A$1:$I$1500,2,0),IF(TYPE(INDIRECT(ADDRESS(ROW() + $A$9-9 + (ROW()-11)*4,2,1,1,"Internet")))&gt;1,INDIRECT(ADDRESS(ROW() + $A$9-9 + (ROW()-11)*4,2,1,1,"Internet"))," "))</f>
        <v xml:space="preserve"> </v>
      </c>
      <c r="K93" s="385" t="str">
        <f ca="1">IF(N(I93)&gt;0,VLOOKUP(I93,Hraci!$A$1:$I$1500,3,0)," ")</f>
        <v xml:space="preserve"> </v>
      </c>
      <c r="L93" s="385" t="str">
        <f ca="1">IF(N(I93)&gt;0,VLOOKUP(I93,Hraci!$A$1:$I$1500,5,0),IF(TYPE(INDIRECT(ADDRESS(ROW() + $A$9-9 + (ROW()-11)*4,3,1,1,"Internet")))&gt;1,INDIRECT(ADDRESS(ROW() + $A$9-9 + (ROW()-11)*4,3,1,1,"Internet"))," "))</f>
        <v xml:space="preserve"> </v>
      </c>
      <c r="M93" s="319">
        <f ca="1">IF(N(I93)=0,9999,VLOOKUP(I93,Hraci!$A$1:$I$1500,8,0))</f>
        <v>9999</v>
      </c>
      <c r="N93" s="386">
        <f ca="1">IF(N(I93)=0,0,VLOOKUP(I93,Hraci!$A$1:$I$1500,9,0))</f>
        <v>0</v>
      </c>
      <c r="O93" s="383" t="str">
        <f t="shared" ca="1" si="29"/>
        <v/>
      </c>
      <c r="P93" s="384" t="str">
        <f ca="1">IF(N(O93)&gt;0,VLOOKUP(O93,Hraci!$A$1:$I$1500,2,0),IF(TYPE(INDIRECT(ADDRESS(ROW() + $A$9-8 + (ROW()-11)*4,2,1,1,"Internet")))&gt;1,INDIRECT(ADDRESS(ROW() + $A$9-8 + (ROW()-11)*4,2,1,1,"Internet"))," "))</f>
        <v xml:space="preserve"> </v>
      </c>
      <c r="Q93" s="385" t="str">
        <f ca="1">IF(N(O93)&gt;0,VLOOKUP(O93,Hraci!$A$1:$I$1500,3,0)," ")</f>
        <v xml:space="preserve"> </v>
      </c>
      <c r="R93" s="385" t="str">
        <f ca="1">IF(N(O93)&gt;0,VLOOKUP(O93,Hraci!$A$1:$I$1500,5,0),IF(TYPE(INDIRECT(ADDRESS(ROW() + $A$9-8 + (ROW()-11)*4,3,1,1,"Internet")))&gt;1,INDIRECT(ADDRESS(ROW() + $A$9-8 + (ROW()-11)*4,3,1,1,"Internet"))," "))</f>
        <v xml:space="preserve"> </v>
      </c>
      <c r="S93" s="319">
        <f ca="1">IF(N(O93)=0,9999,VLOOKUP(O93,Hraci!$A$1:$I$1500,8,0))</f>
        <v>9999</v>
      </c>
      <c r="T93" s="386">
        <f ca="1">IF(N(O93)=0,0,VLOOKUP(O93,Hraci!$A$1:$I$1500,9,0))</f>
        <v>0</v>
      </c>
      <c r="U93" s="383" t="str">
        <f t="shared" ca="1" si="30"/>
        <v/>
      </c>
      <c r="V93" s="384" t="str">
        <f ca="1">IF(N(U93)&gt;0,VLOOKUP(U93,Hraci!$A$1:$I$1500,2,0),IF(TYPE(INDIRECT(ADDRESS(ROW() + $A$9-7 + (ROW()-11)*4,2,1,1,"Internet")))&gt;1,INDIRECT(ADDRESS(ROW() + $A$9-7 + (ROW()-11)*4,2,1,1,"Internet"))," "))</f>
        <v xml:space="preserve"> </v>
      </c>
      <c r="W93" s="385" t="str">
        <f ca="1">IF(N(U93)&gt;0,VLOOKUP(U93,Hraci!$A$1:$I$1500,3,0)," ")</f>
        <v xml:space="preserve"> </v>
      </c>
      <c r="X93" s="385" t="str">
        <f ca="1">IF(N(U93)&gt;0,VLOOKUP(U93,Hraci!$A$1:$I$1500,5,0),IF(TYPE(INDIRECT(ADDRESS(ROW() + $A$9-7 + (ROW()-11)*4,3,1,1,"Internet")))&gt;1,INDIRECT(ADDRESS(ROW() + $A$9-7 + (ROW()-11)*4,3,1,1,"Internet"))," "))</f>
        <v xml:space="preserve"> </v>
      </c>
      <c r="Y93" s="319">
        <f ca="1">IF(N(U93)=0,9999,VLOOKUP(U93,Hraci!$A$1:$I$1500,8,0))</f>
        <v>9999</v>
      </c>
      <c r="Z93" s="386">
        <f ca="1">IF(N(U93)=0,0,VLOOKUP(U93,Hraci!$A$1:$I$1500,9,0))</f>
        <v>0</v>
      </c>
      <c r="AA93" s="383" t="str">
        <f t="shared" ca="1" si="31"/>
        <v/>
      </c>
      <c r="AB93" s="384" t="str">
        <f ca="1">IF(N(AA93)&gt;0,VLOOKUP(AA93,Hraci!$A$1:$I$1500,2,0)," ")</f>
        <v xml:space="preserve"> </v>
      </c>
      <c r="AC93" s="385" t="str">
        <f ca="1">IF(N(AA93)&gt;0,VLOOKUP(AA93,Hraci!$A$1:$I$1500,3,0)," ")</f>
        <v xml:space="preserve"> </v>
      </c>
      <c r="AD93" s="385" t="str">
        <f ca="1">IF(N(AA93)&gt;0,VLOOKUP(AA93,Hraci!$A$1:$I$1500,5,0)," ")</f>
        <v xml:space="preserve"> </v>
      </c>
      <c r="AE93" s="319">
        <f ca="1">IF(N(AA93)=0,9999,VLOOKUP(AA93,Hraci!$A$1:$I$1500,8,0))</f>
        <v>9999</v>
      </c>
      <c r="AF93" s="386">
        <f ca="1">IF(N(AA93)=0,0,VLOOKUP(AA93,Hraci!$A$1:$I$1500,9,0))</f>
        <v>0</v>
      </c>
      <c r="AG93" s="391"/>
      <c r="AH93" s="427">
        <f ca="1">IF(TYPE(VLOOKUP(H93,Centrum!$A$3:$E$130,5,0))&lt;4,VLOOKUP(H93,Centrum!$A$3:$E$130,5,0),0)</f>
        <v>0</v>
      </c>
      <c r="AI93" s="387" t="str">
        <f ca="1">IF(N($AH93)&gt;0,VLOOKUP($AH93,Body!$A$4:$F$259,5,0),"")</f>
        <v/>
      </c>
      <c r="AJ93" s="388" t="str">
        <f ca="1">IF(N($AH93)&gt;0,VLOOKUP($AH93,Body!$A$4:$F$259,6,0),"")</f>
        <v/>
      </c>
      <c r="AK93" s="387" t="str">
        <f ca="1">IF(N($AH93)&gt;0,VLOOKUP($AH93,Body!$A$4:$F$259,2,0),"")</f>
        <v/>
      </c>
      <c r="AL93" s="389" t="str">
        <f t="shared" ca="1" si="32"/>
        <v/>
      </c>
      <c r="AM93" s="390">
        <f t="shared" ca="1" si="33"/>
        <v>0</v>
      </c>
      <c r="AN93" s="319">
        <f ca="1">IF(OR(TYPE(I93)&gt;1,TYPE(MATCH(I93,I94:I$139,0))&gt;1),0,MATCH(I93,I94:I$139,0))+IF(OR(TYPE(I93)&gt;1,TYPE(MATCH(I93,O$11:O$139,0))&gt;1),0,MATCH(I93,O$11:O$139,0))+IF(OR(TYPE(I93)&gt;1,TYPE(MATCH(I93,U$11:U$139,0))&gt;1),0,MATCH(I93,U$11:U$139,0))+IF(OR(TYPE(I93)&gt;1,TYPE(MATCH(I93,AA$11:AA$139,0))&gt;1),0,MATCH(I93,AA$11:AA$139,0))</f>
        <v>0</v>
      </c>
      <c r="AO93" s="319">
        <f ca="1">IF(OR(TYPE(O93)&gt;1,TYPE(MATCH(O93,I$11:I$139,0))&gt;1),0,MATCH(O93,I$11:I$139,0))+IF(OR(TYPE(O93)&gt;1,TYPE(MATCH(O93,O94:O$139,0))&gt;1),0,MATCH(O93,O94:O$139,0))+IF(OR(TYPE(O93)&gt;1,TYPE(MATCH(O93,U$11:U$139,0))&gt;1),0,MATCH(O93,U$11:U$139,0))+IF(OR(TYPE(O93)&gt;1,TYPE(MATCH(O93,AA$11:AA$139,0))&gt;1),0,MATCH(O93,AA$11:AA$139,0))</f>
        <v>0</v>
      </c>
      <c r="AP93" s="319">
        <f ca="1">IF(OR(TYPE(U93)&gt;1,TYPE(MATCH(U93,I$11:I$139,0))&gt;1),0,MATCH(U93,I$11:I$139,0))+IF(OR(TYPE(U93)&gt;1,TYPE(MATCH(U93,O$11:O$139,0))&gt;1),0,MATCH(U93,O$11:O$139,0))+IF(OR(TYPE(U93)&gt;1,TYPE(MATCH(U93,U94:U$139,0))&gt;1),0,MATCH(U93,U94:U$139,0))+IF(OR(TYPE(U93)&gt;1,TYPE(MATCH(U93,AA$11:AA$139,0))&gt;1),0,MATCH(U93,AA$11:AA$139,0))</f>
        <v>0</v>
      </c>
      <c r="AQ93" s="319">
        <f ca="1">IF(OR(TYPE(AA93)&gt;1,TYPE(MATCH(AA93,I$11:I$139,0))&gt;1),0,MATCH(AA93,I$11:I$139,0))+IF(OR(TYPE(AA93)&gt;1,TYPE(MATCH(AA93,O$11:O$139,0))&gt;1),0,MATCH(AA93,O$11:O$139,0))+IF(OR(TYPE(AA93)&gt;1,TYPE(MATCH(AA93,U$11:U$139,0))&gt;1),0,MATCH(U93,U$11:U$139,0))+IF(OR(TYPE(AA93)&gt;1,TYPE(MATCH(AA93,AA94:AA$139,0))&gt;1),0,MATCH(AA93,AA94:AA$139,0))</f>
        <v>0</v>
      </c>
      <c r="AR93" s="319">
        <f t="shared" ca="1" si="36"/>
        <v>0</v>
      </c>
      <c r="AT93" s="318">
        <f t="shared" ca="1" si="34"/>
        <v>0</v>
      </c>
      <c r="AU93" s="318">
        <f ca="1">IF(AND(N(I93)&gt;0,TYPE(VLOOKUP(I93,Hraci!$A$5:$A$800,1,0))&gt;3),1,0) + IF(AND(N(O93)&gt;0,TYPE(VLOOKUP(O93,Hraci!$A$5:$A$800,1,0))&gt;3),1,0) + IF(AND(N(U93)&gt;0,TYPE(VLOOKUP(U93,Hraci!$A$5:$A$800,1,0))&gt;3),1,0)</f>
        <v>0</v>
      </c>
      <c r="BF93" s="319">
        <f t="shared" si="35"/>
        <v>83</v>
      </c>
    </row>
    <row r="94" spans="1:58" ht="12.9" x14ac:dyDescent="0.45">
      <c r="A94" s="302">
        <f t="shared" ca="1" si="20"/>
        <v>0</v>
      </c>
      <c r="B94" s="302">
        <f t="shared" ca="1" si="21"/>
        <v>0</v>
      </c>
      <c r="C94" s="302">
        <f t="shared" ca="1" si="22"/>
        <v>0</v>
      </c>
      <c r="D94" s="302">
        <f t="shared" ca="1" si="23"/>
        <v>99999</v>
      </c>
      <c r="E94" s="302">
        <f t="shared" ca="1" si="24"/>
        <v>9999</v>
      </c>
      <c r="F94" s="343" t="str">
        <f t="shared" ca="1" si="25"/>
        <v>00000000000000000000224638</v>
      </c>
      <c r="G94" s="381" t="b">
        <f t="shared" ca="1" si="26"/>
        <v>1</v>
      </c>
      <c r="H94" s="382">
        <f t="shared" si="27"/>
        <v>84</v>
      </c>
      <c r="I94" s="383" t="str">
        <f t="shared" ca="1" si="28"/>
        <v/>
      </c>
      <c r="J94" s="384" t="str">
        <f ca="1">IF(N(I94)&gt;0,VLOOKUP(I94,Hraci!$A$1:$I$1500,2,0),IF(TYPE(INDIRECT(ADDRESS(ROW() + $A$9-9 + (ROW()-11)*4,2,1,1,"Internet")))&gt;1,INDIRECT(ADDRESS(ROW() + $A$9-9 + (ROW()-11)*4,2,1,1,"Internet"))," "))</f>
        <v xml:space="preserve"> </v>
      </c>
      <c r="K94" s="385" t="str">
        <f ca="1">IF(N(I94)&gt;0,VLOOKUP(I94,Hraci!$A$1:$I$1500,3,0)," ")</f>
        <v xml:space="preserve"> </v>
      </c>
      <c r="L94" s="385" t="str">
        <f ca="1">IF(N(I94)&gt;0,VLOOKUP(I94,Hraci!$A$1:$I$1500,5,0),IF(TYPE(INDIRECT(ADDRESS(ROW() + $A$9-9 + (ROW()-11)*4,3,1,1,"Internet")))&gt;1,INDIRECT(ADDRESS(ROW() + $A$9-9 + (ROW()-11)*4,3,1,1,"Internet"))," "))</f>
        <v xml:space="preserve"> </v>
      </c>
      <c r="M94" s="319">
        <f ca="1">IF(N(I94)=0,9999,VLOOKUP(I94,Hraci!$A$1:$I$1500,8,0))</f>
        <v>9999</v>
      </c>
      <c r="N94" s="386">
        <f ca="1">IF(N(I94)=0,0,VLOOKUP(I94,Hraci!$A$1:$I$1500,9,0))</f>
        <v>0</v>
      </c>
      <c r="O94" s="383" t="str">
        <f t="shared" ca="1" si="29"/>
        <v/>
      </c>
      <c r="P94" s="384" t="str">
        <f ca="1">IF(N(O94)&gt;0,VLOOKUP(O94,Hraci!$A$1:$I$1500,2,0),IF(TYPE(INDIRECT(ADDRESS(ROW() + $A$9-8 + (ROW()-11)*4,2,1,1,"Internet")))&gt;1,INDIRECT(ADDRESS(ROW() + $A$9-8 + (ROW()-11)*4,2,1,1,"Internet"))," "))</f>
        <v xml:space="preserve"> </v>
      </c>
      <c r="Q94" s="385" t="str">
        <f ca="1">IF(N(O94)&gt;0,VLOOKUP(O94,Hraci!$A$1:$I$1500,3,0)," ")</f>
        <v xml:space="preserve"> </v>
      </c>
      <c r="R94" s="385" t="str">
        <f ca="1">IF(N(O94)&gt;0,VLOOKUP(O94,Hraci!$A$1:$I$1500,5,0),IF(TYPE(INDIRECT(ADDRESS(ROW() + $A$9-8 + (ROW()-11)*4,3,1,1,"Internet")))&gt;1,INDIRECT(ADDRESS(ROW() + $A$9-8 + (ROW()-11)*4,3,1,1,"Internet"))," "))</f>
        <v xml:space="preserve"> </v>
      </c>
      <c r="S94" s="319">
        <f ca="1">IF(N(O94)=0,9999,VLOOKUP(O94,Hraci!$A$1:$I$1500,8,0))</f>
        <v>9999</v>
      </c>
      <c r="T94" s="386">
        <f ca="1">IF(N(O94)=0,0,VLOOKUP(O94,Hraci!$A$1:$I$1500,9,0))</f>
        <v>0</v>
      </c>
      <c r="U94" s="383" t="str">
        <f t="shared" ca="1" si="30"/>
        <v/>
      </c>
      <c r="V94" s="384" t="str">
        <f ca="1">IF(N(U94)&gt;0,VLOOKUP(U94,Hraci!$A$1:$I$1500,2,0),IF(TYPE(INDIRECT(ADDRESS(ROW() + $A$9-7 + (ROW()-11)*4,2,1,1,"Internet")))&gt;1,INDIRECT(ADDRESS(ROW() + $A$9-7 + (ROW()-11)*4,2,1,1,"Internet"))," "))</f>
        <v xml:space="preserve"> </v>
      </c>
      <c r="W94" s="385" t="str">
        <f ca="1">IF(N(U94)&gt;0,VLOOKUP(U94,Hraci!$A$1:$I$1500,3,0)," ")</f>
        <v xml:space="preserve"> </v>
      </c>
      <c r="X94" s="385" t="str">
        <f ca="1">IF(N(U94)&gt;0,VLOOKUP(U94,Hraci!$A$1:$I$1500,5,0),IF(TYPE(INDIRECT(ADDRESS(ROW() + $A$9-7 + (ROW()-11)*4,3,1,1,"Internet")))&gt;1,INDIRECT(ADDRESS(ROW() + $A$9-7 + (ROW()-11)*4,3,1,1,"Internet"))," "))</f>
        <v xml:space="preserve"> </v>
      </c>
      <c r="Y94" s="319">
        <f ca="1">IF(N(U94)=0,9999,VLOOKUP(U94,Hraci!$A$1:$I$1500,8,0))</f>
        <v>9999</v>
      </c>
      <c r="Z94" s="386">
        <f ca="1">IF(N(U94)=0,0,VLOOKUP(U94,Hraci!$A$1:$I$1500,9,0))</f>
        <v>0</v>
      </c>
      <c r="AA94" s="383" t="str">
        <f t="shared" ca="1" si="31"/>
        <v/>
      </c>
      <c r="AB94" s="384" t="str">
        <f ca="1">IF(N(AA94)&gt;0,VLOOKUP(AA94,Hraci!$A$1:$I$1500,2,0)," ")</f>
        <v xml:space="preserve"> </v>
      </c>
      <c r="AC94" s="385" t="str">
        <f ca="1">IF(N(AA94)&gt;0,VLOOKUP(AA94,Hraci!$A$1:$I$1500,3,0)," ")</f>
        <v xml:space="preserve"> </v>
      </c>
      <c r="AD94" s="385" t="str">
        <f ca="1">IF(N(AA94)&gt;0,VLOOKUP(AA94,Hraci!$A$1:$I$1500,5,0)," ")</f>
        <v xml:space="preserve"> </v>
      </c>
      <c r="AE94" s="319">
        <f ca="1">IF(N(AA94)=0,9999,VLOOKUP(AA94,Hraci!$A$1:$I$1500,8,0))</f>
        <v>9999</v>
      </c>
      <c r="AF94" s="386">
        <f ca="1">IF(N(AA94)=0,0,VLOOKUP(AA94,Hraci!$A$1:$I$1500,9,0))</f>
        <v>0</v>
      </c>
      <c r="AG94" s="391"/>
      <c r="AH94" s="427">
        <f ca="1">IF(TYPE(VLOOKUP(H94,Centrum!$A$3:$E$130,5,0))&lt;4,VLOOKUP(H94,Centrum!$A$3:$E$130,5,0),0)</f>
        <v>0</v>
      </c>
      <c r="AI94" s="387" t="str">
        <f ca="1">IF(N($AH94)&gt;0,VLOOKUP($AH94,Body!$A$4:$F$259,5,0),"")</f>
        <v/>
      </c>
      <c r="AJ94" s="388" t="str">
        <f ca="1">IF(N($AH94)&gt;0,VLOOKUP($AH94,Body!$A$4:$F$259,6,0),"")</f>
        <v/>
      </c>
      <c r="AK94" s="387" t="str">
        <f ca="1">IF(N($AH94)&gt;0,VLOOKUP($AH94,Body!$A$4:$F$259,2,0),"")</f>
        <v/>
      </c>
      <c r="AL94" s="389" t="str">
        <f t="shared" ca="1" si="32"/>
        <v/>
      </c>
      <c r="AM94" s="390">
        <f t="shared" ca="1" si="33"/>
        <v>0</v>
      </c>
      <c r="AN94" s="319">
        <f ca="1">IF(OR(TYPE(I94)&gt;1,TYPE(MATCH(I94,I95:I$139,0))&gt;1),0,MATCH(I94,I95:I$139,0))+IF(OR(TYPE(I94)&gt;1,TYPE(MATCH(I94,O$11:O$139,0))&gt;1),0,MATCH(I94,O$11:O$139,0))+IF(OR(TYPE(I94)&gt;1,TYPE(MATCH(I94,U$11:U$139,0))&gt;1),0,MATCH(I94,U$11:U$139,0))+IF(OR(TYPE(I94)&gt;1,TYPE(MATCH(I94,AA$11:AA$139,0))&gt;1),0,MATCH(I94,AA$11:AA$139,0))</f>
        <v>0</v>
      </c>
      <c r="AO94" s="319">
        <f ca="1">IF(OR(TYPE(O94)&gt;1,TYPE(MATCH(O94,I$11:I$139,0))&gt;1),0,MATCH(O94,I$11:I$139,0))+IF(OR(TYPE(O94)&gt;1,TYPE(MATCH(O94,O95:O$139,0))&gt;1),0,MATCH(O94,O95:O$139,0))+IF(OR(TYPE(O94)&gt;1,TYPE(MATCH(O94,U$11:U$139,0))&gt;1),0,MATCH(O94,U$11:U$139,0))+IF(OR(TYPE(O94)&gt;1,TYPE(MATCH(O94,AA$11:AA$139,0))&gt;1),0,MATCH(O94,AA$11:AA$139,0))</f>
        <v>0</v>
      </c>
      <c r="AP94" s="319">
        <f ca="1">IF(OR(TYPE(U94)&gt;1,TYPE(MATCH(U94,I$11:I$139,0))&gt;1),0,MATCH(U94,I$11:I$139,0))+IF(OR(TYPE(U94)&gt;1,TYPE(MATCH(U94,O$11:O$139,0))&gt;1),0,MATCH(U94,O$11:O$139,0))+IF(OR(TYPE(U94)&gt;1,TYPE(MATCH(U94,U95:U$139,0))&gt;1),0,MATCH(U94,U95:U$139,0))+IF(OR(TYPE(U94)&gt;1,TYPE(MATCH(U94,AA$11:AA$139,0))&gt;1),0,MATCH(U94,AA$11:AA$139,0))</f>
        <v>0</v>
      </c>
      <c r="AQ94" s="319">
        <f ca="1">IF(OR(TYPE(AA94)&gt;1,TYPE(MATCH(AA94,I$11:I$139,0))&gt;1),0,MATCH(AA94,I$11:I$139,0))+IF(OR(TYPE(AA94)&gt;1,TYPE(MATCH(AA94,O$11:O$139,0))&gt;1),0,MATCH(AA94,O$11:O$139,0))+IF(OR(TYPE(AA94)&gt;1,TYPE(MATCH(AA94,U$11:U$139,0))&gt;1),0,MATCH(U94,U$11:U$139,0))+IF(OR(TYPE(AA94)&gt;1,TYPE(MATCH(AA94,AA95:AA$139,0))&gt;1),0,MATCH(AA94,AA95:AA$139,0))</f>
        <v>0</v>
      </c>
      <c r="AR94" s="319">
        <f t="shared" ca="1" si="36"/>
        <v>0</v>
      </c>
      <c r="AT94" s="318">
        <f t="shared" ca="1" si="34"/>
        <v>0</v>
      </c>
      <c r="AU94" s="318">
        <f ca="1">IF(AND(N(I94)&gt;0,TYPE(VLOOKUP(I94,Hraci!$A$5:$A$800,1,0))&gt;3),1,0) + IF(AND(N(O94)&gt;0,TYPE(VLOOKUP(O94,Hraci!$A$5:$A$800,1,0))&gt;3),1,0) + IF(AND(N(U94)&gt;0,TYPE(VLOOKUP(U94,Hraci!$A$5:$A$800,1,0))&gt;3),1,0)</f>
        <v>0</v>
      </c>
      <c r="BF94" s="319">
        <f t="shared" si="35"/>
        <v>84</v>
      </c>
    </row>
    <row r="95" spans="1:58" ht="12.9" x14ac:dyDescent="0.45">
      <c r="A95" s="302">
        <f t="shared" ca="1" si="20"/>
        <v>0</v>
      </c>
      <c r="B95" s="302">
        <f t="shared" ca="1" si="21"/>
        <v>0</v>
      </c>
      <c r="C95" s="302">
        <f t="shared" ca="1" si="22"/>
        <v>0</v>
      </c>
      <c r="D95" s="302">
        <f t="shared" ca="1" si="23"/>
        <v>99999</v>
      </c>
      <c r="E95" s="302">
        <f t="shared" ca="1" si="24"/>
        <v>9999</v>
      </c>
      <c r="F95" s="343" t="str">
        <f t="shared" ca="1" si="25"/>
        <v>00000000000000000000786466</v>
      </c>
      <c r="G95" s="381" t="b">
        <f t="shared" ca="1" si="26"/>
        <v>1</v>
      </c>
      <c r="H95" s="382">
        <f t="shared" si="27"/>
        <v>85</v>
      </c>
      <c r="I95" s="383" t="str">
        <f t="shared" ca="1" si="28"/>
        <v/>
      </c>
      <c r="J95" s="384" t="str">
        <f ca="1">IF(N(I95)&gt;0,VLOOKUP(I95,Hraci!$A$1:$I$1500,2,0),IF(TYPE(INDIRECT(ADDRESS(ROW() + $A$9-9 + (ROW()-11)*4,2,1,1,"Internet")))&gt;1,INDIRECT(ADDRESS(ROW() + $A$9-9 + (ROW()-11)*4,2,1,1,"Internet"))," "))</f>
        <v xml:space="preserve"> </v>
      </c>
      <c r="K95" s="385" t="str">
        <f ca="1">IF(N(I95)&gt;0,VLOOKUP(I95,Hraci!$A$1:$I$1500,3,0)," ")</f>
        <v xml:space="preserve"> </v>
      </c>
      <c r="L95" s="385" t="str">
        <f ca="1">IF(N(I95)&gt;0,VLOOKUP(I95,Hraci!$A$1:$I$1500,5,0),IF(TYPE(INDIRECT(ADDRESS(ROW() + $A$9-9 + (ROW()-11)*4,3,1,1,"Internet")))&gt;1,INDIRECT(ADDRESS(ROW() + $A$9-9 + (ROW()-11)*4,3,1,1,"Internet"))," "))</f>
        <v xml:space="preserve"> </v>
      </c>
      <c r="M95" s="319">
        <f ca="1">IF(N(I95)=0,9999,VLOOKUP(I95,Hraci!$A$1:$I$1500,8,0))</f>
        <v>9999</v>
      </c>
      <c r="N95" s="386">
        <f ca="1">IF(N(I95)=0,0,VLOOKUP(I95,Hraci!$A$1:$I$1500,9,0))</f>
        <v>0</v>
      </c>
      <c r="O95" s="383" t="str">
        <f t="shared" ca="1" si="29"/>
        <v/>
      </c>
      <c r="P95" s="384" t="str">
        <f ca="1">IF(N(O95)&gt;0,VLOOKUP(O95,Hraci!$A$1:$I$1500,2,0),IF(TYPE(INDIRECT(ADDRESS(ROW() + $A$9-8 + (ROW()-11)*4,2,1,1,"Internet")))&gt;1,INDIRECT(ADDRESS(ROW() + $A$9-8 + (ROW()-11)*4,2,1,1,"Internet"))," "))</f>
        <v xml:space="preserve"> </v>
      </c>
      <c r="Q95" s="385" t="str">
        <f ca="1">IF(N(O95)&gt;0,VLOOKUP(O95,Hraci!$A$1:$I$1500,3,0)," ")</f>
        <v xml:space="preserve"> </v>
      </c>
      <c r="R95" s="385" t="str">
        <f ca="1">IF(N(O95)&gt;0,VLOOKUP(O95,Hraci!$A$1:$I$1500,5,0),IF(TYPE(INDIRECT(ADDRESS(ROW() + $A$9-8 + (ROW()-11)*4,3,1,1,"Internet")))&gt;1,INDIRECT(ADDRESS(ROW() + $A$9-8 + (ROW()-11)*4,3,1,1,"Internet"))," "))</f>
        <v xml:space="preserve"> </v>
      </c>
      <c r="S95" s="319">
        <f ca="1">IF(N(O95)=0,9999,VLOOKUP(O95,Hraci!$A$1:$I$1500,8,0))</f>
        <v>9999</v>
      </c>
      <c r="T95" s="386">
        <f ca="1">IF(N(O95)=0,0,VLOOKUP(O95,Hraci!$A$1:$I$1500,9,0))</f>
        <v>0</v>
      </c>
      <c r="U95" s="383" t="str">
        <f t="shared" ca="1" si="30"/>
        <v/>
      </c>
      <c r="V95" s="384" t="str">
        <f ca="1">IF(N(U95)&gt;0,VLOOKUP(U95,Hraci!$A$1:$I$1500,2,0),IF(TYPE(INDIRECT(ADDRESS(ROW() + $A$9-7 + (ROW()-11)*4,2,1,1,"Internet")))&gt;1,INDIRECT(ADDRESS(ROW() + $A$9-7 + (ROW()-11)*4,2,1,1,"Internet"))," "))</f>
        <v xml:space="preserve"> </v>
      </c>
      <c r="W95" s="385" t="str">
        <f ca="1">IF(N(U95)&gt;0,VLOOKUP(U95,Hraci!$A$1:$I$1500,3,0)," ")</f>
        <v xml:space="preserve"> </v>
      </c>
      <c r="X95" s="385" t="str">
        <f ca="1">IF(N(U95)&gt;0,VLOOKUP(U95,Hraci!$A$1:$I$1500,5,0),IF(TYPE(INDIRECT(ADDRESS(ROW() + $A$9-7 + (ROW()-11)*4,3,1,1,"Internet")))&gt;1,INDIRECT(ADDRESS(ROW() + $A$9-7 + (ROW()-11)*4,3,1,1,"Internet"))," "))</f>
        <v xml:space="preserve"> </v>
      </c>
      <c r="Y95" s="319">
        <f ca="1">IF(N(U95)=0,9999,VLOOKUP(U95,Hraci!$A$1:$I$1500,8,0))</f>
        <v>9999</v>
      </c>
      <c r="Z95" s="386">
        <f ca="1">IF(N(U95)=0,0,VLOOKUP(U95,Hraci!$A$1:$I$1500,9,0))</f>
        <v>0</v>
      </c>
      <c r="AA95" s="383" t="str">
        <f t="shared" ca="1" si="31"/>
        <v/>
      </c>
      <c r="AB95" s="384" t="str">
        <f ca="1">IF(N(AA95)&gt;0,VLOOKUP(AA95,Hraci!$A$1:$I$1500,2,0)," ")</f>
        <v xml:space="preserve"> </v>
      </c>
      <c r="AC95" s="385" t="str">
        <f ca="1">IF(N(AA95)&gt;0,VLOOKUP(AA95,Hraci!$A$1:$I$1500,3,0)," ")</f>
        <v xml:space="preserve"> </v>
      </c>
      <c r="AD95" s="385" t="str">
        <f ca="1">IF(N(AA95)&gt;0,VLOOKUP(AA95,Hraci!$A$1:$I$1500,5,0)," ")</f>
        <v xml:space="preserve"> </v>
      </c>
      <c r="AE95" s="319">
        <f ca="1">IF(N(AA95)=0,9999,VLOOKUP(AA95,Hraci!$A$1:$I$1500,8,0))</f>
        <v>9999</v>
      </c>
      <c r="AF95" s="386">
        <f ca="1">IF(N(AA95)=0,0,VLOOKUP(AA95,Hraci!$A$1:$I$1500,9,0))</f>
        <v>0</v>
      </c>
      <c r="AG95" s="391"/>
      <c r="AH95" s="427">
        <f ca="1">IF(TYPE(VLOOKUP(H95,Centrum!$A$3:$E$130,5,0))&lt;4,VLOOKUP(H95,Centrum!$A$3:$E$130,5,0),0)</f>
        <v>0</v>
      </c>
      <c r="AI95" s="387" t="str">
        <f ca="1">IF(N($AH95)&gt;0,VLOOKUP($AH95,Body!$A$4:$F$259,5,0),"")</f>
        <v/>
      </c>
      <c r="AJ95" s="388" t="str">
        <f ca="1">IF(N($AH95)&gt;0,VLOOKUP($AH95,Body!$A$4:$F$259,6,0),"")</f>
        <v/>
      </c>
      <c r="AK95" s="387" t="str">
        <f ca="1">IF(N($AH95)&gt;0,VLOOKUP($AH95,Body!$A$4:$F$259,2,0),"")</f>
        <v/>
      </c>
      <c r="AL95" s="389" t="str">
        <f t="shared" ca="1" si="32"/>
        <v/>
      </c>
      <c r="AM95" s="390">
        <f t="shared" ca="1" si="33"/>
        <v>0</v>
      </c>
      <c r="AN95" s="319">
        <f ca="1">IF(OR(TYPE(I95)&gt;1,TYPE(MATCH(I95,I96:I$139,0))&gt;1),0,MATCH(I95,I96:I$139,0))+IF(OR(TYPE(I95)&gt;1,TYPE(MATCH(I95,O$11:O$139,0))&gt;1),0,MATCH(I95,O$11:O$139,0))+IF(OR(TYPE(I95)&gt;1,TYPE(MATCH(I95,U$11:U$139,0))&gt;1),0,MATCH(I95,U$11:U$139,0))+IF(OR(TYPE(I95)&gt;1,TYPE(MATCH(I95,AA$11:AA$139,0))&gt;1),0,MATCH(I95,AA$11:AA$139,0))</f>
        <v>0</v>
      </c>
      <c r="AO95" s="319">
        <f ca="1">IF(OR(TYPE(O95)&gt;1,TYPE(MATCH(O95,I$11:I$139,0))&gt;1),0,MATCH(O95,I$11:I$139,0))+IF(OR(TYPE(O95)&gt;1,TYPE(MATCH(O95,O96:O$139,0))&gt;1),0,MATCH(O95,O96:O$139,0))+IF(OR(TYPE(O95)&gt;1,TYPE(MATCH(O95,U$11:U$139,0))&gt;1),0,MATCH(O95,U$11:U$139,0))+IF(OR(TYPE(O95)&gt;1,TYPE(MATCH(O95,AA$11:AA$139,0))&gt;1),0,MATCH(O95,AA$11:AA$139,0))</f>
        <v>0</v>
      </c>
      <c r="AP95" s="319">
        <f ca="1">IF(OR(TYPE(U95)&gt;1,TYPE(MATCH(U95,I$11:I$139,0))&gt;1),0,MATCH(U95,I$11:I$139,0))+IF(OR(TYPE(U95)&gt;1,TYPE(MATCH(U95,O$11:O$139,0))&gt;1),0,MATCH(U95,O$11:O$139,0))+IF(OR(TYPE(U95)&gt;1,TYPE(MATCH(U95,U96:U$139,0))&gt;1),0,MATCH(U95,U96:U$139,0))+IF(OR(TYPE(U95)&gt;1,TYPE(MATCH(U95,AA$11:AA$139,0))&gt;1),0,MATCH(U95,AA$11:AA$139,0))</f>
        <v>0</v>
      </c>
      <c r="AQ95" s="319">
        <f ca="1">IF(OR(TYPE(AA95)&gt;1,TYPE(MATCH(AA95,I$11:I$139,0))&gt;1),0,MATCH(AA95,I$11:I$139,0))+IF(OR(TYPE(AA95)&gt;1,TYPE(MATCH(AA95,O$11:O$139,0))&gt;1),0,MATCH(AA95,O$11:O$139,0))+IF(OR(TYPE(AA95)&gt;1,TYPE(MATCH(AA95,U$11:U$139,0))&gt;1),0,MATCH(U95,U$11:U$139,0))+IF(OR(TYPE(AA95)&gt;1,TYPE(MATCH(AA95,AA96:AA$139,0))&gt;1),0,MATCH(AA95,AA96:AA$139,0))</f>
        <v>0</v>
      </c>
      <c r="AR95" s="319">
        <f t="shared" ca="1" si="36"/>
        <v>0</v>
      </c>
      <c r="AT95" s="318">
        <f t="shared" ca="1" si="34"/>
        <v>0</v>
      </c>
      <c r="AU95" s="318">
        <f ca="1">IF(AND(N(I95)&gt;0,TYPE(VLOOKUP(I95,Hraci!$A$5:$A$800,1,0))&gt;3),1,0) + IF(AND(N(O95)&gt;0,TYPE(VLOOKUP(O95,Hraci!$A$5:$A$800,1,0))&gt;3),1,0) + IF(AND(N(U95)&gt;0,TYPE(VLOOKUP(U95,Hraci!$A$5:$A$800,1,0))&gt;3),1,0)</f>
        <v>0</v>
      </c>
      <c r="BF95" s="319">
        <f t="shared" si="35"/>
        <v>85</v>
      </c>
    </row>
    <row r="96" spans="1:58" ht="12.9" x14ac:dyDescent="0.45">
      <c r="A96" s="302">
        <f t="shared" ca="1" si="20"/>
        <v>0</v>
      </c>
      <c r="B96" s="302">
        <f t="shared" ca="1" si="21"/>
        <v>0</v>
      </c>
      <c r="C96" s="302">
        <f t="shared" ca="1" si="22"/>
        <v>0</v>
      </c>
      <c r="D96" s="302">
        <f t="shared" ca="1" si="23"/>
        <v>99999</v>
      </c>
      <c r="E96" s="302">
        <f t="shared" ca="1" si="24"/>
        <v>9999</v>
      </c>
      <c r="F96" s="343" t="str">
        <f t="shared" ca="1" si="25"/>
        <v>00000000000000000000356434</v>
      </c>
      <c r="G96" s="381" t="b">
        <f t="shared" ca="1" si="26"/>
        <v>1</v>
      </c>
      <c r="H96" s="382">
        <f t="shared" si="27"/>
        <v>86</v>
      </c>
      <c r="I96" s="383" t="str">
        <f t="shared" ca="1" si="28"/>
        <v/>
      </c>
      <c r="J96" s="384" t="str">
        <f ca="1">IF(N(I96)&gt;0,VLOOKUP(I96,Hraci!$A$1:$I$1500,2,0),IF(TYPE(INDIRECT(ADDRESS(ROW() + $A$9-9 + (ROW()-11)*4,2,1,1,"Internet")))&gt;1,INDIRECT(ADDRESS(ROW() + $A$9-9 + (ROW()-11)*4,2,1,1,"Internet"))," "))</f>
        <v xml:space="preserve"> </v>
      </c>
      <c r="K96" s="385" t="str">
        <f ca="1">IF(N(I96)&gt;0,VLOOKUP(I96,Hraci!$A$1:$I$1500,3,0)," ")</f>
        <v xml:space="preserve"> </v>
      </c>
      <c r="L96" s="385" t="str">
        <f ca="1">IF(N(I96)&gt;0,VLOOKUP(I96,Hraci!$A$1:$I$1500,5,0),IF(TYPE(INDIRECT(ADDRESS(ROW() + $A$9-9 + (ROW()-11)*4,3,1,1,"Internet")))&gt;1,INDIRECT(ADDRESS(ROW() + $A$9-9 + (ROW()-11)*4,3,1,1,"Internet"))," "))</f>
        <v xml:space="preserve"> </v>
      </c>
      <c r="M96" s="319">
        <f ca="1">IF(N(I96)=0,9999,VLOOKUP(I96,Hraci!$A$1:$I$1500,8,0))</f>
        <v>9999</v>
      </c>
      <c r="N96" s="386">
        <f ca="1">IF(N(I96)=0,0,VLOOKUP(I96,Hraci!$A$1:$I$1500,9,0))</f>
        <v>0</v>
      </c>
      <c r="O96" s="383" t="str">
        <f t="shared" ca="1" si="29"/>
        <v/>
      </c>
      <c r="P96" s="384" t="str">
        <f ca="1">IF(N(O96)&gt;0,VLOOKUP(O96,Hraci!$A$1:$I$1500,2,0),IF(TYPE(INDIRECT(ADDRESS(ROW() + $A$9-8 + (ROW()-11)*4,2,1,1,"Internet")))&gt;1,INDIRECT(ADDRESS(ROW() + $A$9-8 + (ROW()-11)*4,2,1,1,"Internet"))," "))</f>
        <v xml:space="preserve"> </v>
      </c>
      <c r="Q96" s="385" t="str">
        <f ca="1">IF(N(O96)&gt;0,VLOOKUP(O96,Hraci!$A$1:$I$1500,3,0)," ")</f>
        <v xml:space="preserve"> </v>
      </c>
      <c r="R96" s="385" t="str">
        <f ca="1">IF(N(O96)&gt;0,VLOOKUP(O96,Hraci!$A$1:$I$1500,5,0),IF(TYPE(INDIRECT(ADDRESS(ROW() + $A$9-8 + (ROW()-11)*4,3,1,1,"Internet")))&gt;1,INDIRECT(ADDRESS(ROW() + $A$9-8 + (ROW()-11)*4,3,1,1,"Internet"))," "))</f>
        <v xml:space="preserve"> </v>
      </c>
      <c r="S96" s="319">
        <f ca="1">IF(N(O96)=0,9999,VLOOKUP(O96,Hraci!$A$1:$I$1500,8,0))</f>
        <v>9999</v>
      </c>
      <c r="T96" s="386">
        <f ca="1">IF(N(O96)=0,0,VLOOKUP(O96,Hraci!$A$1:$I$1500,9,0))</f>
        <v>0</v>
      </c>
      <c r="U96" s="383" t="str">
        <f t="shared" ca="1" si="30"/>
        <v/>
      </c>
      <c r="V96" s="384" t="str">
        <f ca="1">IF(N(U96)&gt;0,VLOOKUP(U96,Hraci!$A$1:$I$1500,2,0),IF(TYPE(INDIRECT(ADDRESS(ROW() + $A$9-7 + (ROW()-11)*4,2,1,1,"Internet")))&gt;1,INDIRECT(ADDRESS(ROW() + $A$9-7 + (ROW()-11)*4,2,1,1,"Internet"))," "))</f>
        <v xml:space="preserve"> </v>
      </c>
      <c r="W96" s="385" t="str">
        <f ca="1">IF(N(U96)&gt;0,VLOOKUP(U96,Hraci!$A$1:$I$1500,3,0)," ")</f>
        <v xml:space="preserve"> </v>
      </c>
      <c r="X96" s="385" t="str">
        <f ca="1">IF(N(U96)&gt;0,VLOOKUP(U96,Hraci!$A$1:$I$1500,5,0),IF(TYPE(INDIRECT(ADDRESS(ROW() + $A$9-7 + (ROW()-11)*4,3,1,1,"Internet")))&gt;1,INDIRECT(ADDRESS(ROW() + $A$9-7 + (ROW()-11)*4,3,1,1,"Internet"))," "))</f>
        <v xml:space="preserve"> </v>
      </c>
      <c r="Y96" s="319">
        <f ca="1">IF(N(U96)=0,9999,VLOOKUP(U96,Hraci!$A$1:$I$1500,8,0))</f>
        <v>9999</v>
      </c>
      <c r="Z96" s="386">
        <f ca="1">IF(N(U96)=0,0,VLOOKUP(U96,Hraci!$A$1:$I$1500,9,0))</f>
        <v>0</v>
      </c>
      <c r="AA96" s="383" t="str">
        <f t="shared" ca="1" si="31"/>
        <v/>
      </c>
      <c r="AB96" s="384" t="str">
        <f ca="1">IF(N(AA96)&gt;0,VLOOKUP(AA96,Hraci!$A$1:$I$1500,2,0)," ")</f>
        <v xml:space="preserve"> </v>
      </c>
      <c r="AC96" s="385" t="str">
        <f ca="1">IF(N(AA96)&gt;0,VLOOKUP(AA96,Hraci!$A$1:$I$1500,3,0)," ")</f>
        <v xml:space="preserve"> </v>
      </c>
      <c r="AD96" s="385" t="str">
        <f ca="1">IF(N(AA96)&gt;0,VLOOKUP(AA96,Hraci!$A$1:$I$1500,5,0)," ")</f>
        <v xml:space="preserve"> </v>
      </c>
      <c r="AE96" s="319">
        <f ca="1">IF(N(AA96)=0,9999,VLOOKUP(AA96,Hraci!$A$1:$I$1500,8,0))</f>
        <v>9999</v>
      </c>
      <c r="AF96" s="386">
        <f ca="1">IF(N(AA96)=0,0,VLOOKUP(AA96,Hraci!$A$1:$I$1500,9,0))</f>
        <v>0</v>
      </c>
      <c r="AG96" s="391"/>
      <c r="AH96" s="427">
        <f ca="1">IF(TYPE(VLOOKUP(H96,Centrum!$A$3:$E$130,5,0))&lt;4,VLOOKUP(H96,Centrum!$A$3:$E$130,5,0),0)</f>
        <v>0</v>
      </c>
      <c r="AI96" s="387" t="str">
        <f ca="1">IF(N($AH96)&gt;0,VLOOKUP($AH96,Body!$A$4:$F$259,5,0),"")</f>
        <v/>
      </c>
      <c r="AJ96" s="388" t="str">
        <f ca="1">IF(N($AH96)&gt;0,VLOOKUP($AH96,Body!$A$4:$F$259,6,0),"")</f>
        <v/>
      </c>
      <c r="AK96" s="387" t="str">
        <f ca="1">IF(N($AH96)&gt;0,VLOOKUP($AH96,Body!$A$4:$F$259,2,0),"")</f>
        <v/>
      </c>
      <c r="AL96" s="389" t="str">
        <f t="shared" ca="1" si="32"/>
        <v/>
      </c>
      <c r="AM96" s="390">
        <f t="shared" ca="1" si="33"/>
        <v>0</v>
      </c>
      <c r="AN96" s="319">
        <f ca="1">IF(OR(TYPE(I96)&gt;1,TYPE(MATCH(I96,I97:I$139,0))&gt;1),0,MATCH(I96,I97:I$139,0))+IF(OR(TYPE(I96)&gt;1,TYPE(MATCH(I96,O$11:O$139,0))&gt;1),0,MATCH(I96,O$11:O$139,0))+IF(OR(TYPE(I96)&gt;1,TYPE(MATCH(I96,U$11:U$139,0))&gt;1),0,MATCH(I96,U$11:U$139,0))+IF(OR(TYPE(I96)&gt;1,TYPE(MATCH(I96,AA$11:AA$139,0))&gt;1),0,MATCH(I96,AA$11:AA$139,0))</f>
        <v>0</v>
      </c>
      <c r="AO96" s="319">
        <f ca="1">IF(OR(TYPE(O96)&gt;1,TYPE(MATCH(O96,I$11:I$139,0))&gt;1),0,MATCH(O96,I$11:I$139,0))+IF(OR(TYPE(O96)&gt;1,TYPE(MATCH(O96,O97:O$139,0))&gt;1),0,MATCH(O96,O97:O$139,0))+IF(OR(TYPE(O96)&gt;1,TYPE(MATCH(O96,U$11:U$139,0))&gt;1),0,MATCH(O96,U$11:U$139,0))+IF(OR(TYPE(O96)&gt;1,TYPE(MATCH(O96,AA$11:AA$139,0))&gt;1),0,MATCH(O96,AA$11:AA$139,0))</f>
        <v>0</v>
      </c>
      <c r="AP96" s="319">
        <f ca="1">IF(OR(TYPE(U96)&gt;1,TYPE(MATCH(U96,I$11:I$139,0))&gt;1),0,MATCH(U96,I$11:I$139,0))+IF(OR(TYPE(U96)&gt;1,TYPE(MATCH(U96,O$11:O$139,0))&gt;1),0,MATCH(U96,O$11:O$139,0))+IF(OR(TYPE(U96)&gt;1,TYPE(MATCH(U96,U97:U$139,0))&gt;1),0,MATCH(U96,U97:U$139,0))+IF(OR(TYPE(U96)&gt;1,TYPE(MATCH(U96,AA$11:AA$139,0))&gt;1),0,MATCH(U96,AA$11:AA$139,0))</f>
        <v>0</v>
      </c>
      <c r="AQ96" s="319">
        <f ca="1">IF(OR(TYPE(AA96)&gt;1,TYPE(MATCH(AA96,I$11:I$139,0))&gt;1),0,MATCH(AA96,I$11:I$139,0))+IF(OR(TYPE(AA96)&gt;1,TYPE(MATCH(AA96,O$11:O$139,0))&gt;1),0,MATCH(AA96,O$11:O$139,0))+IF(OR(TYPE(AA96)&gt;1,TYPE(MATCH(AA96,U$11:U$139,0))&gt;1),0,MATCH(U96,U$11:U$139,0))+IF(OR(TYPE(AA96)&gt;1,TYPE(MATCH(AA96,AA97:AA$139,0))&gt;1),0,MATCH(AA96,AA97:AA$139,0))</f>
        <v>0</v>
      </c>
      <c r="AR96" s="319">
        <f t="shared" ca="1" si="36"/>
        <v>0</v>
      </c>
      <c r="AT96" s="318">
        <f t="shared" ca="1" si="34"/>
        <v>0</v>
      </c>
      <c r="AU96" s="318">
        <f ca="1">IF(AND(N(I96)&gt;0,TYPE(VLOOKUP(I96,Hraci!$A$5:$A$800,1,0))&gt;3),1,0) + IF(AND(N(O96)&gt;0,TYPE(VLOOKUP(O96,Hraci!$A$5:$A$800,1,0))&gt;3),1,0) + IF(AND(N(U96)&gt;0,TYPE(VLOOKUP(U96,Hraci!$A$5:$A$800,1,0))&gt;3),1,0)</f>
        <v>0</v>
      </c>
      <c r="BF96" s="319">
        <f t="shared" si="35"/>
        <v>86</v>
      </c>
    </row>
    <row r="97" spans="1:58" ht="12.9" x14ac:dyDescent="0.45">
      <c r="A97" s="302">
        <f t="shared" ca="1" si="20"/>
        <v>0</v>
      </c>
      <c r="B97" s="302">
        <f t="shared" ca="1" si="21"/>
        <v>0</v>
      </c>
      <c r="C97" s="302">
        <f t="shared" ca="1" si="22"/>
        <v>0</v>
      </c>
      <c r="D97" s="302">
        <f t="shared" ca="1" si="23"/>
        <v>99999</v>
      </c>
      <c r="E97" s="302">
        <f t="shared" ca="1" si="24"/>
        <v>9999</v>
      </c>
      <c r="F97" s="343" t="str">
        <f t="shared" ca="1" si="25"/>
        <v>00000000000000000000611624</v>
      </c>
      <c r="G97" s="381" t="b">
        <f t="shared" ca="1" si="26"/>
        <v>1</v>
      </c>
      <c r="H97" s="382">
        <f t="shared" si="27"/>
        <v>87</v>
      </c>
      <c r="I97" s="383" t="str">
        <f t="shared" ca="1" si="28"/>
        <v/>
      </c>
      <c r="J97" s="384" t="str">
        <f ca="1">IF(N(I97)&gt;0,VLOOKUP(I97,Hraci!$A$1:$I$1500,2,0),IF(TYPE(INDIRECT(ADDRESS(ROW() + $A$9-9 + (ROW()-11)*4,2,1,1,"Internet")))&gt;1,INDIRECT(ADDRESS(ROW() + $A$9-9 + (ROW()-11)*4,2,1,1,"Internet"))," "))</f>
        <v xml:space="preserve"> </v>
      </c>
      <c r="K97" s="385" t="str">
        <f ca="1">IF(N(I97)&gt;0,VLOOKUP(I97,Hraci!$A$1:$I$1500,3,0)," ")</f>
        <v xml:space="preserve"> </v>
      </c>
      <c r="L97" s="385" t="str">
        <f ca="1">IF(N(I97)&gt;0,VLOOKUP(I97,Hraci!$A$1:$I$1500,5,0),IF(TYPE(INDIRECT(ADDRESS(ROW() + $A$9-9 + (ROW()-11)*4,3,1,1,"Internet")))&gt;1,INDIRECT(ADDRESS(ROW() + $A$9-9 + (ROW()-11)*4,3,1,1,"Internet"))," "))</f>
        <v xml:space="preserve"> </v>
      </c>
      <c r="M97" s="319">
        <f ca="1">IF(N(I97)=0,9999,VLOOKUP(I97,Hraci!$A$1:$I$1500,8,0))</f>
        <v>9999</v>
      </c>
      <c r="N97" s="386">
        <f ca="1">IF(N(I97)=0,0,VLOOKUP(I97,Hraci!$A$1:$I$1500,9,0))</f>
        <v>0</v>
      </c>
      <c r="O97" s="383" t="str">
        <f t="shared" ca="1" si="29"/>
        <v/>
      </c>
      <c r="P97" s="384" t="str">
        <f ca="1">IF(N(O97)&gt;0,VLOOKUP(O97,Hraci!$A$1:$I$1500,2,0),IF(TYPE(INDIRECT(ADDRESS(ROW() + $A$9-8 + (ROW()-11)*4,2,1,1,"Internet")))&gt;1,INDIRECT(ADDRESS(ROW() + $A$9-8 + (ROW()-11)*4,2,1,1,"Internet"))," "))</f>
        <v xml:space="preserve"> </v>
      </c>
      <c r="Q97" s="385" t="str">
        <f ca="1">IF(N(O97)&gt;0,VLOOKUP(O97,Hraci!$A$1:$I$1500,3,0)," ")</f>
        <v xml:space="preserve"> </v>
      </c>
      <c r="R97" s="385" t="str">
        <f ca="1">IF(N(O97)&gt;0,VLOOKUP(O97,Hraci!$A$1:$I$1500,5,0),IF(TYPE(INDIRECT(ADDRESS(ROW() + $A$9-8 + (ROW()-11)*4,3,1,1,"Internet")))&gt;1,INDIRECT(ADDRESS(ROW() + $A$9-8 + (ROW()-11)*4,3,1,1,"Internet"))," "))</f>
        <v xml:space="preserve"> </v>
      </c>
      <c r="S97" s="319">
        <f ca="1">IF(N(O97)=0,9999,VLOOKUP(O97,Hraci!$A$1:$I$1500,8,0))</f>
        <v>9999</v>
      </c>
      <c r="T97" s="386">
        <f ca="1">IF(N(O97)=0,0,VLOOKUP(O97,Hraci!$A$1:$I$1500,9,0))</f>
        <v>0</v>
      </c>
      <c r="U97" s="383" t="str">
        <f t="shared" ca="1" si="30"/>
        <v/>
      </c>
      <c r="V97" s="384" t="str">
        <f ca="1">IF(N(U97)&gt;0,VLOOKUP(U97,Hraci!$A$1:$I$1500,2,0),IF(TYPE(INDIRECT(ADDRESS(ROW() + $A$9-7 + (ROW()-11)*4,2,1,1,"Internet")))&gt;1,INDIRECT(ADDRESS(ROW() + $A$9-7 + (ROW()-11)*4,2,1,1,"Internet"))," "))</f>
        <v xml:space="preserve"> </v>
      </c>
      <c r="W97" s="385" t="str">
        <f ca="1">IF(N(U97)&gt;0,VLOOKUP(U97,Hraci!$A$1:$I$1500,3,0)," ")</f>
        <v xml:space="preserve"> </v>
      </c>
      <c r="X97" s="385" t="str">
        <f ca="1">IF(N(U97)&gt;0,VLOOKUP(U97,Hraci!$A$1:$I$1500,5,0),IF(TYPE(INDIRECT(ADDRESS(ROW() + $A$9-7 + (ROW()-11)*4,3,1,1,"Internet")))&gt;1,INDIRECT(ADDRESS(ROW() + $A$9-7 + (ROW()-11)*4,3,1,1,"Internet"))," "))</f>
        <v xml:space="preserve"> </v>
      </c>
      <c r="Y97" s="319">
        <f ca="1">IF(N(U97)=0,9999,VLOOKUP(U97,Hraci!$A$1:$I$1500,8,0))</f>
        <v>9999</v>
      </c>
      <c r="Z97" s="386">
        <f ca="1">IF(N(U97)=0,0,VLOOKUP(U97,Hraci!$A$1:$I$1500,9,0))</f>
        <v>0</v>
      </c>
      <c r="AA97" s="383" t="str">
        <f t="shared" ca="1" si="31"/>
        <v/>
      </c>
      <c r="AB97" s="384" t="str">
        <f ca="1">IF(N(AA97)&gt;0,VLOOKUP(AA97,Hraci!$A$1:$I$1500,2,0)," ")</f>
        <v xml:space="preserve"> </v>
      </c>
      <c r="AC97" s="385" t="str">
        <f ca="1">IF(N(AA97)&gt;0,VLOOKUP(AA97,Hraci!$A$1:$I$1500,3,0)," ")</f>
        <v xml:space="preserve"> </v>
      </c>
      <c r="AD97" s="385" t="str">
        <f ca="1">IF(N(AA97)&gt;0,VLOOKUP(AA97,Hraci!$A$1:$I$1500,5,0)," ")</f>
        <v xml:space="preserve"> </v>
      </c>
      <c r="AE97" s="319">
        <f ca="1">IF(N(AA97)=0,9999,VLOOKUP(AA97,Hraci!$A$1:$I$1500,8,0))</f>
        <v>9999</v>
      </c>
      <c r="AF97" s="386">
        <f ca="1">IF(N(AA97)=0,0,VLOOKUP(AA97,Hraci!$A$1:$I$1500,9,0))</f>
        <v>0</v>
      </c>
      <c r="AG97" s="391"/>
      <c r="AH97" s="427">
        <f ca="1">IF(TYPE(VLOOKUP(H97,Centrum!$A$3:$E$130,5,0))&lt;4,VLOOKUP(H97,Centrum!$A$3:$E$130,5,0),0)</f>
        <v>0</v>
      </c>
      <c r="AI97" s="387" t="str">
        <f ca="1">IF(N($AH97)&gt;0,VLOOKUP($AH97,Body!$A$4:$F$259,5,0),"")</f>
        <v/>
      </c>
      <c r="AJ97" s="388" t="str">
        <f ca="1">IF(N($AH97)&gt;0,VLOOKUP($AH97,Body!$A$4:$F$259,6,0),"")</f>
        <v/>
      </c>
      <c r="AK97" s="387" t="str">
        <f ca="1">IF(N($AH97)&gt;0,VLOOKUP($AH97,Body!$A$4:$F$259,2,0),"")</f>
        <v/>
      </c>
      <c r="AL97" s="389" t="str">
        <f t="shared" ca="1" si="32"/>
        <v/>
      </c>
      <c r="AM97" s="390">
        <f t="shared" ca="1" si="33"/>
        <v>0</v>
      </c>
      <c r="AN97" s="319">
        <f ca="1">IF(OR(TYPE(I97)&gt;1,TYPE(MATCH(I97,I98:I$139,0))&gt;1),0,MATCH(I97,I98:I$139,0))+IF(OR(TYPE(I97)&gt;1,TYPE(MATCH(I97,O$11:O$139,0))&gt;1),0,MATCH(I97,O$11:O$139,0))+IF(OR(TYPE(I97)&gt;1,TYPE(MATCH(I97,U$11:U$139,0))&gt;1),0,MATCH(I97,U$11:U$139,0))+IF(OR(TYPE(I97)&gt;1,TYPE(MATCH(I97,AA$11:AA$139,0))&gt;1),0,MATCH(I97,AA$11:AA$139,0))</f>
        <v>0</v>
      </c>
      <c r="AO97" s="319">
        <f ca="1">IF(OR(TYPE(O97)&gt;1,TYPE(MATCH(O97,I$11:I$139,0))&gt;1),0,MATCH(O97,I$11:I$139,0))+IF(OR(TYPE(O97)&gt;1,TYPE(MATCH(O97,O98:O$139,0))&gt;1),0,MATCH(O97,O98:O$139,0))+IF(OR(TYPE(O97)&gt;1,TYPE(MATCH(O97,U$11:U$139,0))&gt;1),0,MATCH(O97,U$11:U$139,0))+IF(OR(TYPE(O97)&gt;1,TYPE(MATCH(O97,AA$11:AA$139,0))&gt;1),0,MATCH(O97,AA$11:AA$139,0))</f>
        <v>0</v>
      </c>
      <c r="AP97" s="319">
        <f ca="1">IF(OR(TYPE(U97)&gt;1,TYPE(MATCH(U97,I$11:I$139,0))&gt;1),0,MATCH(U97,I$11:I$139,0))+IF(OR(TYPE(U97)&gt;1,TYPE(MATCH(U97,O$11:O$139,0))&gt;1),0,MATCH(U97,O$11:O$139,0))+IF(OR(TYPE(U97)&gt;1,TYPE(MATCH(U97,U98:U$139,0))&gt;1),0,MATCH(U97,U98:U$139,0))+IF(OR(TYPE(U97)&gt;1,TYPE(MATCH(U97,AA$11:AA$139,0))&gt;1),0,MATCH(U97,AA$11:AA$139,0))</f>
        <v>0</v>
      </c>
      <c r="AQ97" s="319">
        <f ca="1">IF(OR(TYPE(AA97)&gt;1,TYPE(MATCH(AA97,I$11:I$139,0))&gt;1),0,MATCH(AA97,I$11:I$139,0))+IF(OR(TYPE(AA97)&gt;1,TYPE(MATCH(AA97,O$11:O$139,0))&gt;1),0,MATCH(AA97,O$11:O$139,0))+IF(OR(TYPE(AA97)&gt;1,TYPE(MATCH(AA97,U$11:U$139,0))&gt;1),0,MATCH(U97,U$11:U$139,0))+IF(OR(TYPE(AA97)&gt;1,TYPE(MATCH(AA97,AA98:AA$139,0))&gt;1),0,MATCH(AA97,AA98:AA$139,0))</f>
        <v>0</v>
      </c>
      <c r="AR97" s="319">
        <f t="shared" ca="1" si="36"/>
        <v>0</v>
      </c>
      <c r="AT97" s="318">
        <f t="shared" ca="1" si="34"/>
        <v>0</v>
      </c>
      <c r="AU97" s="318">
        <f ca="1">IF(AND(N(I97)&gt;0,TYPE(VLOOKUP(I97,Hraci!$A$5:$A$800,1,0))&gt;3),1,0) + IF(AND(N(O97)&gt;0,TYPE(VLOOKUP(O97,Hraci!$A$5:$A$800,1,0))&gt;3),1,0) + IF(AND(N(U97)&gt;0,TYPE(VLOOKUP(U97,Hraci!$A$5:$A$800,1,0))&gt;3),1,0)</f>
        <v>0</v>
      </c>
      <c r="BF97" s="319">
        <f t="shared" si="35"/>
        <v>87</v>
      </c>
    </row>
    <row r="98" spans="1:58" ht="12.9" x14ac:dyDescent="0.45">
      <c r="A98" s="302">
        <f t="shared" ca="1" si="20"/>
        <v>0</v>
      </c>
      <c r="B98" s="302">
        <f t="shared" ca="1" si="21"/>
        <v>0</v>
      </c>
      <c r="C98" s="302">
        <f t="shared" ca="1" si="22"/>
        <v>0</v>
      </c>
      <c r="D98" s="302">
        <f t="shared" ca="1" si="23"/>
        <v>99999</v>
      </c>
      <c r="E98" s="302">
        <f t="shared" ca="1" si="24"/>
        <v>9999</v>
      </c>
      <c r="F98" s="343" t="str">
        <f t="shared" ca="1" si="25"/>
        <v>00000000000000000000587954</v>
      </c>
      <c r="G98" s="381" t="b">
        <f t="shared" ca="1" si="26"/>
        <v>1</v>
      </c>
      <c r="H98" s="382">
        <f t="shared" si="27"/>
        <v>88</v>
      </c>
      <c r="I98" s="383" t="str">
        <f t="shared" ca="1" si="28"/>
        <v/>
      </c>
      <c r="J98" s="384" t="str">
        <f ca="1">IF(N(I98)&gt;0,VLOOKUP(I98,Hraci!$A$1:$I$1500,2,0),IF(TYPE(INDIRECT(ADDRESS(ROW() + $A$9-9 + (ROW()-11)*4,2,1,1,"Internet")))&gt;1,INDIRECT(ADDRESS(ROW() + $A$9-9 + (ROW()-11)*4,2,1,1,"Internet"))," "))</f>
        <v xml:space="preserve"> </v>
      </c>
      <c r="K98" s="385" t="str">
        <f ca="1">IF(N(I98)&gt;0,VLOOKUP(I98,Hraci!$A$1:$I$1500,3,0)," ")</f>
        <v xml:space="preserve"> </v>
      </c>
      <c r="L98" s="385" t="str">
        <f ca="1">IF(N(I98)&gt;0,VLOOKUP(I98,Hraci!$A$1:$I$1500,5,0),IF(TYPE(INDIRECT(ADDRESS(ROW() + $A$9-9 + (ROW()-11)*4,3,1,1,"Internet")))&gt;1,INDIRECT(ADDRESS(ROW() + $A$9-9 + (ROW()-11)*4,3,1,1,"Internet"))," "))</f>
        <v xml:space="preserve"> </v>
      </c>
      <c r="M98" s="319">
        <f ca="1">IF(N(I98)=0,9999,VLOOKUP(I98,Hraci!$A$1:$I$1500,8,0))</f>
        <v>9999</v>
      </c>
      <c r="N98" s="386">
        <f ca="1">IF(N(I98)=0,0,VLOOKUP(I98,Hraci!$A$1:$I$1500,9,0))</f>
        <v>0</v>
      </c>
      <c r="O98" s="383" t="str">
        <f t="shared" ca="1" si="29"/>
        <v/>
      </c>
      <c r="P98" s="384" t="str">
        <f ca="1">IF(N(O98)&gt;0,VLOOKUP(O98,Hraci!$A$1:$I$1500,2,0),IF(TYPE(INDIRECT(ADDRESS(ROW() + $A$9-8 + (ROW()-11)*4,2,1,1,"Internet")))&gt;1,INDIRECT(ADDRESS(ROW() + $A$9-8 + (ROW()-11)*4,2,1,1,"Internet"))," "))</f>
        <v xml:space="preserve"> </v>
      </c>
      <c r="Q98" s="385" t="str">
        <f ca="1">IF(N(O98)&gt;0,VLOOKUP(O98,Hraci!$A$1:$I$1500,3,0)," ")</f>
        <v xml:space="preserve"> </v>
      </c>
      <c r="R98" s="385" t="str">
        <f ca="1">IF(N(O98)&gt;0,VLOOKUP(O98,Hraci!$A$1:$I$1500,5,0),IF(TYPE(INDIRECT(ADDRESS(ROW() + $A$9-8 + (ROW()-11)*4,3,1,1,"Internet")))&gt;1,INDIRECT(ADDRESS(ROW() + $A$9-8 + (ROW()-11)*4,3,1,1,"Internet"))," "))</f>
        <v xml:space="preserve"> </v>
      </c>
      <c r="S98" s="319">
        <f ca="1">IF(N(O98)=0,9999,VLOOKUP(O98,Hraci!$A$1:$I$1500,8,0))</f>
        <v>9999</v>
      </c>
      <c r="T98" s="386">
        <f ca="1">IF(N(O98)=0,0,VLOOKUP(O98,Hraci!$A$1:$I$1500,9,0))</f>
        <v>0</v>
      </c>
      <c r="U98" s="383" t="str">
        <f t="shared" ca="1" si="30"/>
        <v/>
      </c>
      <c r="V98" s="384" t="str">
        <f ca="1">IF(N(U98)&gt;0,VLOOKUP(U98,Hraci!$A$1:$I$1500,2,0),IF(TYPE(INDIRECT(ADDRESS(ROW() + $A$9-7 + (ROW()-11)*4,2,1,1,"Internet")))&gt;1,INDIRECT(ADDRESS(ROW() + $A$9-7 + (ROW()-11)*4,2,1,1,"Internet"))," "))</f>
        <v xml:space="preserve"> </v>
      </c>
      <c r="W98" s="385" t="str">
        <f ca="1">IF(N(U98)&gt;0,VLOOKUP(U98,Hraci!$A$1:$I$1500,3,0)," ")</f>
        <v xml:space="preserve"> </v>
      </c>
      <c r="X98" s="385" t="str">
        <f ca="1">IF(N(U98)&gt;0,VLOOKUP(U98,Hraci!$A$1:$I$1500,5,0),IF(TYPE(INDIRECT(ADDRESS(ROW() + $A$9-7 + (ROW()-11)*4,3,1,1,"Internet")))&gt;1,INDIRECT(ADDRESS(ROW() + $A$9-7 + (ROW()-11)*4,3,1,1,"Internet"))," "))</f>
        <v xml:space="preserve"> </v>
      </c>
      <c r="Y98" s="319">
        <f ca="1">IF(N(U98)=0,9999,VLOOKUP(U98,Hraci!$A$1:$I$1500,8,0))</f>
        <v>9999</v>
      </c>
      <c r="Z98" s="386">
        <f ca="1">IF(N(U98)=0,0,VLOOKUP(U98,Hraci!$A$1:$I$1500,9,0))</f>
        <v>0</v>
      </c>
      <c r="AA98" s="383" t="str">
        <f t="shared" ca="1" si="31"/>
        <v/>
      </c>
      <c r="AB98" s="384" t="str">
        <f ca="1">IF(N(AA98)&gt;0,VLOOKUP(AA98,Hraci!$A$1:$I$1500,2,0)," ")</f>
        <v xml:space="preserve"> </v>
      </c>
      <c r="AC98" s="385" t="str">
        <f ca="1">IF(N(AA98)&gt;0,VLOOKUP(AA98,Hraci!$A$1:$I$1500,3,0)," ")</f>
        <v xml:space="preserve"> </v>
      </c>
      <c r="AD98" s="385" t="str">
        <f ca="1">IF(N(AA98)&gt;0,VLOOKUP(AA98,Hraci!$A$1:$I$1500,5,0)," ")</f>
        <v xml:space="preserve"> </v>
      </c>
      <c r="AE98" s="319">
        <f ca="1">IF(N(AA98)=0,9999,VLOOKUP(AA98,Hraci!$A$1:$I$1500,8,0))</f>
        <v>9999</v>
      </c>
      <c r="AF98" s="386">
        <f ca="1">IF(N(AA98)=0,0,VLOOKUP(AA98,Hraci!$A$1:$I$1500,9,0))</f>
        <v>0</v>
      </c>
      <c r="AG98" s="391"/>
      <c r="AH98" s="427">
        <f ca="1">IF(TYPE(VLOOKUP(H98,Centrum!$A$3:$E$130,5,0))&lt;4,VLOOKUP(H98,Centrum!$A$3:$E$130,5,0),0)</f>
        <v>0</v>
      </c>
      <c r="AI98" s="387" t="str">
        <f ca="1">IF(N($AH98)&gt;0,VLOOKUP($AH98,Body!$A$4:$F$259,5,0),"")</f>
        <v/>
      </c>
      <c r="AJ98" s="388" t="str">
        <f ca="1">IF(N($AH98)&gt;0,VLOOKUP($AH98,Body!$A$4:$F$259,6,0),"")</f>
        <v/>
      </c>
      <c r="AK98" s="387" t="str">
        <f ca="1">IF(N($AH98)&gt;0,VLOOKUP($AH98,Body!$A$4:$F$259,2,0),"")</f>
        <v/>
      </c>
      <c r="AL98" s="389" t="str">
        <f t="shared" ca="1" si="32"/>
        <v/>
      </c>
      <c r="AM98" s="390">
        <f t="shared" ca="1" si="33"/>
        <v>0</v>
      </c>
      <c r="AN98" s="319">
        <f ca="1">IF(OR(TYPE(I98)&gt;1,TYPE(MATCH(I98,I99:I$139,0))&gt;1),0,MATCH(I98,I99:I$139,0))+IF(OR(TYPE(I98)&gt;1,TYPE(MATCH(I98,O$11:O$139,0))&gt;1),0,MATCH(I98,O$11:O$139,0))+IF(OR(TYPE(I98)&gt;1,TYPE(MATCH(I98,U$11:U$139,0))&gt;1),0,MATCH(I98,U$11:U$139,0))+IF(OR(TYPE(I98)&gt;1,TYPE(MATCH(I98,AA$11:AA$139,0))&gt;1),0,MATCH(I98,AA$11:AA$139,0))</f>
        <v>0</v>
      </c>
      <c r="AO98" s="319">
        <f ca="1">IF(OR(TYPE(O98)&gt;1,TYPE(MATCH(O98,I$11:I$139,0))&gt;1),0,MATCH(O98,I$11:I$139,0))+IF(OR(TYPE(O98)&gt;1,TYPE(MATCH(O98,O99:O$139,0))&gt;1),0,MATCH(O98,O99:O$139,0))+IF(OR(TYPE(O98)&gt;1,TYPE(MATCH(O98,U$11:U$139,0))&gt;1),0,MATCH(O98,U$11:U$139,0))+IF(OR(TYPE(O98)&gt;1,TYPE(MATCH(O98,AA$11:AA$139,0))&gt;1),0,MATCH(O98,AA$11:AA$139,0))</f>
        <v>0</v>
      </c>
      <c r="AP98" s="319">
        <f ca="1">IF(OR(TYPE(U98)&gt;1,TYPE(MATCH(U98,I$11:I$139,0))&gt;1),0,MATCH(U98,I$11:I$139,0))+IF(OR(TYPE(U98)&gt;1,TYPE(MATCH(U98,O$11:O$139,0))&gt;1),0,MATCH(U98,O$11:O$139,0))+IF(OR(TYPE(U98)&gt;1,TYPE(MATCH(U98,U99:U$139,0))&gt;1),0,MATCH(U98,U99:U$139,0))+IF(OR(TYPE(U98)&gt;1,TYPE(MATCH(U98,AA$11:AA$139,0))&gt;1),0,MATCH(U98,AA$11:AA$139,0))</f>
        <v>0</v>
      </c>
      <c r="AQ98" s="319">
        <f ca="1">IF(OR(TYPE(AA98)&gt;1,TYPE(MATCH(AA98,I$11:I$139,0))&gt;1),0,MATCH(AA98,I$11:I$139,0))+IF(OR(TYPE(AA98)&gt;1,TYPE(MATCH(AA98,O$11:O$139,0))&gt;1),0,MATCH(AA98,O$11:O$139,0))+IF(OR(TYPE(AA98)&gt;1,TYPE(MATCH(AA98,U$11:U$139,0))&gt;1),0,MATCH(U98,U$11:U$139,0))+IF(OR(TYPE(AA98)&gt;1,TYPE(MATCH(AA98,AA99:AA$139,0))&gt;1),0,MATCH(AA98,AA99:AA$139,0))</f>
        <v>0</v>
      </c>
      <c r="AR98" s="319">
        <f t="shared" ca="1" si="36"/>
        <v>0</v>
      </c>
      <c r="AT98" s="318">
        <f t="shared" ca="1" si="34"/>
        <v>0</v>
      </c>
      <c r="AU98" s="318">
        <f ca="1">IF(AND(N(I98)&gt;0,TYPE(VLOOKUP(I98,Hraci!$A$5:$A$800,1,0))&gt;3),1,0) + IF(AND(N(O98)&gt;0,TYPE(VLOOKUP(O98,Hraci!$A$5:$A$800,1,0))&gt;3),1,0) + IF(AND(N(U98)&gt;0,TYPE(VLOOKUP(U98,Hraci!$A$5:$A$800,1,0))&gt;3),1,0)</f>
        <v>0</v>
      </c>
      <c r="BF98" s="319">
        <f t="shared" si="35"/>
        <v>88</v>
      </c>
    </row>
    <row r="99" spans="1:58" ht="12.9" x14ac:dyDescent="0.45">
      <c r="A99" s="302">
        <f t="shared" ca="1" si="20"/>
        <v>0</v>
      </c>
      <c r="B99" s="302">
        <f t="shared" ca="1" si="21"/>
        <v>0</v>
      </c>
      <c r="C99" s="302">
        <f t="shared" ca="1" si="22"/>
        <v>0</v>
      </c>
      <c r="D99" s="302">
        <f t="shared" ca="1" si="23"/>
        <v>99999</v>
      </c>
      <c r="E99" s="302">
        <f t="shared" ca="1" si="24"/>
        <v>9999</v>
      </c>
      <c r="F99" s="343" t="str">
        <f t="shared" ca="1" si="25"/>
        <v>00000000000000000000932651</v>
      </c>
      <c r="G99" s="381" t="b">
        <f t="shared" ca="1" si="26"/>
        <v>1</v>
      </c>
      <c r="H99" s="382">
        <f t="shared" si="27"/>
        <v>89</v>
      </c>
      <c r="I99" s="383" t="str">
        <f t="shared" ca="1" si="28"/>
        <v/>
      </c>
      <c r="J99" s="384" t="str">
        <f ca="1">IF(N(I99)&gt;0,VLOOKUP(I99,Hraci!$A$1:$I$1500,2,0),IF(TYPE(INDIRECT(ADDRESS(ROW() + $A$9-9 + (ROW()-11)*4,2,1,1,"Internet")))&gt;1,INDIRECT(ADDRESS(ROW() + $A$9-9 + (ROW()-11)*4,2,1,1,"Internet"))," "))</f>
        <v xml:space="preserve"> </v>
      </c>
      <c r="K99" s="385" t="str">
        <f ca="1">IF(N(I99)&gt;0,VLOOKUP(I99,Hraci!$A$1:$I$1500,3,0)," ")</f>
        <v xml:space="preserve"> </v>
      </c>
      <c r="L99" s="385" t="str">
        <f ca="1">IF(N(I99)&gt;0,VLOOKUP(I99,Hraci!$A$1:$I$1500,5,0),IF(TYPE(INDIRECT(ADDRESS(ROW() + $A$9-9 + (ROW()-11)*4,3,1,1,"Internet")))&gt;1,INDIRECT(ADDRESS(ROW() + $A$9-9 + (ROW()-11)*4,3,1,1,"Internet"))," "))</f>
        <v xml:space="preserve"> </v>
      </c>
      <c r="M99" s="319">
        <f ca="1">IF(N(I99)=0,9999,VLOOKUP(I99,Hraci!$A$1:$I$1500,8,0))</f>
        <v>9999</v>
      </c>
      <c r="N99" s="386">
        <f ca="1">IF(N(I99)=0,0,VLOOKUP(I99,Hraci!$A$1:$I$1500,9,0))</f>
        <v>0</v>
      </c>
      <c r="O99" s="383" t="str">
        <f t="shared" ca="1" si="29"/>
        <v/>
      </c>
      <c r="P99" s="384" t="str">
        <f ca="1">IF(N(O99)&gt;0,VLOOKUP(O99,Hraci!$A$1:$I$1500,2,0),IF(TYPE(INDIRECT(ADDRESS(ROW() + $A$9-8 + (ROW()-11)*4,2,1,1,"Internet")))&gt;1,INDIRECT(ADDRESS(ROW() + $A$9-8 + (ROW()-11)*4,2,1,1,"Internet"))," "))</f>
        <v xml:space="preserve"> </v>
      </c>
      <c r="Q99" s="385" t="str">
        <f ca="1">IF(N(O99)&gt;0,VLOOKUP(O99,Hraci!$A$1:$I$1500,3,0)," ")</f>
        <v xml:space="preserve"> </v>
      </c>
      <c r="R99" s="385" t="str">
        <f ca="1">IF(N(O99)&gt;0,VLOOKUP(O99,Hraci!$A$1:$I$1500,5,0),IF(TYPE(INDIRECT(ADDRESS(ROW() + $A$9-8 + (ROW()-11)*4,3,1,1,"Internet")))&gt;1,INDIRECT(ADDRESS(ROW() + $A$9-8 + (ROW()-11)*4,3,1,1,"Internet"))," "))</f>
        <v xml:space="preserve"> </v>
      </c>
      <c r="S99" s="319">
        <f ca="1">IF(N(O99)=0,9999,VLOOKUP(O99,Hraci!$A$1:$I$1500,8,0))</f>
        <v>9999</v>
      </c>
      <c r="T99" s="386">
        <f ca="1">IF(N(O99)=0,0,VLOOKUP(O99,Hraci!$A$1:$I$1500,9,0))</f>
        <v>0</v>
      </c>
      <c r="U99" s="383" t="str">
        <f t="shared" ca="1" si="30"/>
        <v/>
      </c>
      <c r="V99" s="384" t="str">
        <f ca="1">IF(N(U99)&gt;0,VLOOKUP(U99,Hraci!$A$1:$I$1500,2,0),IF(TYPE(INDIRECT(ADDRESS(ROW() + $A$9-7 + (ROW()-11)*4,2,1,1,"Internet")))&gt;1,INDIRECT(ADDRESS(ROW() + $A$9-7 + (ROW()-11)*4,2,1,1,"Internet"))," "))</f>
        <v xml:space="preserve"> </v>
      </c>
      <c r="W99" s="385" t="str">
        <f ca="1">IF(N(U99)&gt;0,VLOOKUP(U99,Hraci!$A$1:$I$1500,3,0)," ")</f>
        <v xml:space="preserve"> </v>
      </c>
      <c r="X99" s="385" t="str">
        <f ca="1">IF(N(U99)&gt;0,VLOOKUP(U99,Hraci!$A$1:$I$1500,5,0),IF(TYPE(INDIRECT(ADDRESS(ROW() + $A$9-7 + (ROW()-11)*4,3,1,1,"Internet")))&gt;1,INDIRECT(ADDRESS(ROW() + $A$9-7 + (ROW()-11)*4,3,1,1,"Internet"))," "))</f>
        <v xml:space="preserve"> </v>
      </c>
      <c r="Y99" s="319">
        <f ca="1">IF(N(U99)=0,9999,VLOOKUP(U99,Hraci!$A$1:$I$1500,8,0))</f>
        <v>9999</v>
      </c>
      <c r="Z99" s="386">
        <f ca="1">IF(N(U99)=0,0,VLOOKUP(U99,Hraci!$A$1:$I$1500,9,0))</f>
        <v>0</v>
      </c>
      <c r="AA99" s="383" t="str">
        <f t="shared" ca="1" si="31"/>
        <v/>
      </c>
      <c r="AB99" s="384" t="str">
        <f ca="1">IF(N(AA99)&gt;0,VLOOKUP(AA99,Hraci!$A$1:$I$1500,2,0)," ")</f>
        <v xml:space="preserve"> </v>
      </c>
      <c r="AC99" s="385" t="str">
        <f ca="1">IF(N(AA99)&gt;0,VLOOKUP(AA99,Hraci!$A$1:$I$1500,3,0)," ")</f>
        <v xml:space="preserve"> </v>
      </c>
      <c r="AD99" s="385" t="str">
        <f ca="1">IF(N(AA99)&gt;0,VLOOKUP(AA99,Hraci!$A$1:$I$1500,5,0)," ")</f>
        <v xml:space="preserve"> </v>
      </c>
      <c r="AE99" s="319">
        <f ca="1">IF(N(AA99)=0,9999,VLOOKUP(AA99,Hraci!$A$1:$I$1500,8,0))</f>
        <v>9999</v>
      </c>
      <c r="AF99" s="386">
        <f ca="1">IF(N(AA99)=0,0,VLOOKUP(AA99,Hraci!$A$1:$I$1500,9,0))</f>
        <v>0</v>
      </c>
      <c r="AG99" s="391"/>
      <c r="AH99" s="427">
        <f ca="1">IF(TYPE(VLOOKUP(H99,Centrum!$A$3:$E$130,5,0))&lt;4,VLOOKUP(H99,Centrum!$A$3:$E$130,5,0),0)</f>
        <v>0</v>
      </c>
      <c r="AI99" s="387" t="str">
        <f ca="1">IF(N($AH99)&gt;0,VLOOKUP($AH99,Body!$A$4:$F$259,5,0),"")</f>
        <v/>
      </c>
      <c r="AJ99" s="388" t="str">
        <f ca="1">IF(N($AH99)&gt;0,VLOOKUP($AH99,Body!$A$4:$F$259,6,0),"")</f>
        <v/>
      </c>
      <c r="AK99" s="387" t="str">
        <f ca="1">IF(N($AH99)&gt;0,VLOOKUP($AH99,Body!$A$4:$F$259,2,0),"")</f>
        <v/>
      </c>
      <c r="AL99" s="389" t="str">
        <f t="shared" ca="1" si="32"/>
        <v/>
      </c>
      <c r="AM99" s="390">
        <f t="shared" ca="1" si="33"/>
        <v>0</v>
      </c>
      <c r="AN99" s="319">
        <f ca="1">IF(OR(TYPE(I99)&gt;1,TYPE(MATCH(I99,I100:I$139,0))&gt;1),0,MATCH(I99,I100:I$139,0))+IF(OR(TYPE(I99)&gt;1,TYPE(MATCH(I99,O$11:O$139,0))&gt;1),0,MATCH(I99,O$11:O$139,0))+IF(OR(TYPE(I99)&gt;1,TYPE(MATCH(I99,U$11:U$139,0))&gt;1),0,MATCH(I99,U$11:U$139,0))+IF(OR(TYPE(I99)&gt;1,TYPE(MATCH(I99,AA$11:AA$139,0))&gt;1),0,MATCH(I99,AA$11:AA$139,0))</f>
        <v>0</v>
      </c>
      <c r="AO99" s="319">
        <f ca="1">IF(OR(TYPE(O99)&gt;1,TYPE(MATCH(O99,I$11:I$139,0))&gt;1),0,MATCH(O99,I$11:I$139,0))+IF(OR(TYPE(O99)&gt;1,TYPE(MATCH(O99,O100:O$139,0))&gt;1),0,MATCH(O99,O100:O$139,0))+IF(OR(TYPE(O99)&gt;1,TYPE(MATCH(O99,U$11:U$139,0))&gt;1),0,MATCH(O99,U$11:U$139,0))+IF(OR(TYPE(O99)&gt;1,TYPE(MATCH(O99,AA$11:AA$139,0))&gt;1),0,MATCH(O99,AA$11:AA$139,0))</f>
        <v>0</v>
      </c>
      <c r="AP99" s="319">
        <f ca="1">IF(OR(TYPE(U99)&gt;1,TYPE(MATCH(U99,I$11:I$139,0))&gt;1),0,MATCH(U99,I$11:I$139,0))+IF(OR(TYPE(U99)&gt;1,TYPE(MATCH(U99,O$11:O$139,0))&gt;1),0,MATCH(U99,O$11:O$139,0))+IF(OR(TYPE(U99)&gt;1,TYPE(MATCH(U99,U100:U$139,0))&gt;1),0,MATCH(U99,U100:U$139,0))+IF(OR(TYPE(U99)&gt;1,TYPE(MATCH(U99,AA$11:AA$139,0))&gt;1),0,MATCH(U99,AA$11:AA$139,0))</f>
        <v>0</v>
      </c>
      <c r="AQ99" s="319">
        <f ca="1">IF(OR(TYPE(AA99)&gt;1,TYPE(MATCH(AA99,I$11:I$139,0))&gt;1),0,MATCH(AA99,I$11:I$139,0))+IF(OR(TYPE(AA99)&gt;1,TYPE(MATCH(AA99,O$11:O$139,0))&gt;1),0,MATCH(AA99,O$11:O$139,0))+IF(OR(TYPE(AA99)&gt;1,TYPE(MATCH(AA99,U$11:U$139,0))&gt;1),0,MATCH(U99,U$11:U$139,0))+IF(OR(TYPE(AA99)&gt;1,TYPE(MATCH(AA99,AA100:AA$139,0))&gt;1),0,MATCH(AA99,AA100:AA$139,0))</f>
        <v>0</v>
      </c>
      <c r="AR99" s="319">
        <f t="shared" ca="1" si="36"/>
        <v>0</v>
      </c>
      <c r="AT99" s="318">
        <f t="shared" ca="1" si="34"/>
        <v>0</v>
      </c>
      <c r="AU99" s="318">
        <f ca="1">IF(AND(N(I99)&gt;0,TYPE(VLOOKUP(I99,Hraci!$A$5:$A$800,1,0))&gt;3),1,0) + IF(AND(N(O99)&gt;0,TYPE(VLOOKUP(O99,Hraci!$A$5:$A$800,1,0))&gt;3),1,0) + IF(AND(N(U99)&gt;0,TYPE(VLOOKUP(U99,Hraci!$A$5:$A$800,1,0))&gt;3),1,0)</f>
        <v>0</v>
      </c>
      <c r="BF99" s="319">
        <f t="shared" si="35"/>
        <v>89</v>
      </c>
    </row>
    <row r="100" spans="1:58" ht="12.9" x14ac:dyDescent="0.45">
      <c r="A100" s="302">
        <f t="shared" ca="1" si="20"/>
        <v>0</v>
      </c>
      <c r="B100" s="302">
        <f t="shared" ca="1" si="21"/>
        <v>0</v>
      </c>
      <c r="C100" s="302">
        <f t="shared" ca="1" si="22"/>
        <v>0</v>
      </c>
      <c r="D100" s="302">
        <f t="shared" ca="1" si="23"/>
        <v>99999</v>
      </c>
      <c r="E100" s="302">
        <f t="shared" ca="1" si="24"/>
        <v>9999</v>
      </c>
      <c r="F100" s="343" t="str">
        <f t="shared" ca="1" si="25"/>
        <v>00000000000000000000035904</v>
      </c>
      <c r="G100" s="381" t="b">
        <f t="shared" ca="1" si="26"/>
        <v>1</v>
      </c>
      <c r="H100" s="382">
        <f t="shared" si="27"/>
        <v>90</v>
      </c>
      <c r="I100" s="383" t="str">
        <f t="shared" ca="1" si="28"/>
        <v/>
      </c>
      <c r="J100" s="384" t="str">
        <f ca="1">IF(N(I100)&gt;0,VLOOKUP(I100,Hraci!$A$1:$I$1500,2,0),IF(TYPE(INDIRECT(ADDRESS(ROW() + $A$9-9 + (ROW()-11)*4,2,1,1,"Internet")))&gt;1,INDIRECT(ADDRESS(ROW() + $A$9-9 + (ROW()-11)*4,2,1,1,"Internet"))," "))</f>
        <v xml:space="preserve"> </v>
      </c>
      <c r="K100" s="385" t="str">
        <f ca="1">IF(N(I100)&gt;0,VLOOKUP(I100,Hraci!$A$1:$I$1500,3,0)," ")</f>
        <v xml:space="preserve"> </v>
      </c>
      <c r="L100" s="385" t="str">
        <f ca="1">IF(N(I100)&gt;0,VLOOKUP(I100,Hraci!$A$1:$I$1500,5,0),IF(TYPE(INDIRECT(ADDRESS(ROW() + $A$9-9 + (ROW()-11)*4,3,1,1,"Internet")))&gt;1,INDIRECT(ADDRESS(ROW() + $A$9-9 + (ROW()-11)*4,3,1,1,"Internet"))," "))</f>
        <v xml:space="preserve"> </v>
      </c>
      <c r="M100" s="319">
        <f ca="1">IF(N(I100)=0,9999,VLOOKUP(I100,Hraci!$A$1:$I$1500,8,0))</f>
        <v>9999</v>
      </c>
      <c r="N100" s="386">
        <f ca="1">IF(N(I100)=0,0,VLOOKUP(I100,Hraci!$A$1:$I$1500,9,0))</f>
        <v>0</v>
      </c>
      <c r="O100" s="383" t="str">
        <f t="shared" ca="1" si="29"/>
        <v/>
      </c>
      <c r="P100" s="384" t="str">
        <f ca="1">IF(N(O100)&gt;0,VLOOKUP(O100,Hraci!$A$1:$I$1500,2,0),IF(TYPE(INDIRECT(ADDRESS(ROW() + $A$9-8 + (ROW()-11)*4,2,1,1,"Internet")))&gt;1,INDIRECT(ADDRESS(ROW() + $A$9-8 + (ROW()-11)*4,2,1,1,"Internet"))," "))</f>
        <v xml:space="preserve"> </v>
      </c>
      <c r="Q100" s="385" t="str">
        <f ca="1">IF(N(O100)&gt;0,VLOOKUP(O100,Hraci!$A$1:$I$1500,3,0)," ")</f>
        <v xml:space="preserve"> </v>
      </c>
      <c r="R100" s="385" t="str">
        <f ca="1">IF(N(O100)&gt;0,VLOOKUP(O100,Hraci!$A$1:$I$1500,5,0),IF(TYPE(INDIRECT(ADDRESS(ROW() + $A$9-8 + (ROW()-11)*4,3,1,1,"Internet")))&gt;1,INDIRECT(ADDRESS(ROW() + $A$9-8 + (ROW()-11)*4,3,1,1,"Internet"))," "))</f>
        <v xml:space="preserve"> </v>
      </c>
      <c r="S100" s="319">
        <f ca="1">IF(N(O100)=0,9999,VLOOKUP(O100,Hraci!$A$1:$I$1500,8,0))</f>
        <v>9999</v>
      </c>
      <c r="T100" s="386">
        <f ca="1">IF(N(O100)=0,0,VLOOKUP(O100,Hraci!$A$1:$I$1500,9,0))</f>
        <v>0</v>
      </c>
      <c r="U100" s="383" t="str">
        <f t="shared" ca="1" si="30"/>
        <v/>
      </c>
      <c r="V100" s="384" t="str">
        <f ca="1">IF(N(U100)&gt;0,VLOOKUP(U100,Hraci!$A$1:$I$1500,2,0),IF(TYPE(INDIRECT(ADDRESS(ROW() + $A$9-7 + (ROW()-11)*4,2,1,1,"Internet")))&gt;1,INDIRECT(ADDRESS(ROW() + $A$9-7 + (ROW()-11)*4,2,1,1,"Internet"))," "))</f>
        <v xml:space="preserve"> </v>
      </c>
      <c r="W100" s="385" t="str">
        <f ca="1">IF(N(U100)&gt;0,VLOOKUP(U100,Hraci!$A$1:$I$1500,3,0)," ")</f>
        <v xml:space="preserve"> </v>
      </c>
      <c r="X100" s="385" t="str">
        <f ca="1">IF(N(U100)&gt;0,VLOOKUP(U100,Hraci!$A$1:$I$1500,5,0),IF(TYPE(INDIRECT(ADDRESS(ROW() + $A$9-7 + (ROW()-11)*4,3,1,1,"Internet")))&gt;1,INDIRECT(ADDRESS(ROW() + $A$9-7 + (ROW()-11)*4,3,1,1,"Internet"))," "))</f>
        <v xml:space="preserve"> </v>
      </c>
      <c r="Y100" s="319">
        <f ca="1">IF(N(U100)=0,9999,VLOOKUP(U100,Hraci!$A$1:$I$1500,8,0))</f>
        <v>9999</v>
      </c>
      <c r="Z100" s="386">
        <f ca="1">IF(N(U100)=0,0,VLOOKUP(U100,Hraci!$A$1:$I$1500,9,0))</f>
        <v>0</v>
      </c>
      <c r="AA100" s="383" t="str">
        <f t="shared" ca="1" si="31"/>
        <v/>
      </c>
      <c r="AB100" s="384" t="str">
        <f ca="1">IF(N(AA100)&gt;0,VLOOKUP(AA100,Hraci!$A$1:$I$1500,2,0)," ")</f>
        <v xml:space="preserve"> </v>
      </c>
      <c r="AC100" s="385" t="str">
        <f ca="1">IF(N(AA100)&gt;0,VLOOKUP(AA100,Hraci!$A$1:$I$1500,3,0)," ")</f>
        <v xml:space="preserve"> </v>
      </c>
      <c r="AD100" s="385" t="str">
        <f ca="1">IF(N(AA100)&gt;0,VLOOKUP(AA100,Hraci!$A$1:$I$1500,5,0)," ")</f>
        <v xml:space="preserve"> </v>
      </c>
      <c r="AE100" s="319">
        <f ca="1">IF(N(AA100)=0,9999,VLOOKUP(AA100,Hraci!$A$1:$I$1500,8,0))</f>
        <v>9999</v>
      </c>
      <c r="AF100" s="386">
        <f ca="1">IF(N(AA100)=0,0,VLOOKUP(AA100,Hraci!$A$1:$I$1500,9,0))</f>
        <v>0</v>
      </c>
      <c r="AG100" s="391"/>
      <c r="AH100" s="427">
        <f ca="1">IF(TYPE(VLOOKUP(H100,Centrum!$A$3:$E$130,5,0))&lt;4,VLOOKUP(H100,Centrum!$A$3:$E$130,5,0),0)</f>
        <v>0</v>
      </c>
      <c r="AI100" s="387" t="str">
        <f ca="1">IF(N($AH100)&gt;0,VLOOKUP($AH100,Body!$A$4:$F$259,5,0),"")</f>
        <v/>
      </c>
      <c r="AJ100" s="388" t="str">
        <f ca="1">IF(N($AH100)&gt;0,VLOOKUP($AH100,Body!$A$4:$F$259,6,0),"")</f>
        <v/>
      </c>
      <c r="AK100" s="387" t="str">
        <f ca="1">IF(N($AH100)&gt;0,VLOOKUP($AH100,Body!$A$4:$F$259,2,0),"")</f>
        <v/>
      </c>
      <c r="AL100" s="389" t="str">
        <f t="shared" ca="1" si="32"/>
        <v/>
      </c>
      <c r="AM100" s="390">
        <f t="shared" ca="1" si="33"/>
        <v>0</v>
      </c>
      <c r="AN100" s="319">
        <f ca="1">IF(OR(TYPE(I100)&gt;1,TYPE(MATCH(I100,I101:I$139,0))&gt;1),0,MATCH(I100,I101:I$139,0))+IF(OR(TYPE(I100)&gt;1,TYPE(MATCH(I100,O$11:O$139,0))&gt;1),0,MATCH(I100,O$11:O$139,0))+IF(OR(TYPE(I100)&gt;1,TYPE(MATCH(I100,U$11:U$139,0))&gt;1),0,MATCH(I100,U$11:U$139,0))+IF(OR(TYPE(I100)&gt;1,TYPE(MATCH(I100,AA$11:AA$139,0))&gt;1),0,MATCH(I100,AA$11:AA$139,0))</f>
        <v>0</v>
      </c>
      <c r="AO100" s="319">
        <f ca="1">IF(OR(TYPE(O100)&gt;1,TYPE(MATCH(O100,I$11:I$139,0))&gt;1),0,MATCH(O100,I$11:I$139,0))+IF(OR(TYPE(O100)&gt;1,TYPE(MATCH(O100,O101:O$139,0))&gt;1),0,MATCH(O100,O101:O$139,0))+IF(OR(TYPE(O100)&gt;1,TYPE(MATCH(O100,U$11:U$139,0))&gt;1),0,MATCH(O100,U$11:U$139,0))+IF(OR(TYPE(O100)&gt;1,TYPE(MATCH(O100,AA$11:AA$139,0))&gt;1),0,MATCH(O100,AA$11:AA$139,0))</f>
        <v>0</v>
      </c>
      <c r="AP100" s="319">
        <f ca="1">IF(OR(TYPE(U100)&gt;1,TYPE(MATCH(U100,I$11:I$139,0))&gt;1),0,MATCH(U100,I$11:I$139,0))+IF(OR(TYPE(U100)&gt;1,TYPE(MATCH(U100,O$11:O$139,0))&gt;1),0,MATCH(U100,O$11:O$139,0))+IF(OR(TYPE(U100)&gt;1,TYPE(MATCH(U100,U101:U$139,0))&gt;1),0,MATCH(U100,U101:U$139,0))+IF(OR(TYPE(U100)&gt;1,TYPE(MATCH(U100,AA$11:AA$139,0))&gt;1),0,MATCH(U100,AA$11:AA$139,0))</f>
        <v>0</v>
      </c>
      <c r="AQ100" s="319">
        <f ca="1">IF(OR(TYPE(AA100)&gt;1,TYPE(MATCH(AA100,I$11:I$139,0))&gt;1),0,MATCH(AA100,I$11:I$139,0))+IF(OR(TYPE(AA100)&gt;1,TYPE(MATCH(AA100,O$11:O$139,0))&gt;1),0,MATCH(AA100,O$11:O$139,0))+IF(OR(TYPE(AA100)&gt;1,TYPE(MATCH(AA100,U$11:U$139,0))&gt;1),0,MATCH(U100,U$11:U$139,0))+IF(OR(TYPE(AA100)&gt;1,TYPE(MATCH(AA100,AA101:AA$139,0))&gt;1),0,MATCH(AA100,AA101:AA$139,0))</f>
        <v>0</v>
      </c>
      <c r="AR100" s="319">
        <f t="shared" ca="1" si="36"/>
        <v>0</v>
      </c>
      <c r="AT100" s="318">
        <f t="shared" ca="1" si="34"/>
        <v>0</v>
      </c>
      <c r="AU100" s="318">
        <f ca="1">IF(AND(N(I100)&gt;0,TYPE(VLOOKUP(I100,Hraci!$A$5:$A$800,1,0))&gt;3),1,0) + IF(AND(N(O100)&gt;0,TYPE(VLOOKUP(O100,Hraci!$A$5:$A$800,1,0))&gt;3),1,0) + IF(AND(N(U100)&gt;0,TYPE(VLOOKUP(U100,Hraci!$A$5:$A$800,1,0))&gt;3),1,0)</f>
        <v>0</v>
      </c>
      <c r="BF100" s="319">
        <f t="shared" si="35"/>
        <v>90</v>
      </c>
    </row>
    <row r="101" spans="1:58" ht="12.9" x14ac:dyDescent="0.45">
      <c r="A101" s="302">
        <f t="shared" ca="1" si="20"/>
        <v>0</v>
      </c>
      <c r="B101" s="302">
        <f t="shared" ca="1" si="21"/>
        <v>0</v>
      </c>
      <c r="C101" s="302">
        <f t="shared" ca="1" si="22"/>
        <v>0</v>
      </c>
      <c r="D101" s="302">
        <f t="shared" ca="1" si="23"/>
        <v>99999</v>
      </c>
      <c r="E101" s="302">
        <f t="shared" ca="1" si="24"/>
        <v>9999</v>
      </c>
      <c r="F101" s="343" t="str">
        <f t="shared" ca="1" si="25"/>
        <v>00000000000000000000193023</v>
      </c>
      <c r="G101" s="381" t="b">
        <f t="shared" ca="1" si="26"/>
        <v>1</v>
      </c>
      <c r="H101" s="382">
        <f t="shared" si="27"/>
        <v>91</v>
      </c>
      <c r="I101" s="383" t="str">
        <f t="shared" ca="1" si="28"/>
        <v/>
      </c>
      <c r="J101" s="384" t="str">
        <f ca="1">IF(N(I101)&gt;0,VLOOKUP(I101,Hraci!$A$1:$I$1500,2,0),IF(TYPE(INDIRECT(ADDRESS(ROW() + $A$9-9 + (ROW()-11)*4,2,1,1,"Internet")))&gt;1,INDIRECT(ADDRESS(ROW() + $A$9-9 + (ROW()-11)*4,2,1,1,"Internet"))," "))</f>
        <v xml:space="preserve"> </v>
      </c>
      <c r="K101" s="385" t="str">
        <f ca="1">IF(N(I101)&gt;0,VLOOKUP(I101,Hraci!$A$1:$I$1500,3,0)," ")</f>
        <v xml:space="preserve"> </v>
      </c>
      <c r="L101" s="385" t="str">
        <f ca="1">IF(N(I101)&gt;0,VLOOKUP(I101,Hraci!$A$1:$I$1500,5,0),IF(TYPE(INDIRECT(ADDRESS(ROW() + $A$9-9 + (ROW()-11)*4,3,1,1,"Internet")))&gt;1,INDIRECT(ADDRESS(ROW() + $A$9-9 + (ROW()-11)*4,3,1,1,"Internet"))," "))</f>
        <v xml:space="preserve"> </v>
      </c>
      <c r="M101" s="319">
        <f ca="1">IF(N(I101)=0,9999,VLOOKUP(I101,Hraci!$A$1:$I$1500,8,0))</f>
        <v>9999</v>
      </c>
      <c r="N101" s="386">
        <f ca="1">IF(N(I101)=0,0,VLOOKUP(I101,Hraci!$A$1:$I$1500,9,0))</f>
        <v>0</v>
      </c>
      <c r="O101" s="383" t="str">
        <f t="shared" ca="1" si="29"/>
        <v/>
      </c>
      <c r="P101" s="384" t="str">
        <f ca="1">IF(N(O101)&gt;0,VLOOKUP(O101,Hraci!$A$1:$I$1500,2,0),IF(TYPE(INDIRECT(ADDRESS(ROW() + $A$9-8 + (ROW()-11)*4,2,1,1,"Internet")))&gt;1,INDIRECT(ADDRESS(ROW() + $A$9-8 + (ROW()-11)*4,2,1,1,"Internet"))," "))</f>
        <v xml:space="preserve"> </v>
      </c>
      <c r="Q101" s="385" t="str">
        <f ca="1">IF(N(O101)&gt;0,VLOOKUP(O101,Hraci!$A$1:$I$1500,3,0)," ")</f>
        <v xml:space="preserve"> </v>
      </c>
      <c r="R101" s="385" t="str">
        <f ca="1">IF(N(O101)&gt;0,VLOOKUP(O101,Hraci!$A$1:$I$1500,5,0),IF(TYPE(INDIRECT(ADDRESS(ROW() + $A$9-8 + (ROW()-11)*4,3,1,1,"Internet")))&gt;1,INDIRECT(ADDRESS(ROW() + $A$9-8 + (ROW()-11)*4,3,1,1,"Internet"))," "))</f>
        <v xml:space="preserve"> </v>
      </c>
      <c r="S101" s="319">
        <f ca="1">IF(N(O101)=0,9999,VLOOKUP(O101,Hraci!$A$1:$I$1500,8,0))</f>
        <v>9999</v>
      </c>
      <c r="T101" s="386">
        <f ca="1">IF(N(O101)=0,0,VLOOKUP(O101,Hraci!$A$1:$I$1500,9,0))</f>
        <v>0</v>
      </c>
      <c r="U101" s="383" t="str">
        <f t="shared" ca="1" si="30"/>
        <v/>
      </c>
      <c r="V101" s="384" t="str">
        <f ca="1">IF(N(U101)&gt;0,VLOOKUP(U101,Hraci!$A$1:$I$1500,2,0),IF(TYPE(INDIRECT(ADDRESS(ROW() + $A$9-7 + (ROW()-11)*4,2,1,1,"Internet")))&gt;1,INDIRECT(ADDRESS(ROW() + $A$9-7 + (ROW()-11)*4,2,1,1,"Internet"))," "))</f>
        <v xml:space="preserve"> </v>
      </c>
      <c r="W101" s="385" t="str">
        <f ca="1">IF(N(U101)&gt;0,VLOOKUP(U101,Hraci!$A$1:$I$1500,3,0)," ")</f>
        <v xml:space="preserve"> </v>
      </c>
      <c r="X101" s="385" t="str">
        <f ca="1">IF(N(U101)&gt;0,VLOOKUP(U101,Hraci!$A$1:$I$1500,5,0),IF(TYPE(INDIRECT(ADDRESS(ROW() + $A$9-7 + (ROW()-11)*4,3,1,1,"Internet")))&gt;1,INDIRECT(ADDRESS(ROW() + $A$9-7 + (ROW()-11)*4,3,1,1,"Internet"))," "))</f>
        <v xml:space="preserve"> </v>
      </c>
      <c r="Y101" s="319">
        <f ca="1">IF(N(U101)=0,9999,VLOOKUP(U101,Hraci!$A$1:$I$1500,8,0))</f>
        <v>9999</v>
      </c>
      <c r="Z101" s="386">
        <f ca="1">IF(N(U101)=0,0,VLOOKUP(U101,Hraci!$A$1:$I$1500,9,0))</f>
        <v>0</v>
      </c>
      <c r="AA101" s="383" t="str">
        <f t="shared" ca="1" si="31"/>
        <v/>
      </c>
      <c r="AB101" s="384" t="str">
        <f ca="1">IF(N(AA101)&gt;0,VLOOKUP(AA101,Hraci!$A$1:$I$1500,2,0)," ")</f>
        <v xml:space="preserve"> </v>
      </c>
      <c r="AC101" s="385" t="str">
        <f ca="1">IF(N(AA101)&gt;0,VLOOKUP(AA101,Hraci!$A$1:$I$1500,3,0)," ")</f>
        <v xml:space="preserve"> </v>
      </c>
      <c r="AD101" s="385" t="str">
        <f ca="1">IF(N(AA101)&gt;0,VLOOKUP(AA101,Hraci!$A$1:$I$1500,5,0)," ")</f>
        <v xml:space="preserve"> </v>
      </c>
      <c r="AE101" s="319">
        <f ca="1">IF(N(AA101)=0,9999,VLOOKUP(AA101,Hraci!$A$1:$I$1500,8,0))</f>
        <v>9999</v>
      </c>
      <c r="AF101" s="386">
        <f ca="1">IF(N(AA101)=0,0,VLOOKUP(AA101,Hraci!$A$1:$I$1500,9,0))</f>
        <v>0</v>
      </c>
      <c r="AG101" s="391"/>
      <c r="AH101" s="427">
        <f ca="1">IF(TYPE(VLOOKUP(H101,Centrum!$A$3:$E$130,5,0))&lt;4,VLOOKUP(H101,Centrum!$A$3:$E$130,5,0),0)</f>
        <v>0</v>
      </c>
      <c r="AI101" s="387" t="str">
        <f ca="1">IF(N($AH101)&gt;0,VLOOKUP($AH101,Body!$A$4:$F$259,5,0),"")</f>
        <v/>
      </c>
      <c r="AJ101" s="388" t="str">
        <f ca="1">IF(N($AH101)&gt;0,VLOOKUP($AH101,Body!$A$4:$F$259,6,0),"")</f>
        <v/>
      </c>
      <c r="AK101" s="387" t="str">
        <f ca="1">IF(N($AH101)&gt;0,VLOOKUP($AH101,Body!$A$4:$F$259,2,0),"")</f>
        <v/>
      </c>
      <c r="AL101" s="389" t="str">
        <f t="shared" ca="1" si="32"/>
        <v/>
      </c>
      <c r="AM101" s="390">
        <f t="shared" ca="1" si="33"/>
        <v>0</v>
      </c>
      <c r="AN101" s="319">
        <f ca="1">IF(OR(TYPE(I101)&gt;1,TYPE(MATCH(I101,I102:I$139,0))&gt;1),0,MATCH(I101,I102:I$139,0))+IF(OR(TYPE(I101)&gt;1,TYPE(MATCH(I101,O$11:O$139,0))&gt;1),0,MATCH(I101,O$11:O$139,0))+IF(OR(TYPE(I101)&gt;1,TYPE(MATCH(I101,U$11:U$139,0))&gt;1),0,MATCH(I101,U$11:U$139,0))+IF(OR(TYPE(I101)&gt;1,TYPE(MATCH(I101,AA$11:AA$139,0))&gt;1),0,MATCH(I101,AA$11:AA$139,0))</f>
        <v>0</v>
      </c>
      <c r="AO101" s="319">
        <f ca="1">IF(OR(TYPE(O101)&gt;1,TYPE(MATCH(O101,I$11:I$139,0))&gt;1),0,MATCH(O101,I$11:I$139,0))+IF(OR(TYPE(O101)&gt;1,TYPE(MATCH(O101,O102:O$139,0))&gt;1),0,MATCH(O101,O102:O$139,0))+IF(OR(TYPE(O101)&gt;1,TYPE(MATCH(O101,U$11:U$139,0))&gt;1),0,MATCH(O101,U$11:U$139,0))+IF(OR(TYPE(O101)&gt;1,TYPE(MATCH(O101,AA$11:AA$139,0))&gt;1),0,MATCH(O101,AA$11:AA$139,0))</f>
        <v>0</v>
      </c>
      <c r="AP101" s="319">
        <f ca="1">IF(OR(TYPE(U101)&gt;1,TYPE(MATCH(U101,I$11:I$139,0))&gt;1),0,MATCH(U101,I$11:I$139,0))+IF(OR(TYPE(U101)&gt;1,TYPE(MATCH(U101,O$11:O$139,0))&gt;1),0,MATCH(U101,O$11:O$139,0))+IF(OR(TYPE(U101)&gt;1,TYPE(MATCH(U101,U102:U$139,0))&gt;1),0,MATCH(U101,U102:U$139,0))+IF(OR(TYPE(U101)&gt;1,TYPE(MATCH(U101,AA$11:AA$139,0))&gt;1),0,MATCH(U101,AA$11:AA$139,0))</f>
        <v>0</v>
      </c>
      <c r="AQ101" s="319">
        <f ca="1">IF(OR(TYPE(AA101)&gt;1,TYPE(MATCH(AA101,I$11:I$139,0))&gt;1),0,MATCH(AA101,I$11:I$139,0))+IF(OR(TYPE(AA101)&gt;1,TYPE(MATCH(AA101,O$11:O$139,0))&gt;1),0,MATCH(AA101,O$11:O$139,0))+IF(OR(TYPE(AA101)&gt;1,TYPE(MATCH(AA101,U$11:U$139,0))&gt;1),0,MATCH(U101,U$11:U$139,0))+IF(OR(TYPE(AA101)&gt;1,TYPE(MATCH(AA101,AA102:AA$139,0))&gt;1),0,MATCH(AA101,AA102:AA$139,0))</f>
        <v>0</v>
      </c>
      <c r="AR101" s="319">
        <f t="shared" ca="1" si="36"/>
        <v>0</v>
      </c>
      <c r="AT101" s="318">
        <f t="shared" ca="1" si="34"/>
        <v>0</v>
      </c>
      <c r="AU101" s="318">
        <f ca="1">IF(AND(N(I101)&gt;0,TYPE(VLOOKUP(I101,Hraci!$A$5:$A$800,1,0))&gt;3),1,0) + IF(AND(N(O101)&gt;0,TYPE(VLOOKUP(O101,Hraci!$A$5:$A$800,1,0))&gt;3),1,0) + IF(AND(N(U101)&gt;0,TYPE(VLOOKUP(U101,Hraci!$A$5:$A$800,1,0))&gt;3),1,0)</f>
        <v>0</v>
      </c>
      <c r="BF101" s="319">
        <f t="shared" si="35"/>
        <v>91</v>
      </c>
    </row>
    <row r="102" spans="1:58" ht="12.9" x14ac:dyDescent="0.45">
      <c r="A102" s="302">
        <f t="shared" ca="1" si="20"/>
        <v>0</v>
      </c>
      <c r="B102" s="302">
        <f t="shared" ca="1" si="21"/>
        <v>0</v>
      </c>
      <c r="C102" s="302">
        <f t="shared" ca="1" si="22"/>
        <v>0</v>
      </c>
      <c r="D102" s="302">
        <f t="shared" ca="1" si="23"/>
        <v>99999</v>
      </c>
      <c r="E102" s="302">
        <f t="shared" ca="1" si="24"/>
        <v>9999</v>
      </c>
      <c r="F102" s="343" t="str">
        <f t="shared" ca="1" si="25"/>
        <v>00000000000000000000500917</v>
      </c>
      <c r="G102" s="381" t="b">
        <f t="shared" ca="1" si="26"/>
        <v>1</v>
      </c>
      <c r="H102" s="382">
        <f t="shared" si="27"/>
        <v>92</v>
      </c>
      <c r="I102" s="383" t="str">
        <f t="shared" ca="1" si="28"/>
        <v/>
      </c>
      <c r="J102" s="384" t="str">
        <f ca="1">IF(N(I102)&gt;0,VLOOKUP(I102,Hraci!$A$1:$I$1500,2,0),IF(TYPE(INDIRECT(ADDRESS(ROW() + $A$9-9 + (ROW()-11)*4,2,1,1,"Internet")))&gt;1,INDIRECT(ADDRESS(ROW() + $A$9-9 + (ROW()-11)*4,2,1,1,"Internet"))," "))</f>
        <v xml:space="preserve"> </v>
      </c>
      <c r="K102" s="385" t="str">
        <f ca="1">IF(N(I102)&gt;0,VLOOKUP(I102,Hraci!$A$1:$I$1500,3,0)," ")</f>
        <v xml:space="preserve"> </v>
      </c>
      <c r="L102" s="385" t="str">
        <f ca="1">IF(N(I102)&gt;0,VLOOKUP(I102,Hraci!$A$1:$I$1500,5,0),IF(TYPE(INDIRECT(ADDRESS(ROW() + $A$9-9 + (ROW()-11)*4,3,1,1,"Internet")))&gt;1,INDIRECT(ADDRESS(ROW() + $A$9-9 + (ROW()-11)*4,3,1,1,"Internet"))," "))</f>
        <v xml:space="preserve"> </v>
      </c>
      <c r="M102" s="319">
        <f ca="1">IF(N(I102)=0,9999,VLOOKUP(I102,Hraci!$A$1:$I$1500,8,0))</f>
        <v>9999</v>
      </c>
      <c r="N102" s="386">
        <f ca="1">IF(N(I102)=0,0,VLOOKUP(I102,Hraci!$A$1:$I$1500,9,0))</f>
        <v>0</v>
      </c>
      <c r="O102" s="383" t="str">
        <f t="shared" ca="1" si="29"/>
        <v/>
      </c>
      <c r="P102" s="384" t="str">
        <f ca="1">IF(N(O102)&gt;0,VLOOKUP(O102,Hraci!$A$1:$I$1500,2,0),IF(TYPE(INDIRECT(ADDRESS(ROW() + $A$9-8 + (ROW()-11)*4,2,1,1,"Internet")))&gt;1,INDIRECT(ADDRESS(ROW() + $A$9-8 + (ROW()-11)*4,2,1,1,"Internet"))," "))</f>
        <v xml:space="preserve"> </v>
      </c>
      <c r="Q102" s="385" t="str">
        <f ca="1">IF(N(O102)&gt;0,VLOOKUP(O102,Hraci!$A$1:$I$1500,3,0)," ")</f>
        <v xml:space="preserve"> </v>
      </c>
      <c r="R102" s="385" t="str">
        <f ca="1">IF(N(O102)&gt;0,VLOOKUP(O102,Hraci!$A$1:$I$1500,5,0),IF(TYPE(INDIRECT(ADDRESS(ROW() + $A$9-8 + (ROW()-11)*4,3,1,1,"Internet")))&gt;1,INDIRECT(ADDRESS(ROW() + $A$9-8 + (ROW()-11)*4,3,1,1,"Internet"))," "))</f>
        <v xml:space="preserve"> </v>
      </c>
      <c r="S102" s="319">
        <f ca="1">IF(N(O102)=0,9999,VLOOKUP(O102,Hraci!$A$1:$I$1500,8,0))</f>
        <v>9999</v>
      </c>
      <c r="T102" s="386">
        <f ca="1">IF(N(O102)=0,0,VLOOKUP(O102,Hraci!$A$1:$I$1500,9,0))</f>
        <v>0</v>
      </c>
      <c r="U102" s="383" t="str">
        <f t="shared" ca="1" si="30"/>
        <v/>
      </c>
      <c r="V102" s="384" t="str">
        <f ca="1">IF(N(U102)&gt;0,VLOOKUP(U102,Hraci!$A$1:$I$1500,2,0),IF(TYPE(INDIRECT(ADDRESS(ROW() + $A$9-7 + (ROW()-11)*4,2,1,1,"Internet")))&gt;1,INDIRECT(ADDRESS(ROW() + $A$9-7 + (ROW()-11)*4,2,1,1,"Internet"))," "))</f>
        <v xml:space="preserve"> </v>
      </c>
      <c r="W102" s="385" t="str">
        <f ca="1">IF(N(U102)&gt;0,VLOOKUP(U102,Hraci!$A$1:$I$1500,3,0)," ")</f>
        <v xml:space="preserve"> </v>
      </c>
      <c r="X102" s="385" t="str">
        <f ca="1">IF(N(U102)&gt;0,VLOOKUP(U102,Hraci!$A$1:$I$1500,5,0),IF(TYPE(INDIRECT(ADDRESS(ROW() + $A$9-7 + (ROW()-11)*4,3,1,1,"Internet")))&gt;1,INDIRECT(ADDRESS(ROW() + $A$9-7 + (ROW()-11)*4,3,1,1,"Internet"))," "))</f>
        <v xml:space="preserve"> </v>
      </c>
      <c r="Y102" s="319">
        <f ca="1">IF(N(U102)=0,9999,VLOOKUP(U102,Hraci!$A$1:$I$1500,8,0))</f>
        <v>9999</v>
      </c>
      <c r="Z102" s="386">
        <f ca="1">IF(N(U102)=0,0,VLOOKUP(U102,Hraci!$A$1:$I$1500,9,0))</f>
        <v>0</v>
      </c>
      <c r="AA102" s="383" t="str">
        <f t="shared" ca="1" si="31"/>
        <v/>
      </c>
      <c r="AB102" s="384" t="str">
        <f ca="1">IF(N(AA102)&gt;0,VLOOKUP(AA102,Hraci!$A$1:$I$1500,2,0)," ")</f>
        <v xml:space="preserve"> </v>
      </c>
      <c r="AC102" s="385" t="str">
        <f ca="1">IF(N(AA102)&gt;0,VLOOKUP(AA102,Hraci!$A$1:$I$1500,3,0)," ")</f>
        <v xml:space="preserve"> </v>
      </c>
      <c r="AD102" s="385" t="str">
        <f ca="1">IF(N(AA102)&gt;0,VLOOKUP(AA102,Hraci!$A$1:$I$1500,5,0)," ")</f>
        <v xml:space="preserve"> </v>
      </c>
      <c r="AE102" s="319">
        <f ca="1">IF(N(AA102)=0,9999,VLOOKUP(AA102,Hraci!$A$1:$I$1500,8,0))</f>
        <v>9999</v>
      </c>
      <c r="AF102" s="386">
        <f ca="1">IF(N(AA102)=0,0,VLOOKUP(AA102,Hraci!$A$1:$I$1500,9,0))</f>
        <v>0</v>
      </c>
      <c r="AG102" s="391"/>
      <c r="AH102" s="427">
        <f ca="1">IF(TYPE(VLOOKUP(H102,Centrum!$A$3:$E$130,5,0))&lt;4,VLOOKUP(H102,Centrum!$A$3:$E$130,5,0),0)</f>
        <v>0</v>
      </c>
      <c r="AI102" s="387" t="str">
        <f ca="1">IF(N($AH102)&gt;0,VLOOKUP($AH102,Body!$A$4:$F$259,5,0),"")</f>
        <v/>
      </c>
      <c r="AJ102" s="388" t="str">
        <f ca="1">IF(N($AH102)&gt;0,VLOOKUP($AH102,Body!$A$4:$F$259,6,0),"")</f>
        <v/>
      </c>
      <c r="AK102" s="387" t="str">
        <f ca="1">IF(N($AH102)&gt;0,VLOOKUP($AH102,Body!$A$4:$F$259,2,0),"")</f>
        <v/>
      </c>
      <c r="AL102" s="389" t="str">
        <f t="shared" ca="1" si="32"/>
        <v/>
      </c>
      <c r="AM102" s="390">
        <f t="shared" ca="1" si="33"/>
        <v>0</v>
      </c>
      <c r="AN102" s="319">
        <f ca="1">IF(OR(TYPE(I102)&gt;1,TYPE(MATCH(I102,I103:I$139,0))&gt;1),0,MATCH(I102,I103:I$139,0))+IF(OR(TYPE(I102)&gt;1,TYPE(MATCH(I102,O$11:O$139,0))&gt;1),0,MATCH(I102,O$11:O$139,0))+IF(OR(TYPE(I102)&gt;1,TYPE(MATCH(I102,U$11:U$139,0))&gt;1),0,MATCH(I102,U$11:U$139,0))+IF(OR(TYPE(I102)&gt;1,TYPE(MATCH(I102,AA$11:AA$139,0))&gt;1),0,MATCH(I102,AA$11:AA$139,0))</f>
        <v>0</v>
      </c>
      <c r="AO102" s="319">
        <f ca="1">IF(OR(TYPE(O102)&gt;1,TYPE(MATCH(O102,I$11:I$139,0))&gt;1),0,MATCH(O102,I$11:I$139,0))+IF(OR(TYPE(O102)&gt;1,TYPE(MATCH(O102,O103:O$139,0))&gt;1),0,MATCH(O102,O103:O$139,0))+IF(OR(TYPE(O102)&gt;1,TYPE(MATCH(O102,U$11:U$139,0))&gt;1),0,MATCH(O102,U$11:U$139,0))+IF(OR(TYPE(O102)&gt;1,TYPE(MATCH(O102,AA$11:AA$139,0))&gt;1),0,MATCH(O102,AA$11:AA$139,0))</f>
        <v>0</v>
      </c>
      <c r="AP102" s="319">
        <f ca="1">IF(OR(TYPE(U102)&gt;1,TYPE(MATCH(U102,I$11:I$139,0))&gt;1),0,MATCH(U102,I$11:I$139,0))+IF(OR(TYPE(U102)&gt;1,TYPE(MATCH(U102,O$11:O$139,0))&gt;1),0,MATCH(U102,O$11:O$139,0))+IF(OR(TYPE(U102)&gt;1,TYPE(MATCH(U102,U103:U$139,0))&gt;1),0,MATCH(U102,U103:U$139,0))+IF(OR(TYPE(U102)&gt;1,TYPE(MATCH(U102,AA$11:AA$139,0))&gt;1),0,MATCH(U102,AA$11:AA$139,0))</f>
        <v>0</v>
      </c>
      <c r="AQ102" s="319">
        <f ca="1">IF(OR(TYPE(AA102)&gt;1,TYPE(MATCH(AA102,I$11:I$139,0))&gt;1),0,MATCH(AA102,I$11:I$139,0))+IF(OR(TYPE(AA102)&gt;1,TYPE(MATCH(AA102,O$11:O$139,0))&gt;1),0,MATCH(AA102,O$11:O$139,0))+IF(OR(TYPE(AA102)&gt;1,TYPE(MATCH(AA102,U$11:U$139,0))&gt;1),0,MATCH(U102,U$11:U$139,0))+IF(OR(TYPE(AA102)&gt;1,TYPE(MATCH(AA102,AA103:AA$139,0))&gt;1),0,MATCH(AA102,AA103:AA$139,0))</f>
        <v>0</v>
      </c>
      <c r="AR102" s="319">
        <f t="shared" ca="1" si="36"/>
        <v>0</v>
      </c>
      <c r="AT102" s="318">
        <f t="shared" ca="1" si="34"/>
        <v>0</v>
      </c>
      <c r="AU102" s="318">
        <f ca="1">IF(AND(N(I102)&gt;0,TYPE(VLOOKUP(I102,Hraci!$A$5:$A$800,1,0))&gt;3),1,0) + IF(AND(N(O102)&gt;0,TYPE(VLOOKUP(O102,Hraci!$A$5:$A$800,1,0))&gt;3),1,0) + IF(AND(N(U102)&gt;0,TYPE(VLOOKUP(U102,Hraci!$A$5:$A$800,1,0))&gt;3),1,0)</f>
        <v>0</v>
      </c>
      <c r="BF102" s="319">
        <f t="shared" si="35"/>
        <v>92</v>
      </c>
    </row>
    <row r="103" spans="1:58" ht="12.9" x14ac:dyDescent="0.45">
      <c r="A103" s="302">
        <f t="shared" ca="1" si="20"/>
        <v>0</v>
      </c>
      <c r="B103" s="302">
        <f t="shared" ca="1" si="21"/>
        <v>0</v>
      </c>
      <c r="C103" s="302">
        <f t="shared" ca="1" si="22"/>
        <v>0</v>
      </c>
      <c r="D103" s="302">
        <f t="shared" ca="1" si="23"/>
        <v>99999</v>
      </c>
      <c r="E103" s="302">
        <f t="shared" ca="1" si="24"/>
        <v>9999</v>
      </c>
      <c r="F103" s="343" t="str">
        <f t="shared" ca="1" si="25"/>
        <v>00000000000000000000159179</v>
      </c>
      <c r="G103" s="381" t="b">
        <f t="shared" ca="1" si="26"/>
        <v>1</v>
      </c>
      <c r="H103" s="382">
        <f t="shared" si="27"/>
        <v>93</v>
      </c>
      <c r="I103" s="383" t="str">
        <f t="shared" ca="1" si="28"/>
        <v/>
      </c>
      <c r="J103" s="384" t="str">
        <f ca="1">IF(N(I103)&gt;0,VLOOKUP(I103,Hraci!$A$1:$I$1500,2,0),IF(TYPE(INDIRECT(ADDRESS(ROW() + $A$9-9 + (ROW()-11)*4,2,1,1,"Internet")))&gt;1,INDIRECT(ADDRESS(ROW() + $A$9-9 + (ROW()-11)*4,2,1,1,"Internet"))," "))</f>
        <v xml:space="preserve"> </v>
      </c>
      <c r="K103" s="385" t="str">
        <f ca="1">IF(N(I103)&gt;0,VLOOKUP(I103,Hraci!$A$1:$I$1500,3,0)," ")</f>
        <v xml:space="preserve"> </v>
      </c>
      <c r="L103" s="385" t="str">
        <f ca="1">IF(N(I103)&gt;0,VLOOKUP(I103,Hraci!$A$1:$I$1500,5,0),IF(TYPE(INDIRECT(ADDRESS(ROW() + $A$9-9 + (ROW()-11)*4,3,1,1,"Internet")))&gt;1,INDIRECT(ADDRESS(ROW() + $A$9-9 + (ROW()-11)*4,3,1,1,"Internet"))," "))</f>
        <v xml:space="preserve"> </v>
      </c>
      <c r="M103" s="319">
        <f ca="1">IF(N(I103)=0,9999,VLOOKUP(I103,Hraci!$A$1:$I$1500,8,0))</f>
        <v>9999</v>
      </c>
      <c r="N103" s="386">
        <f ca="1">IF(N(I103)=0,0,VLOOKUP(I103,Hraci!$A$1:$I$1500,9,0))</f>
        <v>0</v>
      </c>
      <c r="O103" s="383" t="str">
        <f t="shared" ca="1" si="29"/>
        <v/>
      </c>
      <c r="P103" s="384" t="str">
        <f ca="1">IF(N(O103)&gt;0,VLOOKUP(O103,Hraci!$A$1:$I$1500,2,0),IF(TYPE(INDIRECT(ADDRESS(ROW() + $A$9-8 + (ROW()-11)*4,2,1,1,"Internet")))&gt;1,INDIRECT(ADDRESS(ROW() + $A$9-8 + (ROW()-11)*4,2,1,1,"Internet"))," "))</f>
        <v xml:space="preserve"> </v>
      </c>
      <c r="Q103" s="385" t="str">
        <f ca="1">IF(N(O103)&gt;0,VLOOKUP(O103,Hraci!$A$1:$I$1500,3,0)," ")</f>
        <v xml:space="preserve"> </v>
      </c>
      <c r="R103" s="385" t="str">
        <f ca="1">IF(N(O103)&gt;0,VLOOKUP(O103,Hraci!$A$1:$I$1500,5,0),IF(TYPE(INDIRECT(ADDRESS(ROW() + $A$9-8 + (ROW()-11)*4,3,1,1,"Internet")))&gt;1,INDIRECT(ADDRESS(ROW() + $A$9-8 + (ROW()-11)*4,3,1,1,"Internet"))," "))</f>
        <v xml:space="preserve"> </v>
      </c>
      <c r="S103" s="319">
        <f ca="1">IF(N(O103)=0,9999,VLOOKUP(O103,Hraci!$A$1:$I$1500,8,0))</f>
        <v>9999</v>
      </c>
      <c r="T103" s="386">
        <f ca="1">IF(N(O103)=0,0,VLOOKUP(O103,Hraci!$A$1:$I$1500,9,0))</f>
        <v>0</v>
      </c>
      <c r="U103" s="383" t="str">
        <f t="shared" ca="1" si="30"/>
        <v/>
      </c>
      <c r="V103" s="384" t="str">
        <f ca="1">IF(N(U103)&gt;0,VLOOKUP(U103,Hraci!$A$1:$I$1500,2,0),IF(TYPE(INDIRECT(ADDRESS(ROW() + $A$9-7 + (ROW()-11)*4,2,1,1,"Internet")))&gt;1,INDIRECT(ADDRESS(ROW() + $A$9-7 + (ROW()-11)*4,2,1,1,"Internet"))," "))</f>
        <v xml:space="preserve"> </v>
      </c>
      <c r="W103" s="385" t="str">
        <f ca="1">IF(N(U103)&gt;0,VLOOKUP(U103,Hraci!$A$1:$I$1500,3,0)," ")</f>
        <v xml:space="preserve"> </v>
      </c>
      <c r="X103" s="385" t="str">
        <f ca="1">IF(N(U103)&gt;0,VLOOKUP(U103,Hraci!$A$1:$I$1500,5,0),IF(TYPE(INDIRECT(ADDRESS(ROW() + $A$9-7 + (ROW()-11)*4,3,1,1,"Internet")))&gt;1,INDIRECT(ADDRESS(ROW() + $A$9-7 + (ROW()-11)*4,3,1,1,"Internet"))," "))</f>
        <v xml:space="preserve"> </v>
      </c>
      <c r="Y103" s="319">
        <f ca="1">IF(N(U103)=0,9999,VLOOKUP(U103,Hraci!$A$1:$I$1500,8,0))</f>
        <v>9999</v>
      </c>
      <c r="Z103" s="386">
        <f ca="1">IF(N(U103)=0,0,VLOOKUP(U103,Hraci!$A$1:$I$1500,9,0))</f>
        <v>0</v>
      </c>
      <c r="AA103" s="383" t="str">
        <f t="shared" ca="1" si="31"/>
        <v/>
      </c>
      <c r="AB103" s="384" t="str">
        <f ca="1">IF(N(AA103)&gt;0,VLOOKUP(AA103,Hraci!$A$1:$I$1500,2,0)," ")</f>
        <v xml:space="preserve"> </v>
      </c>
      <c r="AC103" s="385" t="str">
        <f ca="1">IF(N(AA103)&gt;0,VLOOKUP(AA103,Hraci!$A$1:$I$1500,3,0)," ")</f>
        <v xml:space="preserve"> </v>
      </c>
      <c r="AD103" s="385" t="str">
        <f ca="1">IF(N(AA103)&gt;0,VLOOKUP(AA103,Hraci!$A$1:$I$1500,5,0)," ")</f>
        <v xml:space="preserve"> </v>
      </c>
      <c r="AE103" s="319">
        <f ca="1">IF(N(AA103)=0,9999,VLOOKUP(AA103,Hraci!$A$1:$I$1500,8,0))</f>
        <v>9999</v>
      </c>
      <c r="AF103" s="386">
        <f ca="1">IF(N(AA103)=0,0,VLOOKUP(AA103,Hraci!$A$1:$I$1500,9,0))</f>
        <v>0</v>
      </c>
      <c r="AG103" s="391"/>
      <c r="AH103" s="427">
        <f ca="1">IF(TYPE(VLOOKUP(H103,Centrum!$A$3:$E$130,5,0))&lt;4,VLOOKUP(H103,Centrum!$A$3:$E$130,5,0),0)</f>
        <v>0</v>
      </c>
      <c r="AI103" s="387" t="str">
        <f ca="1">IF(N($AH103)&gt;0,VLOOKUP($AH103,Body!$A$4:$F$259,5,0),"")</f>
        <v/>
      </c>
      <c r="AJ103" s="388" t="str">
        <f ca="1">IF(N($AH103)&gt;0,VLOOKUP($AH103,Body!$A$4:$F$259,6,0),"")</f>
        <v/>
      </c>
      <c r="AK103" s="387" t="str">
        <f ca="1">IF(N($AH103)&gt;0,VLOOKUP($AH103,Body!$A$4:$F$259,2,0),"")</f>
        <v/>
      </c>
      <c r="AL103" s="389" t="str">
        <f t="shared" ca="1" si="32"/>
        <v/>
      </c>
      <c r="AM103" s="390">
        <f t="shared" ca="1" si="33"/>
        <v>0</v>
      </c>
      <c r="AN103" s="319">
        <f ca="1">IF(OR(TYPE(I103)&gt;1,TYPE(MATCH(I103,I104:I$139,0))&gt;1),0,MATCH(I103,I104:I$139,0))+IF(OR(TYPE(I103)&gt;1,TYPE(MATCH(I103,O$11:O$139,0))&gt;1),0,MATCH(I103,O$11:O$139,0))+IF(OR(TYPE(I103)&gt;1,TYPE(MATCH(I103,U$11:U$139,0))&gt;1),0,MATCH(I103,U$11:U$139,0))+IF(OR(TYPE(I103)&gt;1,TYPE(MATCH(I103,AA$11:AA$139,0))&gt;1),0,MATCH(I103,AA$11:AA$139,0))</f>
        <v>0</v>
      </c>
      <c r="AO103" s="319">
        <f ca="1">IF(OR(TYPE(O103)&gt;1,TYPE(MATCH(O103,I$11:I$139,0))&gt;1),0,MATCH(O103,I$11:I$139,0))+IF(OR(TYPE(O103)&gt;1,TYPE(MATCH(O103,O104:O$139,0))&gt;1),0,MATCH(O103,O104:O$139,0))+IF(OR(TYPE(O103)&gt;1,TYPE(MATCH(O103,U$11:U$139,0))&gt;1),0,MATCH(O103,U$11:U$139,0))+IF(OR(TYPE(O103)&gt;1,TYPE(MATCH(O103,AA$11:AA$139,0))&gt;1),0,MATCH(O103,AA$11:AA$139,0))</f>
        <v>0</v>
      </c>
      <c r="AP103" s="319">
        <f ca="1">IF(OR(TYPE(U103)&gt;1,TYPE(MATCH(U103,I$11:I$139,0))&gt;1),0,MATCH(U103,I$11:I$139,0))+IF(OR(TYPE(U103)&gt;1,TYPE(MATCH(U103,O$11:O$139,0))&gt;1),0,MATCH(U103,O$11:O$139,0))+IF(OR(TYPE(U103)&gt;1,TYPE(MATCH(U103,U104:U$139,0))&gt;1),0,MATCH(U103,U104:U$139,0))+IF(OR(TYPE(U103)&gt;1,TYPE(MATCH(U103,AA$11:AA$139,0))&gt;1),0,MATCH(U103,AA$11:AA$139,0))</f>
        <v>0</v>
      </c>
      <c r="AQ103" s="319">
        <f ca="1">IF(OR(TYPE(AA103)&gt;1,TYPE(MATCH(AA103,I$11:I$139,0))&gt;1),0,MATCH(AA103,I$11:I$139,0))+IF(OR(TYPE(AA103)&gt;1,TYPE(MATCH(AA103,O$11:O$139,0))&gt;1),0,MATCH(AA103,O$11:O$139,0))+IF(OR(TYPE(AA103)&gt;1,TYPE(MATCH(AA103,U$11:U$139,0))&gt;1),0,MATCH(U103,U$11:U$139,0))+IF(OR(TYPE(AA103)&gt;1,TYPE(MATCH(AA103,AA104:AA$139,0))&gt;1),0,MATCH(AA103,AA104:AA$139,0))</f>
        <v>0</v>
      </c>
      <c r="AR103" s="319">
        <f t="shared" ca="1" si="36"/>
        <v>0</v>
      </c>
      <c r="AT103" s="318">
        <f t="shared" ca="1" si="34"/>
        <v>0</v>
      </c>
      <c r="AU103" s="318">
        <f ca="1">IF(AND(N(I103)&gt;0,TYPE(VLOOKUP(I103,Hraci!$A$5:$A$800,1,0))&gt;3),1,0) + IF(AND(N(O103)&gt;0,TYPE(VLOOKUP(O103,Hraci!$A$5:$A$800,1,0))&gt;3),1,0) + IF(AND(N(U103)&gt;0,TYPE(VLOOKUP(U103,Hraci!$A$5:$A$800,1,0))&gt;3),1,0)</f>
        <v>0</v>
      </c>
      <c r="BF103" s="319">
        <f t="shared" si="35"/>
        <v>93</v>
      </c>
    </row>
    <row r="104" spans="1:58" ht="12.9" x14ac:dyDescent="0.45">
      <c r="A104" s="302">
        <f t="shared" ca="1" si="20"/>
        <v>0</v>
      </c>
      <c r="B104" s="302">
        <f t="shared" ca="1" si="21"/>
        <v>0</v>
      </c>
      <c r="C104" s="302">
        <f t="shared" ca="1" si="22"/>
        <v>0</v>
      </c>
      <c r="D104" s="302">
        <f t="shared" ca="1" si="23"/>
        <v>99999</v>
      </c>
      <c r="E104" s="302">
        <f t="shared" ca="1" si="24"/>
        <v>9999</v>
      </c>
      <c r="F104" s="343" t="str">
        <f t="shared" ca="1" si="25"/>
        <v>00000000000000000000911182</v>
      </c>
      <c r="G104" s="381" t="b">
        <f t="shared" ca="1" si="26"/>
        <v>1</v>
      </c>
      <c r="H104" s="382">
        <f t="shared" si="27"/>
        <v>94</v>
      </c>
      <c r="I104" s="383" t="str">
        <f t="shared" ca="1" si="28"/>
        <v/>
      </c>
      <c r="J104" s="384" t="str">
        <f ca="1">IF(N(I104)&gt;0,VLOOKUP(I104,Hraci!$A$1:$I$1500,2,0),IF(TYPE(INDIRECT(ADDRESS(ROW() + $A$9-9 + (ROW()-11)*4,2,1,1,"Internet")))&gt;1,INDIRECT(ADDRESS(ROW() + $A$9-9 + (ROW()-11)*4,2,1,1,"Internet"))," "))</f>
        <v xml:space="preserve"> </v>
      </c>
      <c r="K104" s="385" t="str">
        <f ca="1">IF(N(I104)&gt;0,VLOOKUP(I104,Hraci!$A$1:$I$1500,3,0)," ")</f>
        <v xml:space="preserve"> </v>
      </c>
      <c r="L104" s="385" t="str">
        <f ca="1">IF(N(I104)&gt;0,VLOOKUP(I104,Hraci!$A$1:$I$1500,5,0),IF(TYPE(INDIRECT(ADDRESS(ROW() + $A$9-9 + (ROW()-11)*4,3,1,1,"Internet")))&gt;1,INDIRECT(ADDRESS(ROW() + $A$9-9 + (ROW()-11)*4,3,1,1,"Internet"))," "))</f>
        <v xml:space="preserve"> </v>
      </c>
      <c r="M104" s="319">
        <f ca="1">IF(N(I104)=0,9999,VLOOKUP(I104,Hraci!$A$1:$I$1500,8,0))</f>
        <v>9999</v>
      </c>
      <c r="N104" s="386">
        <f ca="1">IF(N(I104)=0,0,VLOOKUP(I104,Hraci!$A$1:$I$1500,9,0))</f>
        <v>0</v>
      </c>
      <c r="O104" s="383" t="str">
        <f t="shared" ca="1" si="29"/>
        <v/>
      </c>
      <c r="P104" s="384" t="str">
        <f ca="1">IF(N(O104)&gt;0,VLOOKUP(O104,Hraci!$A$1:$I$1500,2,0),IF(TYPE(INDIRECT(ADDRESS(ROW() + $A$9-8 + (ROW()-11)*4,2,1,1,"Internet")))&gt;1,INDIRECT(ADDRESS(ROW() + $A$9-8 + (ROW()-11)*4,2,1,1,"Internet"))," "))</f>
        <v xml:space="preserve"> </v>
      </c>
      <c r="Q104" s="385" t="str">
        <f ca="1">IF(N(O104)&gt;0,VLOOKUP(O104,Hraci!$A$1:$I$1500,3,0)," ")</f>
        <v xml:space="preserve"> </v>
      </c>
      <c r="R104" s="385" t="str">
        <f ca="1">IF(N(O104)&gt;0,VLOOKUP(O104,Hraci!$A$1:$I$1500,5,0),IF(TYPE(INDIRECT(ADDRESS(ROW() + $A$9-8 + (ROW()-11)*4,3,1,1,"Internet")))&gt;1,INDIRECT(ADDRESS(ROW() + $A$9-8 + (ROW()-11)*4,3,1,1,"Internet"))," "))</f>
        <v xml:space="preserve"> </v>
      </c>
      <c r="S104" s="319">
        <f ca="1">IF(N(O104)=0,9999,VLOOKUP(O104,Hraci!$A$1:$I$1500,8,0))</f>
        <v>9999</v>
      </c>
      <c r="T104" s="386">
        <f ca="1">IF(N(O104)=0,0,VLOOKUP(O104,Hraci!$A$1:$I$1500,9,0))</f>
        <v>0</v>
      </c>
      <c r="U104" s="383" t="str">
        <f t="shared" ca="1" si="30"/>
        <v/>
      </c>
      <c r="V104" s="384" t="str">
        <f ca="1">IF(N(U104)&gt;0,VLOOKUP(U104,Hraci!$A$1:$I$1500,2,0),IF(TYPE(INDIRECT(ADDRESS(ROW() + $A$9-7 + (ROW()-11)*4,2,1,1,"Internet")))&gt;1,INDIRECT(ADDRESS(ROW() + $A$9-7 + (ROW()-11)*4,2,1,1,"Internet"))," "))</f>
        <v xml:space="preserve"> </v>
      </c>
      <c r="W104" s="385" t="str">
        <f ca="1">IF(N(U104)&gt;0,VLOOKUP(U104,Hraci!$A$1:$I$1500,3,0)," ")</f>
        <v xml:space="preserve"> </v>
      </c>
      <c r="X104" s="385" t="str">
        <f ca="1">IF(N(U104)&gt;0,VLOOKUP(U104,Hraci!$A$1:$I$1500,5,0),IF(TYPE(INDIRECT(ADDRESS(ROW() + $A$9-7 + (ROW()-11)*4,3,1,1,"Internet")))&gt;1,INDIRECT(ADDRESS(ROW() + $A$9-7 + (ROW()-11)*4,3,1,1,"Internet"))," "))</f>
        <v xml:space="preserve"> </v>
      </c>
      <c r="Y104" s="319">
        <f ca="1">IF(N(U104)=0,9999,VLOOKUP(U104,Hraci!$A$1:$I$1500,8,0))</f>
        <v>9999</v>
      </c>
      <c r="Z104" s="386">
        <f ca="1">IF(N(U104)=0,0,VLOOKUP(U104,Hraci!$A$1:$I$1500,9,0))</f>
        <v>0</v>
      </c>
      <c r="AA104" s="383" t="str">
        <f t="shared" ca="1" si="31"/>
        <v/>
      </c>
      <c r="AB104" s="384" t="str">
        <f ca="1">IF(N(AA104)&gt;0,VLOOKUP(AA104,Hraci!$A$1:$I$1500,2,0)," ")</f>
        <v xml:space="preserve"> </v>
      </c>
      <c r="AC104" s="385" t="str">
        <f ca="1">IF(N(AA104)&gt;0,VLOOKUP(AA104,Hraci!$A$1:$I$1500,3,0)," ")</f>
        <v xml:space="preserve"> </v>
      </c>
      <c r="AD104" s="385" t="str">
        <f ca="1">IF(N(AA104)&gt;0,VLOOKUP(AA104,Hraci!$A$1:$I$1500,5,0)," ")</f>
        <v xml:space="preserve"> </v>
      </c>
      <c r="AE104" s="319">
        <f ca="1">IF(N(AA104)=0,9999,VLOOKUP(AA104,Hraci!$A$1:$I$1500,8,0))</f>
        <v>9999</v>
      </c>
      <c r="AF104" s="386">
        <f ca="1">IF(N(AA104)=0,0,VLOOKUP(AA104,Hraci!$A$1:$I$1500,9,0))</f>
        <v>0</v>
      </c>
      <c r="AG104" s="391"/>
      <c r="AH104" s="427">
        <f ca="1">IF(TYPE(VLOOKUP(H104,Centrum!$A$3:$E$130,5,0))&lt;4,VLOOKUP(H104,Centrum!$A$3:$E$130,5,0),0)</f>
        <v>0</v>
      </c>
      <c r="AI104" s="387" t="str">
        <f ca="1">IF(N($AH104)&gt;0,VLOOKUP($AH104,Body!$A$4:$F$259,5,0),"")</f>
        <v/>
      </c>
      <c r="AJ104" s="388" t="str">
        <f ca="1">IF(N($AH104)&gt;0,VLOOKUP($AH104,Body!$A$4:$F$259,6,0),"")</f>
        <v/>
      </c>
      <c r="AK104" s="387" t="str">
        <f ca="1">IF(N($AH104)&gt;0,VLOOKUP($AH104,Body!$A$4:$F$259,2,0),"")</f>
        <v/>
      </c>
      <c r="AL104" s="389" t="str">
        <f t="shared" ca="1" si="32"/>
        <v/>
      </c>
      <c r="AM104" s="390">
        <f t="shared" ca="1" si="33"/>
        <v>0</v>
      </c>
      <c r="AN104" s="319">
        <f ca="1">IF(OR(TYPE(I104)&gt;1,TYPE(MATCH(I104,I105:I$139,0))&gt;1),0,MATCH(I104,I105:I$139,0))+IF(OR(TYPE(I104)&gt;1,TYPE(MATCH(I104,O$11:O$139,0))&gt;1),0,MATCH(I104,O$11:O$139,0))+IF(OR(TYPE(I104)&gt;1,TYPE(MATCH(I104,U$11:U$139,0))&gt;1),0,MATCH(I104,U$11:U$139,0))+IF(OR(TYPE(I104)&gt;1,TYPE(MATCH(I104,AA$11:AA$139,0))&gt;1),0,MATCH(I104,AA$11:AA$139,0))</f>
        <v>0</v>
      </c>
      <c r="AO104" s="319">
        <f ca="1">IF(OR(TYPE(O104)&gt;1,TYPE(MATCH(O104,I$11:I$139,0))&gt;1),0,MATCH(O104,I$11:I$139,0))+IF(OR(TYPE(O104)&gt;1,TYPE(MATCH(O104,O105:O$139,0))&gt;1),0,MATCH(O104,O105:O$139,0))+IF(OR(TYPE(O104)&gt;1,TYPE(MATCH(O104,U$11:U$139,0))&gt;1),0,MATCH(O104,U$11:U$139,0))+IF(OR(TYPE(O104)&gt;1,TYPE(MATCH(O104,AA$11:AA$139,0))&gt;1),0,MATCH(O104,AA$11:AA$139,0))</f>
        <v>0</v>
      </c>
      <c r="AP104" s="319">
        <f ca="1">IF(OR(TYPE(U104)&gt;1,TYPE(MATCH(U104,I$11:I$139,0))&gt;1),0,MATCH(U104,I$11:I$139,0))+IF(OR(TYPE(U104)&gt;1,TYPE(MATCH(U104,O$11:O$139,0))&gt;1),0,MATCH(U104,O$11:O$139,0))+IF(OR(TYPE(U104)&gt;1,TYPE(MATCH(U104,U105:U$139,0))&gt;1),0,MATCH(U104,U105:U$139,0))+IF(OR(TYPE(U104)&gt;1,TYPE(MATCH(U104,AA$11:AA$139,0))&gt;1),0,MATCH(U104,AA$11:AA$139,0))</f>
        <v>0</v>
      </c>
      <c r="AQ104" s="319">
        <f ca="1">IF(OR(TYPE(AA104)&gt;1,TYPE(MATCH(AA104,I$11:I$139,0))&gt;1),0,MATCH(AA104,I$11:I$139,0))+IF(OR(TYPE(AA104)&gt;1,TYPE(MATCH(AA104,O$11:O$139,0))&gt;1),0,MATCH(AA104,O$11:O$139,0))+IF(OR(TYPE(AA104)&gt;1,TYPE(MATCH(AA104,U$11:U$139,0))&gt;1),0,MATCH(U104,U$11:U$139,0))+IF(OR(TYPE(AA104)&gt;1,TYPE(MATCH(AA104,AA105:AA$139,0))&gt;1),0,MATCH(AA104,AA105:AA$139,0))</f>
        <v>0</v>
      </c>
      <c r="AR104" s="319">
        <f t="shared" ca="1" si="36"/>
        <v>0</v>
      </c>
      <c r="AT104" s="318">
        <f t="shared" ca="1" si="34"/>
        <v>0</v>
      </c>
      <c r="AU104" s="318">
        <f ca="1">IF(AND(N(I104)&gt;0,TYPE(VLOOKUP(I104,Hraci!$A$5:$A$800,1,0))&gt;3),1,0) + IF(AND(N(O104)&gt;0,TYPE(VLOOKUP(O104,Hraci!$A$5:$A$800,1,0))&gt;3),1,0) + IF(AND(N(U104)&gt;0,TYPE(VLOOKUP(U104,Hraci!$A$5:$A$800,1,0))&gt;3),1,0)</f>
        <v>0</v>
      </c>
      <c r="BF104" s="319">
        <f t="shared" si="35"/>
        <v>94</v>
      </c>
    </row>
    <row r="105" spans="1:58" ht="12.9" x14ac:dyDescent="0.45">
      <c r="A105" s="302">
        <f t="shared" ca="1" si="20"/>
        <v>0</v>
      </c>
      <c r="B105" s="302">
        <f t="shared" ca="1" si="21"/>
        <v>0</v>
      </c>
      <c r="C105" s="302">
        <f t="shared" ca="1" si="22"/>
        <v>0</v>
      </c>
      <c r="D105" s="302">
        <f t="shared" ca="1" si="23"/>
        <v>99999</v>
      </c>
      <c r="E105" s="302">
        <f t="shared" ca="1" si="24"/>
        <v>9999</v>
      </c>
      <c r="F105" s="343" t="str">
        <f t="shared" ca="1" si="25"/>
        <v>00000000000000000000939873</v>
      </c>
      <c r="G105" s="381" t="b">
        <f t="shared" ca="1" si="26"/>
        <v>1</v>
      </c>
      <c r="H105" s="382">
        <f t="shared" si="27"/>
        <v>95</v>
      </c>
      <c r="I105" s="383" t="str">
        <f t="shared" ca="1" si="28"/>
        <v/>
      </c>
      <c r="J105" s="384" t="str">
        <f ca="1">IF(N(I105)&gt;0,VLOOKUP(I105,Hraci!$A$1:$I$1500,2,0),IF(TYPE(INDIRECT(ADDRESS(ROW() + $A$9-9 + (ROW()-11)*4,2,1,1,"Internet")))&gt;1,INDIRECT(ADDRESS(ROW() + $A$9-9 + (ROW()-11)*4,2,1,1,"Internet"))," "))</f>
        <v xml:space="preserve"> </v>
      </c>
      <c r="K105" s="385" t="str">
        <f ca="1">IF(N(I105)&gt;0,VLOOKUP(I105,Hraci!$A$1:$I$1500,3,0)," ")</f>
        <v xml:space="preserve"> </v>
      </c>
      <c r="L105" s="385" t="str">
        <f ca="1">IF(N(I105)&gt;0,VLOOKUP(I105,Hraci!$A$1:$I$1500,5,0),IF(TYPE(INDIRECT(ADDRESS(ROW() + $A$9-9 + (ROW()-11)*4,3,1,1,"Internet")))&gt;1,INDIRECT(ADDRESS(ROW() + $A$9-9 + (ROW()-11)*4,3,1,1,"Internet"))," "))</f>
        <v xml:space="preserve"> </v>
      </c>
      <c r="M105" s="319">
        <f ca="1">IF(N(I105)=0,9999,VLOOKUP(I105,Hraci!$A$1:$I$1500,8,0))</f>
        <v>9999</v>
      </c>
      <c r="N105" s="386">
        <f ca="1">IF(N(I105)=0,0,VLOOKUP(I105,Hraci!$A$1:$I$1500,9,0))</f>
        <v>0</v>
      </c>
      <c r="O105" s="383" t="str">
        <f t="shared" ca="1" si="29"/>
        <v/>
      </c>
      <c r="P105" s="384" t="str">
        <f ca="1">IF(N(O105)&gt;0,VLOOKUP(O105,Hraci!$A$1:$I$1500,2,0),IF(TYPE(INDIRECT(ADDRESS(ROW() + $A$9-8 + (ROW()-11)*4,2,1,1,"Internet")))&gt;1,INDIRECT(ADDRESS(ROW() + $A$9-8 + (ROW()-11)*4,2,1,1,"Internet"))," "))</f>
        <v xml:space="preserve"> </v>
      </c>
      <c r="Q105" s="385" t="str">
        <f ca="1">IF(N(O105)&gt;0,VLOOKUP(O105,Hraci!$A$1:$I$1500,3,0)," ")</f>
        <v xml:space="preserve"> </v>
      </c>
      <c r="R105" s="385" t="str">
        <f ca="1">IF(N(O105)&gt;0,VLOOKUP(O105,Hraci!$A$1:$I$1500,5,0),IF(TYPE(INDIRECT(ADDRESS(ROW() + $A$9-8 + (ROW()-11)*4,3,1,1,"Internet")))&gt;1,INDIRECT(ADDRESS(ROW() + $A$9-8 + (ROW()-11)*4,3,1,1,"Internet"))," "))</f>
        <v xml:space="preserve"> </v>
      </c>
      <c r="S105" s="319">
        <f ca="1">IF(N(O105)=0,9999,VLOOKUP(O105,Hraci!$A$1:$I$1500,8,0))</f>
        <v>9999</v>
      </c>
      <c r="T105" s="386">
        <f ca="1">IF(N(O105)=0,0,VLOOKUP(O105,Hraci!$A$1:$I$1500,9,0))</f>
        <v>0</v>
      </c>
      <c r="U105" s="383" t="str">
        <f t="shared" ca="1" si="30"/>
        <v/>
      </c>
      <c r="V105" s="384" t="str">
        <f ca="1">IF(N(U105)&gt;0,VLOOKUP(U105,Hraci!$A$1:$I$1500,2,0),IF(TYPE(INDIRECT(ADDRESS(ROW() + $A$9-7 + (ROW()-11)*4,2,1,1,"Internet")))&gt;1,INDIRECT(ADDRESS(ROW() + $A$9-7 + (ROW()-11)*4,2,1,1,"Internet"))," "))</f>
        <v xml:space="preserve"> </v>
      </c>
      <c r="W105" s="385" t="str">
        <f ca="1">IF(N(U105)&gt;0,VLOOKUP(U105,Hraci!$A$1:$I$1500,3,0)," ")</f>
        <v xml:space="preserve"> </v>
      </c>
      <c r="X105" s="385" t="str">
        <f ca="1">IF(N(U105)&gt;0,VLOOKUP(U105,Hraci!$A$1:$I$1500,5,0),IF(TYPE(INDIRECT(ADDRESS(ROW() + $A$9-7 + (ROW()-11)*4,3,1,1,"Internet")))&gt;1,INDIRECT(ADDRESS(ROW() + $A$9-7 + (ROW()-11)*4,3,1,1,"Internet"))," "))</f>
        <v xml:space="preserve"> </v>
      </c>
      <c r="Y105" s="319">
        <f ca="1">IF(N(U105)=0,9999,VLOOKUP(U105,Hraci!$A$1:$I$1500,8,0))</f>
        <v>9999</v>
      </c>
      <c r="Z105" s="386">
        <f ca="1">IF(N(U105)=0,0,VLOOKUP(U105,Hraci!$A$1:$I$1500,9,0))</f>
        <v>0</v>
      </c>
      <c r="AA105" s="383" t="str">
        <f t="shared" ca="1" si="31"/>
        <v/>
      </c>
      <c r="AB105" s="384" t="str">
        <f ca="1">IF(N(AA105)&gt;0,VLOOKUP(AA105,Hraci!$A$1:$I$1500,2,0)," ")</f>
        <v xml:space="preserve"> </v>
      </c>
      <c r="AC105" s="385" t="str">
        <f ca="1">IF(N(AA105)&gt;0,VLOOKUP(AA105,Hraci!$A$1:$I$1500,3,0)," ")</f>
        <v xml:space="preserve"> </v>
      </c>
      <c r="AD105" s="385" t="str">
        <f ca="1">IF(N(AA105)&gt;0,VLOOKUP(AA105,Hraci!$A$1:$I$1500,5,0)," ")</f>
        <v xml:space="preserve"> </v>
      </c>
      <c r="AE105" s="319">
        <f ca="1">IF(N(AA105)=0,9999,VLOOKUP(AA105,Hraci!$A$1:$I$1500,8,0))</f>
        <v>9999</v>
      </c>
      <c r="AF105" s="386">
        <f ca="1">IF(N(AA105)=0,0,VLOOKUP(AA105,Hraci!$A$1:$I$1500,9,0))</f>
        <v>0</v>
      </c>
      <c r="AG105" s="391"/>
      <c r="AH105" s="427">
        <f ca="1">IF(TYPE(VLOOKUP(H105,Centrum!$A$3:$E$130,5,0))&lt;4,VLOOKUP(H105,Centrum!$A$3:$E$130,5,0),0)</f>
        <v>0</v>
      </c>
      <c r="AI105" s="387" t="str">
        <f ca="1">IF(N($AH105)&gt;0,VLOOKUP($AH105,Body!$A$4:$F$259,5,0),"")</f>
        <v/>
      </c>
      <c r="AJ105" s="388" t="str">
        <f ca="1">IF(N($AH105)&gt;0,VLOOKUP($AH105,Body!$A$4:$F$259,6,0),"")</f>
        <v/>
      </c>
      <c r="AK105" s="387" t="str">
        <f ca="1">IF(N($AH105)&gt;0,VLOOKUP($AH105,Body!$A$4:$F$259,2,0),"")</f>
        <v/>
      </c>
      <c r="AL105" s="389" t="str">
        <f t="shared" ca="1" si="32"/>
        <v/>
      </c>
      <c r="AM105" s="390">
        <f t="shared" ca="1" si="33"/>
        <v>0</v>
      </c>
      <c r="AN105" s="319">
        <f ca="1">IF(OR(TYPE(I105)&gt;1,TYPE(MATCH(I105,I106:I$139,0))&gt;1),0,MATCH(I105,I106:I$139,0))+IF(OR(TYPE(I105)&gt;1,TYPE(MATCH(I105,O$11:O$139,0))&gt;1),0,MATCH(I105,O$11:O$139,0))+IF(OR(TYPE(I105)&gt;1,TYPE(MATCH(I105,U$11:U$139,0))&gt;1),0,MATCH(I105,U$11:U$139,0))+IF(OR(TYPE(I105)&gt;1,TYPE(MATCH(I105,AA$11:AA$139,0))&gt;1),0,MATCH(I105,AA$11:AA$139,0))</f>
        <v>0</v>
      </c>
      <c r="AO105" s="319">
        <f ca="1">IF(OR(TYPE(O105)&gt;1,TYPE(MATCH(O105,I$11:I$139,0))&gt;1),0,MATCH(O105,I$11:I$139,0))+IF(OR(TYPE(O105)&gt;1,TYPE(MATCH(O105,O106:O$139,0))&gt;1),0,MATCH(O105,O106:O$139,0))+IF(OR(TYPE(O105)&gt;1,TYPE(MATCH(O105,U$11:U$139,0))&gt;1),0,MATCH(O105,U$11:U$139,0))+IF(OR(TYPE(O105)&gt;1,TYPE(MATCH(O105,AA$11:AA$139,0))&gt;1),0,MATCH(O105,AA$11:AA$139,0))</f>
        <v>0</v>
      </c>
      <c r="AP105" s="319">
        <f ca="1">IF(OR(TYPE(U105)&gt;1,TYPE(MATCH(U105,I$11:I$139,0))&gt;1),0,MATCH(U105,I$11:I$139,0))+IF(OR(TYPE(U105)&gt;1,TYPE(MATCH(U105,O$11:O$139,0))&gt;1),0,MATCH(U105,O$11:O$139,0))+IF(OR(TYPE(U105)&gt;1,TYPE(MATCH(U105,U106:U$139,0))&gt;1),0,MATCH(U105,U106:U$139,0))+IF(OR(TYPE(U105)&gt;1,TYPE(MATCH(U105,AA$11:AA$139,0))&gt;1),0,MATCH(U105,AA$11:AA$139,0))</f>
        <v>0</v>
      </c>
      <c r="AQ105" s="319">
        <f ca="1">IF(OR(TYPE(AA105)&gt;1,TYPE(MATCH(AA105,I$11:I$139,0))&gt;1),0,MATCH(AA105,I$11:I$139,0))+IF(OR(TYPE(AA105)&gt;1,TYPE(MATCH(AA105,O$11:O$139,0))&gt;1),0,MATCH(AA105,O$11:O$139,0))+IF(OR(TYPE(AA105)&gt;1,TYPE(MATCH(AA105,U$11:U$139,0))&gt;1),0,MATCH(U105,U$11:U$139,0))+IF(OR(TYPE(AA105)&gt;1,TYPE(MATCH(AA105,AA106:AA$139,0))&gt;1),0,MATCH(AA105,AA106:AA$139,0))</f>
        <v>0</v>
      </c>
      <c r="AR105" s="319">
        <f t="shared" ca="1" si="36"/>
        <v>0</v>
      </c>
      <c r="AT105" s="318">
        <f t="shared" ca="1" si="34"/>
        <v>0</v>
      </c>
      <c r="AU105" s="318">
        <f ca="1">IF(AND(N(I105)&gt;0,TYPE(VLOOKUP(I105,Hraci!$A$5:$A$800,1,0))&gt;3),1,0) + IF(AND(N(O105)&gt;0,TYPE(VLOOKUP(O105,Hraci!$A$5:$A$800,1,0))&gt;3),1,0) + IF(AND(N(U105)&gt;0,TYPE(VLOOKUP(U105,Hraci!$A$5:$A$800,1,0))&gt;3),1,0)</f>
        <v>0</v>
      </c>
      <c r="BF105" s="319">
        <f t="shared" si="35"/>
        <v>95</v>
      </c>
    </row>
    <row r="106" spans="1:58" ht="12.9" x14ac:dyDescent="0.45">
      <c r="A106" s="302">
        <f t="shared" ca="1" si="20"/>
        <v>0</v>
      </c>
      <c r="B106" s="302">
        <f t="shared" ca="1" si="21"/>
        <v>0</v>
      </c>
      <c r="C106" s="302">
        <f t="shared" ca="1" si="22"/>
        <v>0</v>
      </c>
      <c r="D106" s="302">
        <f t="shared" ca="1" si="23"/>
        <v>99999</v>
      </c>
      <c r="E106" s="302">
        <f t="shared" ca="1" si="24"/>
        <v>9999</v>
      </c>
      <c r="F106" s="343" t="str">
        <f t="shared" ca="1" si="25"/>
        <v>00000000000000000000202932</v>
      </c>
      <c r="G106" s="381" t="b">
        <f t="shared" ca="1" si="26"/>
        <v>1</v>
      </c>
      <c r="H106" s="382">
        <f t="shared" si="27"/>
        <v>96</v>
      </c>
      <c r="I106" s="383" t="str">
        <f t="shared" ca="1" si="28"/>
        <v/>
      </c>
      <c r="J106" s="384" t="str">
        <f ca="1">IF(N(I106)&gt;0,VLOOKUP(I106,Hraci!$A$1:$I$1500,2,0),IF(TYPE(INDIRECT(ADDRESS(ROW() + $A$9-9 + (ROW()-11)*4,2,1,1,"Internet")))&gt;1,INDIRECT(ADDRESS(ROW() + $A$9-9 + (ROW()-11)*4,2,1,1,"Internet"))," "))</f>
        <v xml:space="preserve"> </v>
      </c>
      <c r="K106" s="385" t="str">
        <f ca="1">IF(N(I106)&gt;0,VLOOKUP(I106,Hraci!$A$1:$I$1500,3,0)," ")</f>
        <v xml:space="preserve"> </v>
      </c>
      <c r="L106" s="385" t="str">
        <f ca="1">IF(N(I106)&gt;0,VLOOKUP(I106,Hraci!$A$1:$I$1500,5,0),IF(TYPE(INDIRECT(ADDRESS(ROW() + $A$9-9 + (ROW()-11)*4,3,1,1,"Internet")))&gt;1,INDIRECT(ADDRESS(ROW() + $A$9-9 + (ROW()-11)*4,3,1,1,"Internet"))," "))</f>
        <v xml:space="preserve"> </v>
      </c>
      <c r="M106" s="319">
        <f ca="1">IF(N(I106)=0,9999,VLOOKUP(I106,Hraci!$A$1:$I$1500,8,0))</f>
        <v>9999</v>
      </c>
      <c r="N106" s="386">
        <f ca="1">IF(N(I106)=0,0,VLOOKUP(I106,Hraci!$A$1:$I$1500,9,0))</f>
        <v>0</v>
      </c>
      <c r="O106" s="383" t="str">
        <f t="shared" ca="1" si="29"/>
        <v/>
      </c>
      <c r="P106" s="384" t="str">
        <f ca="1">IF(N(O106)&gt;0,VLOOKUP(O106,Hraci!$A$1:$I$1500,2,0),IF(TYPE(INDIRECT(ADDRESS(ROW() + $A$9-8 + (ROW()-11)*4,2,1,1,"Internet")))&gt;1,INDIRECT(ADDRESS(ROW() + $A$9-8 + (ROW()-11)*4,2,1,1,"Internet"))," "))</f>
        <v xml:space="preserve"> </v>
      </c>
      <c r="Q106" s="385" t="str">
        <f ca="1">IF(N(O106)&gt;0,VLOOKUP(O106,Hraci!$A$1:$I$1500,3,0)," ")</f>
        <v xml:space="preserve"> </v>
      </c>
      <c r="R106" s="385" t="str">
        <f ca="1">IF(N(O106)&gt;0,VLOOKUP(O106,Hraci!$A$1:$I$1500,5,0),IF(TYPE(INDIRECT(ADDRESS(ROW() + $A$9-8 + (ROW()-11)*4,3,1,1,"Internet")))&gt;1,INDIRECT(ADDRESS(ROW() + $A$9-8 + (ROW()-11)*4,3,1,1,"Internet"))," "))</f>
        <v xml:space="preserve"> </v>
      </c>
      <c r="S106" s="319">
        <f ca="1">IF(N(O106)=0,9999,VLOOKUP(O106,Hraci!$A$1:$I$1500,8,0))</f>
        <v>9999</v>
      </c>
      <c r="T106" s="386">
        <f ca="1">IF(N(O106)=0,0,VLOOKUP(O106,Hraci!$A$1:$I$1500,9,0))</f>
        <v>0</v>
      </c>
      <c r="U106" s="383" t="str">
        <f t="shared" ca="1" si="30"/>
        <v/>
      </c>
      <c r="V106" s="384" t="str">
        <f ca="1">IF(N(U106)&gt;0,VLOOKUP(U106,Hraci!$A$1:$I$1500,2,0),IF(TYPE(INDIRECT(ADDRESS(ROW() + $A$9-7 + (ROW()-11)*4,2,1,1,"Internet")))&gt;1,INDIRECT(ADDRESS(ROW() + $A$9-7 + (ROW()-11)*4,2,1,1,"Internet"))," "))</f>
        <v xml:space="preserve"> </v>
      </c>
      <c r="W106" s="385" t="str">
        <f ca="1">IF(N(U106)&gt;0,VLOOKUP(U106,Hraci!$A$1:$I$1500,3,0)," ")</f>
        <v xml:space="preserve"> </v>
      </c>
      <c r="X106" s="385" t="str">
        <f ca="1">IF(N(U106)&gt;0,VLOOKUP(U106,Hraci!$A$1:$I$1500,5,0),IF(TYPE(INDIRECT(ADDRESS(ROW() + $A$9-7 + (ROW()-11)*4,3,1,1,"Internet")))&gt;1,INDIRECT(ADDRESS(ROW() + $A$9-7 + (ROW()-11)*4,3,1,1,"Internet"))," "))</f>
        <v xml:space="preserve"> </v>
      </c>
      <c r="Y106" s="319">
        <f ca="1">IF(N(U106)=0,9999,VLOOKUP(U106,Hraci!$A$1:$I$1500,8,0))</f>
        <v>9999</v>
      </c>
      <c r="Z106" s="386">
        <f ca="1">IF(N(U106)=0,0,VLOOKUP(U106,Hraci!$A$1:$I$1500,9,0))</f>
        <v>0</v>
      </c>
      <c r="AA106" s="383" t="str">
        <f t="shared" ca="1" si="31"/>
        <v/>
      </c>
      <c r="AB106" s="384" t="str">
        <f ca="1">IF(N(AA106)&gt;0,VLOOKUP(AA106,Hraci!$A$1:$I$1500,2,0)," ")</f>
        <v xml:space="preserve"> </v>
      </c>
      <c r="AC106" s="385" t="str">
        <f ca="1">IF(N(AA106)&gt;0,VLOOKUP(AA106,Hraci!$A$1:$I$1500,3,0)," ")</f>
        <v xml:space="preserve"> </v>
      </c>
      <c r="AD106" s="385" t="str">
        <f ca="1">IF(N(AA106)&gt;0,VLOOKUP(AA106,Hraci!$A$1:$I$1500,5,0)," ")</f>
        <v xml:space="preserve"> </v>
      </c>
      <c r="AE106" s="319">
        <f ca="1">IF(N(AA106)=0,9999,VLOOKUP(AA106,Hraci!$A$1:$I$1500,8,0))</f>
        <v>9999</v>
      </c>
      <c r="AF106" s="386">
        <f ca="1">IF(N(AA106)=0,0,VLOOKUP(AA106,Hraci!$A$1:$I$1500,9,0))</f>
        <v>0</v>
      </c>
      <c r="AG106" s="391"/>
      <c r="AH106" s="427">
        <f ca="1">IF(TYPE(VLOOKUP(H106,Centrum!$A$3:$E$130,5,0))&lt;4,VLOOKUP(H106,Centrum!$A$3:$E$130,5,0),0)</f>
        <v>0</v>
      </c>
      <c r="AI106" s="387" t="str">
        <f ca="1">IF(N($AH106)&gt;0,VLOOKUP($AH106,Body!$A$4:$F$259,5,0),"")</f>
        <v/>
      </c>
      <c r="AJ106" s="388" t="str">
        <f ca="1">IF(N($AH106)&gt;0,VLOOKUP($AH106,Body!$A$4:$F$259,6,0),"")</f>
        <v/>
      </c>
      <c r="AK106" s="387" t="str">
        <f ca="1">IF(N($AH106)&gt;0,VLOOKUP($AH106,Body!$A$4:$F$259,2,0),"")</f>
        <v/>
      </c>
      <c r="AL106" s="389" t="str">
        <f t="shared" ca="1" si="32"/>
        <v/>
      </c>
      <c r="AM106" s="390">
        <f t="shared" ca="1" si="33"/>
        <v>0</v>
      </c>
      <c r="AN106" s="319">
        <f ca="1">IF(OR(TYPE(I106)&gt;1,TYPE(MATCH(I106,I107:I$139,0))&gt;1),0,MATCH(I106,I107:I$139,0))+IF(OR(TYPE(I106)&gt;1,TYPE(MATCH(I106,O$11:O$139,0))&gt;1),0,MATCH(I106,O$11:O$139,0))+IF(OR(TYPE(I106)&gt;1,TYPE(MATCH(I106,U$11:U$139,0))&gt;1),0,MATCH(I106,U$11:U$139,0))+IF(OR(TYPE(I106)&gt;1,TYPE(MATCH(I106,AA$11:AA$139,0))&gt;1),0,MATCH(I106,AA$11:AA$139,0))</f>
        <v>0</v>
      </c>
      <c r="AO106" s="319">
        <f ca="1">IF(OR(TYPE(O106)&gt;1,TYPE(MATCH(O106,I$11:I$139,0))&gt;1),0,MATCH(O106,I$11:I$139,0))+IF(OR(TYPE(O106)&gt;1,TYPE(MATCH(O106,O107:O$139,0))&gt;1),0,MATCH(O106,O107:O$139,0))+IF(OR(TYPE(O106)&gt;1,TYPE(MATCH(O106,U$11:U$139,0))&gt;1),0,MATCH(O106,U$11:U$139,0))+IF(OR(TYPE(O106)&gt;1,TYPE(MATCH(O106,AA$11:AA$139,0))&gt;1),0,MATCH(O106,AA$11:AA$139,0))</f>
        <v>0</v>
      </c>
      <c r="AP106" s="319">
        <f ca="1">IF(OR(TYPE(U106)&gt;1,TYPE(MATCH(U106,I$11:I$139,0))&gt;1),0,MATCH(U106,I$11:I$139,0))+IF(OR(TYPE(U106)&gt;1,TYPE(MATCH(U106,O$11:O$139,0))&gt;1),0,MATCH(U106,O$11:O$139,0))+IF(OR(TYPE(U106)&gt;1,TYPE(MATCH(U106,U107:U$139,0))&gt;1),0,MATCH(U106,U107:U$139,0))+IF(OR(TYPE(U106)&gt;1,TYPE(MATCH(U106,AA$11:AA$139,0))&gt;1),0,MATCH(U106,AA$11:AA$139,0))</f>
        <v>0</v>
      </c>
      <c r="AQ106" s="319">
        <f ca="1">IF(OR(TYPE(AA106)&gt;1,TYPE(MATCH(AA106,I$11:I$139,0))&gt;1),0,MATCH(AA106,I$11:I$139,0))+IF(OR(TYPE(AA106)&gt;1,TYPE(MATCH(AA106,O$11:O$139,0))&gt;1),0,MATCH(AA106,O$11:O$139,0))+IF(OR(TYPE(AA106)&gt;1,TYPE(MATCH(AA106,U$11:U$139,0))&gt;1),0,MATCH(U106,U$11:U$139,0))+IF(OR(TYPE(AA106)&gt;1,TYPE(MATCH(AA106,AA107:AA$139,0))&gt;1),0,MATCH(AA106,AA107:AA$139,0))</f>
        <v>0</v>
      </c>
      <c r="AR106" s="319">
        <f t="shared" ca="1" si="36"/>
        <v>0</v>
      </c>
      <c r="AT106" s="318">
        <f t="shared" ca="1" si="34"/>
        <v>0</v>
      </c>
      <c r="AU106" s="318">
        <f ca="1">IF(AND(N(I106)&gt;0,TYPE(VLOOKUP(I106,Hraci!$A$5:$A$800,1,0))&gt;3),1,0) + IF(AND(N(O106)&gt;0,TYPE(VLOOKUP(O106,Hraci!$A$5:$A$800,1,0))&gt;3),1,0) + IF(AND(N(U106)&gt;0,TYPE(VLOOKUP(U106,Hraci!$A$5:$A$800,1,0))&gt;3),1,0)</f>
        <v>0</v>
      </c>
      <c r="BF106" s="319">
        <f t="shared" si="35"/>
        <v>96</v>
      </c>
    </row>
    <row r="107" spans="1:58" ht="12.9" x14ac:dyDescent="0.45">
      <c r="A107" s="302">
        <f t="shared" ca="1" si="20"/>
        <v>0</v>
      </c>
      <c r="B107" s="302">
        <f t="shared" ca="1" si="21"/>
        <v>0</v>
      </c>
      <c r="C107" s="302">
        <f t="shared" ca="1" si="22"/>
        <v>0</v>
      </c>
      <c r="D107" s="302">
        <f t="shared" ca="1" si="23"/>
        <v>99999</v>
      </c>
      <c r="E107" s="302">
        <f t="shared" ca="1" si="24"/>
        <v>9999</v>
      </c>
      <c r="F107" s="343" t="str">
        <f t="shared" ca="1" si="25"/>
        <v>00000000000000000000873445</v>
      </c>
      <c r="G107" s="381" t="b">
        <f t="shared" ca="1" si="26"/>
        <v>1</v>
      </c>
      <c r="H107" s="382">
        <f t="shared" si="27"/>
        <v>97</v>
      </c>
      <c r="I107" s="383" t="str">
        <f t="shared" ca="1" si="28"/>
        <v/>
      </c>
      <c r="J107" s="384" t="str">
        <f ca="1">IF(N(I107)&gt;0,VLOOKUP(I107,Hraci!$A$1:$I$1500,2,0),IF(TYPE(INDIRECT(ADDRESS(ROW() + $A$9-9 + (ROW()-11)*4,2,1,1,"Internet")))&gt;1,INDIRECT(ADDRESS(ROW() + $A$9-9 + (ROW()-11)*4,2,1,1,"Internet"))," "))</f>
        <v xml:space="preserve"> </v>
      </c>
      <c r="K107" s="385" t="str">
        <f ca="1">IF(N(I107)&gt;0,VLOOKUP(I107,Hraci!$A$1:$I$1500,3,0)," ")</f>
        <v xml:space="preserve"> </v>
      </c>
      <c r="L107" s="385" t="str">
        <f ca="1">IF(N(I107)&gt;0,VLOOKUP(I107,Hraci!$A$1:$I$1500,5,0),IF(TYPE(INDIRECT(ADDRESS(ROW() + $A$9-9 + (ROW()-11)*4,3,1,1,"Internet")))&gt;1,INDIRECT(ADDRESS(ROW() + $A$9-9 + (ROW()-11)*4,3,1,1,"Internet"))," "))</f>
        <v xml:space="preserve"> </v>
      </c>
      <c r="M107" s="319">
        <f ca="1">IF(N(I107)=0,9999,VLOOKUP(I107,Hraci!$A$1:$I$1500,8,0))</f>
        <v>9999</v>
      </c>
      <c r="N107" s="386">
        <f ca="1">IF(N(I107)=0,0,VLOOKUP(I107,Hraci!$A$1:$I$1500,9,0))</f>
        <v>0</v>
      </c>
      <c r="O107" s="383" t="str">
        <f t="shared" ca="1" si="29"/>
        <v/>
      </c>
      <c r="P107" s="384" t="str">
        <f ca="1">IF(N(O107)&gt;0,VLOOKUP(O107,Hraci!$A$1:$I$1500,2,0),IF(TYPE(INDIRECT(ADDRESS(ROW() + $A$9-8 + (ROW()-11)*4,2,1,1,"Internet")))&gt;1,INDIRECT(ADDRESS(ROW() + $A$9-8 + (ROW()-11)*4,2,1,1,"Internet"))," "))</f>
        <v xml:space="preserve"> </v>
      </c>
      <c r="Q107" s="385" t="str">
        <f ca="1">IF(N(O107)&gt;0,VLOOKUP(O107,Hraci!$A$1:$I$1500,3,0)," ")</f>
        <v xml:space="preserve"> </v>
      </c>
      <c r="R107" s="385" t="str">
        <f ca="1">IF(N(O107)&gt;0,VLOOKUP(O107,Hraci!$A$1:$I$1500,5,0),IF(TYPE(INDIRECT(ADDRESS(ROW() + $A$9-8 + (ROW()-11)*4,3,1,1,"Internet")))&gt;1,INDIRECT(ADDRESS(ROW() + $A$9-8 + (ROW()-11)*4,3,1,1,"Internet"))," "))</f>
        <v xml:space="preserve"> </v>
      </c>
      <c r="S107" s="319">
        <f ca="1">IF(N(O107)=0,9999,VLOOKUP(O107,Hraci!$A$1:$I$1500,8,0))</f>
        <v>9999</v>
      </c>
      <c r="T107" s="386">
        <f ca="1">IF(N(O107)=0,0,VLOOKUP(O107,Hraci!$A$1:$I$1500,9,0))</f>
        <v>0</v>
      </c>
      <c r="U107" s="383" t="str">
        <f t="shared" ca="1" si="30"/>
        <v/>
      </c>
      <c r="V107" s="384" t="str">
        <f ca="1">IF(N(U107)&gt;0,VLOOKUP(U107,Hraci!$A$1:$I$1500,2,0),IF(TYPE(INDIRECT(ADDRESS(ROW() + $A$9-7 + (ROW()-11)*4,2,1,1,"Internet")))&gt;1,INDIRECT(ADDRESS(ROW() + $A$9-7 + (ROW()-11)*4,2,1,1,"Internet"))," "))</f>
        <v xml:space="preserve"> </v>
      </c>
      <c r="W107" s="385" t="str">
        <f ca="1">IF(N(U107)&gt;0,VLOOKUP(U107,Hraci!$A$1:$I$1500,3,0)," ")</f>
        <v xml:space="preserve"> </v>
      </c>
      <c r="X107" s="385" t="str">
        <f ca="1">IF(N(U107)&gt;0,VLOOKUP(U107,Hraci!$A$1:$I$1500,5,0),IF(TYPE(INDIRECT(ADDRESS(ROW() + $A$9-7 + (ROW()-11)*4,3,1,1,"Internet")))&gt;1,INDIRECT(ADDRESS(ROW() + $A$9-7 + (ROW()-11)*4,3,1,1,"Internet"))," "))</f>
        <v xml:space="preserve"> </v>
      </c>
      <c r="Y107" s="319">
        <f ca="1">IF(N(U107)=0,9999,VLOOKUP(U107,Hraci!$A$1:$I$1500,8,0))</f>
        <v>9999</v>
      </c>
      <c r="Z107" s="386">
        <f ca="1">IF(N(U107)=0,0,VLOOKUP(U107,Hraci!$A$1:$I$1500,9,0))</f>
        <v>0</v>
      </c>
      <c r="AA107" s="383" t="str">
        <f t="shared" ca="1" si="31"/>
        <v/>
      </c>
      <c r="AB107" s="384" t="str">
        <f ca="1">IF(N(AA107)&gt;0,VLOOKUP(AA107,Hraci!$A$1:$I$1500,2,0)," ")</f>
        <v xml:space="preserve"> </v>
      </c>
      <c r="AC107" s="385" t="str">
        <f ca="1">IF(N(AA107)&gt;0,VLOOKUP(AA107,Hraci!$A$1:$I$1500,3,0)," ")</f>
        <v xml:space="preserve"> </v>
      </c>
      <c r="AD107" s="385" t="str">
        <f ca="1">IF(N(AA107)&gt;0,VLOOKUP(AA107,Hraci!$A$1:$I$1500,5,0)," ")</f>
        <v xml:space="preserve"> </v>
      </c>
      <c r="AE107" s="319">
        <f ca="1">IF(N(AA107)=0,9999,VLOOKUP(AA107,Hraci!$A$1:$I$1500,8,0))</f>
        <v>9999</v>
      </c>
      <c r="AF107" s="386">
        <f ca="1">IF(N(AA107)=0,0,VLOOKUP(AA107,Hraci!$A$1:$I$1500,9,0))</f>
        <v>0</v>
      </c>
      <c r="AG107" s="391"/>
      <c r="AH107" s="427">
        <f ca="1">IF(TYPE(VLOOKUP(H107,Centrum!$A$3:$E$130,5,0))&lt;4,VLOOKUP(H107,Centrum!$A$3:$E$130,5,0),0)</f>
        <v>0</v>
      </c>
      <c r="AI107" s="387" t="str">
        <f ca="1">IF(N($AH107)&gt;0,VLOOKUP($AH107,Body!$A$4:$F$259,5,0),"")</f>
        <v/>
      </c>
      <c r="AJ107" s="388" t="str">
        <f ca="1">IF(N($AH107)&gt;0,VLOOKUP($AH107,Body!$A$4:$F$259,6,0),"")</f>
        <v/>
      </c>
      <c r="AK107" s="387" t="str">
        <f ca="1">IF(N($AH107)&gt;0,VLOOKUP($AH107,Body!$A$4:$F$259,2,0),"")</f>
        <v/>
      </c>
      <c r="AL107" s="389" t="str">
        <f t="shared" ref="AL107:AL138" ca="1" si="37">IF(N(H107)&gt;$K$7,"",CONCATENATE(IF($Y$9="","",H107&amp;" "),L107,IF(L107="",""," - "),J107," ",K107))</f>
        <v/>
      </c>
      <c r="AM107" s="390">
        <f t="shared" ca="1" si="33"/>
        <v>0</v>
      </c>
      <c r="AN107" s="319">
        <f ca="1">IF(OR(TYPE(I107)&gt;1,TYPE(MATCH(I107,I108:I$139,0))&gt;1),0,MATCH(I107,I108:I$139,0))+IF(OR(TYPE(I107)&gt;1,TYPE(MATCH(I107,O$11:O$139,0))&gt;1),0,MATCH(I107,O$11:O$139,0))+IF(OR(TYPE(I107)&gt;1,TYPE(MATCH(I107,U$11:U$139,0))&gt;1),0,MATCH(I107,U$11:U$139,0))+IF(OR(TYPE(I107)&gt;1,TYPE(MATCH(I107,AA$11:AA$139,0))&gt;1),0,MATCH(I107,AA$11:AA$139,0))</f>
        <v>0</v>
      </c>
      <c r="AO107" s="319">
        <f ca="1">IF(OR(TYPE(O107)&gt;1,TYPE(MATCH(O107,I$11:I$139,0))&gt;1),0,MATCH(O107,I$11:I$139,0))+IF(OR(TYPE(O107)&gt;1,TYPE(MATCH(O107,O108:O$139,0))&gt;1),0,MATCH(O107,O108:O$139,0))+IF(OR(TYPE(O107)&gt;1,TYPE(MATCH(O107,U$11:U$139,0))&gt;1),0,MATCH(O107,U$11:U$139,0))+IF(OR(TYPE(O107)&gt;1,TYPE(MATCH(O107,AA$11:AA$139,0))&gt;1),0,MATCH(O107,AA$11:AA$139,0))</f>
        <v>0</v>
      </c>
      <c r="AP107" s="319">
        <f ca="1">IF(OR(TYPE(U107)&gt;1,TYPE(MATCH(U107,I$11:I$139,0))&gt;1),0,MATCH(U107,I$11:I$139,0))+IF(OR(TYPE(U107)&gt;1,TYPE(MATCH(U107,O$11:O$139,0))&gt;1),0,MATCH(U107,O$11:O$139,0))+IF(OR(TYPE(U107)&gt;1,TYPE(MATCH(U107,U108:U$139,0))&gt;1),0,MATCH(U107,U108:U$139,0))+IF(OR(TYPE(U107)&gt;1,TYPE(MATCH(U107,AA$11:AA$139,0))&gt;1),0,MATCH(U107,AA$11:AA$139,0))</f>
        <v>0</v>
      </c>
      <c r="AQ107" s="319">
        <f ca="1">IF(OR(TYPE(AA107)&gt;1,TYPE(MATCH(AA107,I$11:I$139,0))&gt;1),0,MATCH(AA107,I$11:I$139,0))+IF(OR(TYPE(AA107)&gt;1,TYPE(MATCH(AA107,O$11:O$139,0))&gt;1),0,MATCH(AA107,O$11:O$139,0))+IF(OR(TYPE(AA107)&gt;1,TYPE(MATCH(AA107,U$11:U$139,0))&gt;1),0,MATCH(U107,U$11:U$139,0))+IF(OR(TYPE(AA107)&gt;1,TYPE(MATCH(AA107,AA108:AA$139,0))&gt;1),0,MATCH(AA107,AA108:AA$139,0))</f>
        <v>0</v>
      </c>
      <c r="AR107" s="319">
        <f t="shared" ca="1" si="36"/>
        <v>0</v>
      </c>
      <c r="AT107" s="318">
        <f t="shared" ca="1" si="34"/>
        <v>0</v>
      </c>
      <c r="AU107" s="318">
        <f ca="1">IF(AND(N(I107)&gt;0,TYPE(VLOOKUP(I107,Hraci!$A$5:$A$800,1,0))&gt;3),1,0) + IF(AND(N(O107)&gt;0,TYPE(VLOOKUP(O107,Hraci!$A$5:$A$800,1,0))&gt;3),1,0) + IF(AND(N(U107)&gt;0,TYPE(VLOOKUP(U107,Hraci!$A$5:$A$800,1,0))&gt;3),1,0)</f>
        <v>0</v>
      </c>
      <c r="BF107" s="319">
        <f t="shared" si="35"/>
        <v>97</v>
      </c>
    </row>
    <row r="108" spans="1:58" ht="12.9" x14ac:dyDescent="0.45">
      <c r="A108" s="302">
        <f t="shared" ca="1" si="20"/>
        <v>0</v>
      </c>
      <c r="B108" s="302">
        <f t="shared" ca="1" si="21"/>
        <v>0</v>
      </c>
      <c r="C108" s="302">
        <f t="shared" ca="1" si="22"/>
        <v>0</v>
      </c>
      <c r="D108" s="302">
        <f t="shared" ca="1" si="23"/>
        <v>99999</v>
      </c>
      <c r="E108" s="302">
        <f t="shared" ca="1" si="24"/>
        <v>9999</v>
      </c>
      <c r="F108" s="343" t="str">
        <f t="shared" ca="1" si="25"/>
        <v>00000000000000000000450092</v>
      </c>
      <c r="G108" s="381" t="b">
        <f t="shared" ca="1" si="26"/>
        <v>1</v>
      </c>
      <c r="H108" s="382">
        <f t="shared" si="27"/>
        <v>98</v>
      </c>
      <c r="I108" s="383" t="str">
        <f t="shared" ca="1" si="28"/>
        <v/>
      </c>
      <c r="J108" s="384" t="str">
        <f ca="1">IF(N(I108)&gt;0,VLOOKUP(I108,Hraci!$A$1:$I$1500,2,0),IF(TYPE(INDIRECT(ADDRESS(ROW() + $A$9-9 + (ROW()-11)*4,2,1,1,"Internet")))&gt;1,INDIRECT(ADDRESS(ROW() + $A$9-9 + (ROW()-11)*4,2,1,1,"Internet"))," "))</f>
        <v xml:space="preserve"> </v>
      </c>
      <c r="K108" s="385" t="str">
        <f ca="1">IF(N(I108)&gt;0,VLOOKUP(I108,Hraci!$A$1:$I$1500,3,0)," ")</f>
        <v xml:space="preserve"> </v>
      </c>
      <c r="L108" s="385" t="str">
        <f ca="1">IF(N(I108)&gt;0,VLOOKUP(I108,Hraci!$A$1:$I$1500,5,0),IF(TYPE(INDIRECT(ADDRESS(ROW() + $A$9-9 + (ROW()-11)*4,3,1,1,"Internet")))&gt;1,INDIRECT(ADDRESS(ROW() + $A$9-9 + (ROW()-11)*4,3,1,1,"Internet"))," "))</f>
        <v xml:space="preserve"> </v>
      </c>
      <c r="M108" s="319">
        <f ca="1">IF(N(I108)=0,9999,VLOOKUP(I108,Hraci!$A$1:$I$1500,8,0))</f>
        <v>9999</v>
      </c>
      <c r="N108" s="386">
        <f ca="1">IF(N(I108)=0,0,VLOOKUP(I108,Hraci!$A$1:$I$1500,9,0))</f>
        <v>0</v>
      </c>
      <c r="O108" s="383" t="str">
        <f t="shared" ca="1" si="29"/>
        <v/>
      </c>
      <c r="P108" s="384" t="str">
        <f ca="1">IF(N(O108)&gt;0,VLOOKUP(O108,Hraci!$A$1:$I$1500,2,0),IF(TYPE(INDIRECT(ADDRESS(ROW() + $A$9-8 + (ROW()-11)*4,2,1,1,"Internet")))&gt;1,INDIRECT(ADDRESS(ROW() + $A$9-8 + (ROW()-11)*4,2,1,1,"Internet"))," "))</f>
        <v xml:space="preserve"> </v>
      </c>
      <c r="Q108" s="385" t="str">
        <f ca="1">IF(N(O108)&gt;0,VLOOKUP(O108,Hraci!$A$1:$I$1500,3,0)," ")</f>
        <v xml:space="preserve"> </v>
      </c>
      <c r="R108" s="385" t="str">
        <f ca="1">IF(N(O108)&gt;0,VLOOKUP(O108,Hraci!$A$1:$I$1500,5,0),IF(TYPE(INDIRECT(ADDRESS(ROW() + $A$9-8 + (ROW()-11)*4,3,1,1,"Internet")))&gt;1,INDIRECT(ADDRESS(ROW() + $A$9-8 + (ROW()-11)*4,3,1,1,"Internet"))," "))</f>
        <v xml:space="preserve"> </v>
      </c>
      <c r="S108" s="319">
        <f ca="1">IF(N(O108)=0,9999,VLOOKUP(O108,Hraci!$A$1:$I$1500,8,0))</f>
        <v>9999</v>
      </c>
      <c r="T108" s="386">
        <f ca="1">IF(N(O108)=0,0,VLOOKUP(O108,Hraci!$A$1:$I$1500,9,0))</f>
        <v>0</v>
      </c>
      <c r="U108" s="383" t="str">
        <f t="shared" ca="1" si="30"/>
        <v/>
      </c>
      <c r="V108" s="384" t="str">
        <f ca="1">IF(N(U108)&gt;0,VLOOKUP(U108,Hraci!$A$1:$I$1500,2,0),IF(TYPE(INDIRECT(ADDRESS(ROW() + $A$9-7 + (ROW()-11)*4,2,1,1,"Internet")))&gt;1,INDIRECT(ADDRESS(ROW() + $A$9-7 + (ROW()-11)*4,2,1,1,"Internet"))," "))</f>
        <v xml:space="preserve"> </v>
      </c>
      <c r="W108" s="385" t="str">
        <f ca="1">IF(N(U108)&gt;0,VLOOKUP(U108,Hraci!$A$1:$I$1500,3,0)," ")</f>
        <v xml:space="preserve"> </v>
      </c>
      <c r="X108" s="385" t="str">
        <f ca="1">IF(N(U108)&gt;0,VLOOKUP(U108,Hraci!$A$1:$I$1500,5,0),IF(TYPE(INDIRECT(ADDRESS(ROW() + $A$9-7 + (ROW()-11)*4,3,1,1,"Internet")))&gt;1,INDIRECT(ADDRESS(ROW() + $A$9-7 + (ROW()-11)*4,3,1,1,"Internet"))," "))</f>
        <v xml:space="preserve"> </v>
      </c>
      <c r="Y108" s="319">
        <f ca="1">IF(N(U108)=0,9999,VLOOKUP(U108,Hraci!$A$1:$I$1500,8,0))</f>
        <v>9999</v>
      </c>
      <c r="Z108" s="386">
        <f ca="1">IF(N(U108)=0,0,VLOOKUP(U108,Hraci!$A$1:$I$1500,9,0))</f>
        <v>0</v>
      </c>
      <c r="AA108" s="383" t="str">
        <f t="shared" ca="1" si="31"/>
        <v/>
      </c>
      <c r="AB108" s="384" t="str">
        <f ca="1">IF(N(AA108)&gt;0,VLOOKUP(AA108,Hraci!$A$1:$I$1500,2,0)," ")</f>
        <v xml:space="preserve"> </v>
      </c>
      <c r="AC108" s="385" t="str">
        <f ca="1">IF(N(AA108)&gt;0,VLOOKUP(AA108,Hraci!$A$1:$I$1500,3,0)," ")</f>
        <v xml:space="preserve"> </v>
      </c>
      <c r="AD108" s="385" t="str">
        <f ca="1">IF(N(AA108)&gt;0,VLOOKUP(AA108,Hraci!$A$1:$I$1500,5,0)," ")</f>
        <v xml:space="preserve"> </v>
      </c>
      <c r="AE108" s="319">
        <f ca="1">IF(N(AA108)=0,9999,VLOOKUP(AA108,Hraci!$A$1:$I$1500,8,0))</f>
        <v>9999</v>
      </c>
      <c r="AF108" s="386">
        <f ca="1">IF(N(AA108)=0,0,VLOOKUP(AA108,Hraci!$A$1:$I$1500,9,0))</f>
        <v>0</v>
      </c>
      <c r="AG108" s="391"/>
      <c r="AH108" s="427">
        <f ca="1">IF(TYPE(VLOOKUP(H108,Centrum!$A$3:$E$130,5,0))&lt;4,VLOOKUP(H108,Centrum!$A$3:$E$130,5,0),0)</f>
        <v>0</v>
      </c>
      <c r="AI108" s="387" t="str">
        <f ca="1">IF(N($AH108)&gt;0,VLOOKUP($AH108,Body!$A$4:$F$259,5,0),"")</f>
        <v/>
      </c>
      <c r="AJ108" s="388" t="str">
        <f ca="1">IF(N($AH108)&gt;0,VLOOKUP($AH108,Body!$A$4:$F$259,6,0),"")</f>
        <v/>
      </c>
      <c r="AK108" s="387" t="str">
        <f ca="1">IF(N($AH108)&gt;0,VLOOKUP($AH108,Body!$A$4:$F$259,2,0),"")</f>
        <v/>
      </c>
      <c r="AL108" s="389" t="str">
        <f t="shared" ca="1" si="37"/>
        <v/>
      </c>
      <c r="AM108" s="390">
        <f t="shared" ca="1" si="33"/>
        <v>0</v>
      </c>
      <c r="AN108" s="319">
        <f ca="1">IF(OR(TYPE(I108)&gt;1,TYPE(MATCH(I108,I109:I$139,0))&gt;1),0,MATCH(I108,I109:I$139,0))+IF(OR(TYPE(I108)&gt;1,TYPE(MATCH(I108,O$11:O$139,0))&gt;1),0,MATCH(I108,O$11:O$139,0))+IF(OR(TYPE(I108)&gt;1,TYPE(MATCH(I108,U$11:U$139,0))&gt;1),0,MATCH(I108,U$11:U$139,0))+IF(OR(TYPE(I108)&gt;1,TYPE(MATCH(I108,AA$11:AA$139,0))&gt;1),0,MATCH(I108,AA$11:AA$139,0))</f>
        <v>0</v>
      </c>
      <c r="AO108" s="319">
        <f ca="1">IF(OR(TYPE(O108)&gt;1,TYPE(MATCH(O108,I$11:I$139,0))&gt;1),0,MATCH(O108,I$11:I$139,0))+IF(OR(TYPE(O108)&gt;1,TYPE(MATCH(O108,O109:O$139,0))&gt;1),0,MATCH(O108,O109:O$139,0))+IF(OR(TYPE(O108)&gt;1,TYPE(MATCH(O108,U$11:U$139,0))&gt;1),0,MATCH(O108,U$11:U$139,0))+IF(OR(TYPE(O108)&gt;1,TYPE(MATCH(O108,AA$11:AA$139,0))&gt;1),0,MATCH(O108,AA$11:AA$139,0))</f>
        <v>0</v>
      </c>
      <c r="AP108" s="319">
        <f ca="1">IF(OR(TYPE(U108)&gt;1,TYPE(MATCH(U108,I$11:I$139,0))&gt;1),0,MATCH(U108,I$11:I$139,0))+IF(OR(TYPE(U108)&gt;1,TYPE(MATCH(U108,O$11:O$139,0))&gt;1),0,MATCH(U108,O$11:O$139,0))+IF(OR(TYPE(U108)&gt;1,TYPE(MATCH(U108,U109:U$139,0))&gt;1),0,MATCH(U108,U109:U$139,0))+IF(OR(TYPE(U108)&gt;1,TYPE(MATCH(U108,AA$11:AA$139,0))&gt;1),0,MATCH(U108,AA$11:AA$139,0))</f>
        <v>0</v>
      </c>
      <c r="AQ108" s="319">
        <f ca="1">IF(OR(TYPE(AA108)&gt;1,TYPE(MATCH(AA108,I$11:I$139,0))&gt;1),0,MATCH(AA108,I$11:I$139,0))+IF(OR(TYPE(AA108)&gt;1,TYPE(MATCH(AA108,O$11:O$139,0))&gt;1),0,MATCH(AA108,O$11:O$139,0))+IF(OR(TYPE(AA108)&gt;1,TYPE(MATCH(AA108,U$11:U$139,0))&gt;1),0,MATCH(U108,U$11:U$139,0))+IF(OR(TYPE(AA108)&gt;1,TYPE(MATCH(AA108,AA109:AA$139,0))&gt;1),0,MATCH(AA108,AA109:AA$139,0))</f>
        <v>0</v>
      </c>
      <c r="AR108" s="319">
        <f t="shared" ca="1" si="36"/>
        <v>0</v>
      </c>
      <c r="AT108" s="318">
        <f t="shared" ca="1" si="34"/>
        <v>0</v>
      </c>
      <c r="AU108" s="318">
        <f ca="1">IF(AND(N(I108)&gt;0,TYPE(VLOOKUP(I108,Hraci!$A$5:$A$800,1,0))&gt;3),1,0) + IF(AND(N(O108)&gt;0,TYPE(VLOOKUP(O108,Hraci!$A$5:$A$800,1,0))&gt;3),1,0) + IF(AND(N(U108)&gt;0,TYPE(VLOOKUP(U108,Hraci!$A$5:$A$800,1,0))&gt;3),1,0)</f>
        <v>0</v>
      </c>
      <c r="BF108" s="319">
        <f t="shared" si="35"/>
        <v>98</v>
      </c>
    </row>
    <row r="109" spans="1:58" ht="12.9" x14ac:dyDescent="0.45">
      <c r="A109" s="302">
        <f t="shared" ca="1" si="20"/>
        <v>0</v>
      </c>
      <c r="B109" s="302">
        <f t="shared" ca="1" si="21"/>
        <v>0</v>
      </c>
      <c r="C109" s="302">
        <f t="shared" ca="1" si="22"/>
        <v>0</v>
      </c>
      <c r="D109" s="302">
        <f t="shared" ca="1" si="23"/>
        <v>99999</v>
      </c>
      <c r="E109" s="302">
        <f t="shared" ca="1" si="24"/>
        <v>9999</v>
      </c>
      <c r="F109" s="343" t="str">
        <f t="shared" ca="1" si="25"/>
        <v>00000000000000000000267394</v>
      </c>
      <c r="G109" s="381" t="b">
        <f t="shared" ca="1" si="26"/>
        <v>1</v>
      </c>
      <c r="H109" s="382">
        <f t="shared" si="27"/>
        <v>99</v>
      </c>
      <c r="I109" s="383" t="str">
        <f t="shared" ca="1" si="28"/>
        <v/>
      </c>
      <c r="J109" s="384" t="str">
        <f ca="1">IF(N(I109)&gt;0,VLOOKUP(I109,Hraci!$A$1:$I$1500,2,0),IF(TYPE(INDIRECT(ADDRESS(ROW() + $A$9-9 + (ROW()-11)*4,2,1,1,"Internet")))&gt;1,INDIRECT(ADDRESS(ROW() + $A$9-9 + (ROW()-11)*4,2,1,1,"Internet"))," "))</f>
        <v xml:space="preserve"> </v>
      </c>
      <c r="K109" s="385" t="str">
        <f ca="1">IF(N(I109)&gt;0,VLOOKUP(I109,Hraci!$A$1:$I$1500,3,0)," ")</f>
        <v xml:space="preserve"> </v>
      </c>
      <c r="L109" s="385" t="str">
        <f ca="1">IF(N(I109)&gt;0,VLOOKUP(I109,Hraci!$A$1:$I$1500,5,0),IF(TYPE(INDIRECT(ADDRESS(ROW() + $A$9-9 + (ROW()-11)*4,3,1,1,"Internet")))&gt;1,INDIRECT(ADDRESS(ROW() + $A$9-9 + (ROW()-11)*4,3,1,1,"Internet"))," "))</f>
        <v xml:space="preserve"> </v>
      </c>
      <c r="M109" s="319">
        <f ca="1">IF(N(I109)=0,9999,VLOOKUP(I109,Hraci!$A$1:$I$1500,8,0))</f>
        <v>9999</v>
      </c>
      <c r="N109" s="386">
        <f ca="1">IF(N(I109)=0,0,VLOOKUP(I109,Hraci!$A$1:$I$1500,9,0))</f>
        <v>0</v>
      </c>
      <c r="O109" s="383" t="str">
        <f t="shared" ca="1" si="29"/>
        <v/>
      </c>
      <c r="P109" s="384" t="str">
        <f ca="1">IF(N(O109)&gt;0,VLOOKUP(O109,Hraci!$A$1:$I$1500,2,0),IF(TYPE(INDIRECT(ADDRESS(ROW() + $A$9-8 + (ROW()-11)*4,2,1,1,"Internet")))&gt;1,INDIRECT(ADDRESS(ROW() + $A$9-8 + (ROW()-11)*4,2,1,1,"Internet"))," "))</f>
        <v xml:space="preserve"> </v>
      </c>
      <c r="Q109" s="385" t="str">
        <f ca="1">IF(N(O109)&gt;0,VLOOKUP(O109,Hraci!$A$1:$I$1500,3,0)," ")</f>
        <v xml:space="preserve"> </v>
      </c>
      <c r="R109" s="385" t="str">
        <f ca="1">IF(N(O109)&gt;0,VLOOKUP(O109,Hraci!$A$1:$I$1500,5,0),IF(TYPE(INDIRECT(ADDRESS(ROW() + $A$9-8 + (ROW()-11)*4,3,1,1,"Internet")))&gt;1,INDIRECT(ADDRESS(ROW() + $A$9-8 + (ROW()-11)*4,3,1,1,"Internet"))," "))</f>
        <v xml:space="preserve"> </v>
      </c>
      <c r="S109" s="319">
        <f ca="1">IF(N(O109)=0,9999,VLOOKUP(O109,Hraci!$A$1:$I$1500,8,0))</f>
        <v>9999</v>
      </c>
      <c r="T109" s="386">
        <f ca="1">IF(N(O109)=0,0,VLOOKUP(O109,Hraci!$A$1:$I$1500,9,0))</f>
        <v>0</v>
      </c>
      <c r="U109" s="383" t="str">
        <f t="shared" ca="1" si="30"/>
        <v/>
      </c>
      <c r="V109" s="384" t="str">
        <f ca="1">IF(N(U109)&gt;0,VLOOKUP(U109,Hraci!$A$1:$I$1500,2,0),IF(TYPE(INDIRECT(ADDRESS(ROW() + $A$9-7 + (ROW()-11)*4,2,1,1,"Internet")))&gt;1,INDIRECT(ADDRESS(ROW() + $A$9-7 + (ROW()-11)*4,2,1,1,"Internet"))," "))</f>
        <v xml:space="preserve"> </v>
      </c>
      <c r="W109" s="385" t="str">
        <f ca="1">IF(N(U109)&gt;0,VLOOKUP(U109,Hraci!$A$1:$I$1500,3,0)," ")</f>
        <v xml:space="preserve"> </v>
      </c>
      <c r="X109" s="385" t="str">
        <f ca="1">IF(N(U109)&gt;0,VLOOKUP(U109,Hraci!$A$1:$I$1500,5,0),IF(TYPE(INDIRECT(ADDRESS(ROW() + $A$9-7 + (ROW()-11)*4,3,1,1,"Internet")))&gt;1,INDIRECT(ADDRESS(ROW() + $A$9-7 + (ROW()-11)*4,3,1,1,"Internet"))," "))</f>
        <v xml:space="preserve"> </v>
      </c>
      <c r="Y109" s="319">
        <f ca="1">IF(N(U109)=0,9999,VLOOKUP(U109,Hraci!$A$1:$I$1500,8,0))</f>
        <v>9999</v>
      </c>
      <c r="Z109" s="386">
        <f ca="1">IF(N(U109)=0,0,VLOOKUP(U109,Hraci!$A$1:$I$1500,9,0))</f>
        <v>0</v>
      </c>
      <c r="AA109" s="383" t="str">
        <f t="shared" ca="1" si="31"/>
        <v/>
      </c>
      <c r="AB109" s="384" t="str">
        <f ca="1">IF(N(AA109)&gt;0,VLOOKUP(AA109,Hraci!$A$1:$I$1500,2,0)," ")</f>
        <v xml:space="preserve"> </v>
      </c>
      <c r="AC109" s="385" t="str">
        <f ca="1">IF(N(AA109)&gt;0,VLOOKUP(AA109,Hraci!$A$1:$I$1500,3,0)," ")</f>
        <v xml:space="preserve"> </v>
      </c>
      <c r="AD109" s="385" t="str">
        <f ca="1">IF(N(AA109)&gt;0,VLOOKUP(AA109,Hraci!$A$1:$I$1500,5,0)," ")</f>
        <v xml:space="preserve"> </v>
      </c>
      <c r="AE109" s="319">
        <f ca="1">IF(N(AA109)=0,9999,VLOOKUP(AA109,Hraci!$A$1:$I$1500,8,0))</f>
        <v>9999</v>
      </c>
      <c r="AF109" s="386">
        <f ca="1">IF(N(AA109)=0,0,VLOOKUP(AA109,Hraci!$A$1:$I$1500,9,0))</f>
        <v>0</v>
      </c>
      <c r="AG109" s="391"/>
      <c r="AH109" s="427">
        <f ca="1">IF(TYPE(VLOOKUP(H109,Centrum!$A$3:$E$130,5,0))&lt;4,VLOOKUP(H109,Centrum!$A$3:$E$130,5,0),0)</f>
        <v>0</v>
      </c>
      <c r="AI109" s="387" t="str">
        <f ca="1">IF(N($AH109)&gt;0,VLOOKUP($AH109,Body!$A$4:$F$259,5,0),"")</f>
        <v/>
      </c>
      <c r="AJ109" s="388" t="str">
        <f ca="1">IF(N($AH109)&gt;0,VLOOKUP($AH109,Body!$A$4:$F$259,6,0),"")</f>
        <v/>
      </c>
      <c r="AK109" s="387" t="str">
        <f ca="1">IF(N($AH109)&gt;0,VLOOKUP($AH109,Body!$A$4:$F$259,2,0),"")</f>
        <v/>
      </c>
      <c r="AL109" s="389" t="str">
        <f t="shared" ca="1" si="37"/>
        <v/>
      </c>
      <c r="AM109" s="390">
        <f t="shared" ca="1" si="33"/>
        <v>0</v>
      </c>
      <c r="AN109" s="319">
        <f ca="1">IF(OR(TYPE(I109)&gt;1,TYPE(MATCH(I109,I110:I$139,0))&gt;1),0,MATCH(I109,I110:I$139,0))+IF(OR(TYPE(I109)&gt;1,TYPE(MATCH(I109,O$11:O$139,0))&gt;1),0,MATCH(I109,O$11:O$139,0))+IF(OR(TYPE(I109)&gt;1,TYPE(MATCH(I109,U$11:U$139,0))&gt;1),0,MATCH(I109,U$11:U$139,0))+IF(OR(TYPE(I109)&gt;1,TYPE(MATCH(I109,AA$11:AA$139,0))&gt;1),0,MATCH(I109,AA$11:AA$139,0))</f>
        <v>0</v>
      </c>
      <c r="AO109" s="319">
        <f ca="1">IF(OR(TYPE(O109)&gt;1,TYPE(MATCH(O109,I$11:I$139,0))&gt;1),0,MATCH(O109,I$11:I$139,0))+IF(OR(TYPE(O109)&gt;1,TYPE(MATCH(O109,O110:O$139,0))&gt;1),0,MATCH(O109,O110:O$139,0))+IF(OR(TYPE(O109)&gt;1,TYPE(MATCH(O109,U$11:U$139,0))&gt;1),0,MATCH(O109,U$11:U$139,0))+IF(OR(TYPE(O109)&gt;1,TYPE(MATCH(O109,AA$11:AA$139,0))&gt;1),0,MATCH(O109,AA$11:AA$139,0))</f>
        <v>0</v>
      </c>
      <c r="AP109" s="319">
        <f ca="1">IF(OR(TYPE(U109)&gt;1,TYPE(MATCH(U109,I$11:I$139,0))&gt;1),0,MATCH(U109,I$11:I$139,0))+IF(OR(TYPE(U109)&gt;1,TYPE(MATCH(U109,O$11:O$139,0))&gt;1),0,MATCH(U109,O$11:O$139,0))+IF(OR(TYPE(U109)&gt;1,TYPE(MATCH(U109,U110:U$139,0))&gt;1),0,MATCH(U109,U110:U$139,0))+IF(OR(TYPE(U109)&gt;1,TYPE(MATCH(U109,AA$11:AA$139,0))&gt;1),0,MATCH(U109,AA$11:AA$139,0))</f>
        <v>0</v>
      </c>
      <c r="AQ109" s="319">
        <f ca="1">IF(OR(TYPE(AA109)&gt;1,TYPE(MATCH(AA109,I$11:I$139,0))&gt;1),0,MATCH(AA109,I$11:I$139,0))+IF(OR(TYPE(AA109)&gt;1,TYPE(MATCH(AA109,O$11:O$139,0))&gt;1),0,MATCH(AA109,O$11:O$139,0))+IF(OR(TYPE(AA109)&gt;1,TYPE(MATCH(AA109,U$11:U$139,0))&gt;1),0,MATCH(U109,U$11:U$139,0))+IF(OR(TYPE(AA109)&gt;1,TYPE(MATCH(AA109,AA110:AA$139,0))&gt;1),0,MATCH(AA109,AA110:AA$139,0))</f>
        <v>0</v>
      </c>
      <c r="AR109" s="319">
        <f t="shared" ca="1" si="36"/>
        <v>0</v>
      </c>
      <c r="AT109" s="318">
        <f t="shared" ca="1" si="34"/>
        <v>0</v>
      </c>
      <c r="AU109" s="318">
        <f ca="1">IF(AND(N(I109)&gt;0,TYPE(VLOOKUP(I109,Hraci!$A$5:$A$800,1,0))&gt;3),1,0) + IF(AND(N(O109)&gt;0,TYPE(VLOOKUP(O109,Hraci!$A$5:$A$800,1,0))&gt;3),1,0) + IF(AND(N(U109)&gt;0,TYPE(VLOOKUP(U109,Hraci!$A$5:$A$800,1,0))&gt;3),1,0)</f>
        <v>0</v>
      </c>
      <c r="BF109" s="319">
        <f t="shared" si="35"/>
        <v>99</v>
      </c>
    </row>
    <row r="110" spans="1:58" ht="12.9" x14ac:dyDescent="0.45">
      <c r="A110" s="302">
        <f t="shared" ca="1" si="20"/>
        <v>0</v>
      </c>
      <c r="B110" s="302">
        <f t="shared" ca="1" si="21"/>
        <v>0</v>
      </c>
      <c r="C110" s="302">
        <f t="shared" ca="1" si="22"/>
        <v>0</v>
      </c>
      <c r="D110" s="302">
        <f t="shared" ca="1" si="23"/>
        <v>99999</v>
      </c>
      <c r="E110" s="302">
        <f t="shared" ca="1" si="24"/>
        <v>9999</v>
      </c>
      <c r="F110" s="343" t="str">
        <f t="shared" ca="1" si="25"/>
        <v>00000000000000000000301402</v>
      </c>
      <c r="G110" s="381" t="b">
        <f t="shared" ca="1" si="26"/>
        <v>1</v>
      </c>
      <c r="H110" s="382">
        <f t="shared" si="27"/>
        <v>100</v>
      </c>
      <c r="I110" s="383" t="str">
        <f t="shared" ca="1" si="28"/>
        <v/>
      </c>
      <c r="J110" s="384" t="str">
        <f ca="1">IF(N(I110)&gt;0,VLOOKUP(I110,Hraci!$A$1:$I$1500,2,0),IF(TYPE(INDIRECT(ADDRESS(ROW() + $A$9-9 + (ROW()-11)*4,2,1,1,"Internet")))&gt;1,INDIRECT(ADDRESS(ROW() + $A$9-9 + (ROW()-11)*4,2,1,1,"Internet"))," "))</f>
        <v xml:space="preserve"> </v>
      </c>
      <c r="K110" s="385" t="str">
        <f ca="1">IF(N(I110)&gt;0,VLOOKUP(I110,Hraci!$A$1:$I$1500,3,0)," ")</f>
        <v xml:space="preserve"> </v>
      </c>
      <c r="L110" s="385" t="str">
        <f ca="1">IF(N(I110)&gt;0,VLOOKUP(I110,Hraci!$A$1:$I$1500,5,0),IF(TYPE(INDIRECT(ADDRESS(ROW() + $A$9-9 + (ROW()-11)*4,3,1,1,"Internet")))&gt;1,INDIRECT(ADDRESS(ROW() + $A$9-9 + (ROW()-11)*4,3,1,1,"Internet"))," "))</f>
        <v xml:space="preserve"> </v>
      </c>
      <c r="M110" s="319">
        <f ca="1">IF(N(I110)=0,9999,VLOOKUP(I110,Hraci!$A$1:$I$1500,8,0))</f>
        <v>9999</v>
      </c>
      <c r="N110" s="386">
        <f ca="1">IF(N(I110)=0,0,VLOOKUP(I110,Hraci!$A$1:$I$1500,9,0))</f>
        <v>0</v>
      </c>
      <c r="O110" s="383" t="str">
        <f t="shared" ca="1" si="29"/>
        <v/>
      </c>
      <c r="P110" s="384" t="str">
        <f ca="1">IF(N(O110)&gt;0,VLOOKUP(O110,Hraci!$A$1:$I$1500,2,0),IF(TYPE(INDIRECT(ADDRESS(ROW() + $A$9-8 + (ROW()-11)*4,2,1,1,"Internet")))&gt;1,INDIRECT(ADDRESS(ROW() + $A$9-8 + (ROW()-11)*4,2,1,1,"Internet"))," "))</f>
        <v xml:space="preserve"> </v>
      </c>
      <c r="Q110" s="385" t="str">
        <f ca="1">IF(N(O110)&gt;0,VLOOKUP(O110,Hraci!$A$1:$I$1500,3,0)," ")</f>
        <v xml:space="preserve"> </v>
      </c>
      <c r="R110" s="385" t="str">
        <f ca="1">IF(N(O110)&gt;0,VLOOKUP(O110,Hraci!$A$1:$I$1500,5,0),IF(TYPE(INDIRECT(ADDRESS(ROW() + $A$9-8 + (ROW()-11)*4,3,1,1,"Internet")))&gt;1,INDIRECT(ADDRESS(ROW() + $A$9-8 + (ROW()-11)*4,3,1,1,"Internet"))," "))</f>
        <v xml:space="preserve"> </v>
      </c>
      <c r="S110" s="319">
        <f ca="1">IF(N(O110)=0,9999,VLOOKUP(O110,Hraci!$A$1:$I$1500,8,0))</f>
        <v>9999</v>
      </c>
      <c r="T110" s="386">
        <f ca="1">IF(N(O110)=0,0,VLOOKUP(O110,Hraci!$A$1:$I$1500,9,0))</f>
        <v>0</v>
      </c>
      <c r="U110" s="383" t="str">
        <f t="shared" ca="1" si="30"/>
        <v/>
      </c>
      <c r="V110" s="384" t="str">
        <f ca="1">IF(N(U110)&gt;0,VLOOKUP(U110,Hraci!$A$1:$I$1500,2,0),IF(TYPE(INDIRECT(ADDRESS(ROW() + $A$9-7 + (ROW()-11)*4,2,1,1,"Internet")))&gt;1,INDIRECT(ADDRESS(ROW() + $A$9-7 + (ROW()-11)*4,2,1,1,"Internet"))," "))</f>
        <v xml:space="preserve"> </v>
      </c>
      <c r="W110" s="385" t="str">
        <f ca="1">IF(N(U110)&gt;0,VLOOKUP(U110,Hraci!$A$1:$I$1500,3,0)," ")</f>
        <v xml:space="preserve"> </v>
      </c>
      <c r="X110" s="385" t="str">
        <f ca="1">IF(N(U110)&gt;0,VLOOKUP(U110,Hraci!$A$1:$I$1500,5,0),IF(TYPE(INDIRECT(ADDRESS(ROW() + $A$9-7 + (ROW()-11)*4,3,1,1,"Internet")))&gt;1,INDIRECT(ADDRESS(ROW() + $A$9-7 + (ROW()-11)*4,3,1,1,"Internet"))," "))</f>
        <v xml:space="preserve"> </v>
      </c>
      <c r="Y110" s="319">
        <f ca="1">IF(N(U110)=0,9999,VLOOKUP(U110,Hraci!$A$1:$I$1500,8,0))</f>
        <v>9999</v>
      </c>
      <c r="Z110" s="386">
        <f ca="1">IF(N(U110)=0,0,VLOOKUP(U110,Hraci!$A$1:$I$1500,9,0))</f>
        <v>0</v>
      </c>
      <c r="AA110" s="383" t="str">
        <f t="shared" ca="1" si="31"/>
        <v/>
      </c>
      <c r="AB110" s="384" t="str">
        <f ca="1">IF(N(AA110)&gt;0,VLOOKUP(AA110,Hraci!$A$1:$I$1500,2,0)," ")</f>
        <v xml:space="preserve"> </v>
      </c>
      <c r="AC110" s="385" t="str">
        <f ca="1">IF(N(AA110)&gt;0,VLOOKUP(AA110,Hraci!$A$1:$I$1500,3,0)," ")</f>
        <v xml:space="preserve"> </v>
      </c>
      <c r="AD110" s="385" t="str">
        <f ca="1">IF(N(AA110)&gt;0,VLOOKUP(AA110,Hraci!$A$1:$I$1500,5,0)," ")</f>
        <v xml:space="preserve"> </v>
      </c>
      <c r="AE110" s="319">
        <f ca="1">IF(N(AA110)=0,9999,VLOOKUP(AA110,Hraci!$A$1:$I$1500,8,0))</f>
        <v>9999</v>
      </c>
      <c r="AF110" s="386">
        <f ca="1">IF(N(AA110)=0,0,VLOOKUP(AA110,Hraci!$A$1:$I$1500,9,0))</f>
        <v>0</v>
      </c>
      <c r="AG110" s="391"/>
      <c r="AH110" s="427">
        <f ca="1">IF(TYPE(VLOOKUP(H110,Centrum!$A$3:$E$130,5,0))&lt;4,VLOOKUP(H110,Centrum!$A$3:$E$130,5,0),0)</f>
        <v>0</v>
      </c>
      <c r="AI110" s="387" t="str">
        <f ca="1">IF(N($AH110)&gt;0,VLOOKUP($AH110,Body!$A$4:$F$259,5,0),"")</f>
        <v/>
      </c>
      <c r="AJ110" s="388" t="str">
        <f ca="1">IF(N($AH110)&gt;0,VLOOKUP($AH110,Body!$A$4:$F$259,6,0),"")</f>
        <v/>
      </c>
      <c r="AK110" s="387" t="str">
        <f ca="1">IF(N($AH110)&gt;0,VLOOKUP($AH110,Body!$A$4:$F$259,2,0),"")</f>
        <v/>
      </c>
      <c r="AL110" s="389" t="str">
        <f t="shared" ca="1" si="37"/>
        <v/>
      </c>
      <c r="AM110" s="390">
        <f t="shared" ca="1" si="33"/>
        <v>0</v>
      </c>
      <c r="AN110" s="319">
        <f ca="1">IF(OR(TYPE(I110)&gt;1,TYPE(MATCH(I110,I111:I$139,0))&gt;1),0,MATCH(I110,I111:I$139,0))+IF(OR(TYPE(I110)&gt;1,TYPE(MATCH(I110,O$11:O$139,0))&gt;1),0,MATCH(I110,O$11:O$139,0))+IF(OR(TYPE(I110)&gt;1,TYPE(MATCH(I110,U$11:U$139,0))&gt;1),0,MATCH(I110,U$11:U$139,0))+IF(OR(TYPE(I110)&gt;1,TYPE(MATCH(I110,AA$11:AA$139,0))&gt;1),0,MATCH(I110,AA$11:AA$139,0))</f>
        <v>0</v>
      </c>
      <c r="AO110" s="319">
        <f ca="1">IF(OR(TYPE(O110)&gt;1,TYPE(MATCH(O110,I$11:I$139,0))&gt;1),0,MATCH(O110,I$11:I$139,0))+IF(OR(TYPE(O110)&gt;1,TYPE(MATCH(O110,O111:O$139,0))&gt;1),0,MATCH(O110,O111:O$139,0))+IF(OR(TYPE(O110)&gt;1,TYPE(MATCH(O110,U$11:U$139,0))&gt;1),0,MATCH(O110,U$11:U$139,0))+IF(OR(TYPE(O110)&gt;1,TYPE(MATCH(O110,AA$11:AA$139,0))&gt;1),0,MATCH(O110,AA$11:AA$139,0))</f>
        <v>0</v>
      </c>
      <c r="AP110" s="319">
        <f ca="1">IF(OR(TYPE(U110)&gt;1,TYPE(MATCH(U110,I$11:I$139,0))&gt;1),0,MATCH(U110,I$11:I$139,0))+IF(OR(TYPE(U110)&gt;1,TYPE(MATCH(U110,O$11:O$139,0))&gt;1),0,MATCH(U110,O$11:O$139,0))+IF(OR(TYPE(U110)&gt;1,TYPE(MATCH(U110,U111:U$139,0))&gt;1),0,MATCH(U110,U111:U$139,0))+IF(OR(TYPE(U110)&gt;1,TYPE(MATCH(U110,AA$11:AA$139,0))&gt;1),0,MATCH(U110,AA$11:AA$139,0))</f>
        <v>0</v>
      </c>
      <c r="AQ110" s="319">
        <f ca="1">IF(OR(TYPE(AA110)&gt;1,TYPE(MATCH(AA110,I$11:I$139,0))&gt;1),0,MATCH(AA110,I$11:I$139,0))+IF(OR(TYPE(AA110)&gt;1,TYPE(MATCH(AA110,O$11:O$139,0))&gt;1),0,MATCH(AA110,O$11:O$139,0))+IF(OR(TYPE(AA110)&gt;1,TYPE(MATCH(AA110,U$11:U$139,0))&gt;1),0,MATCH(U110,U$11:U$139,0))+IF(OR(TYPE(AA110)&gt;1,TYPE(MATCH(AA110,AA111:AA$139,0))&gt;1),0,MATCH(AA110,AA111:AA$139,0))</f>
        <v>0</v>
      </c>
      <c r="AR110" s="319">
        <f t="shared" ca="1" si="36"/>
        <v>0</v>
      </c>
      <c r="AT110" s="318">
        <f t="shared" ca="1" si="34"/>
        <v>0</v>
      </c>
      <c r="AU110" s="318">
        <f ca="1">IF(AND(N(I110)&gt;0,TYPE(VLOOKUP(I110,Hraci!$A$5:$A$800,1,0))&gt;3),1,0) + IF(AND(N(O110)&gt;0,TYPE(VLOOKUP(O110,Hraci!$A$5:$A$800,1,0))&gt;3),1,0) + IF(AND(N(U110)&gt;0,TYPE(VLOOKUP(U110,Hraci!$A$5:$A$800,1,0))&gt;3),1,0)</f>
        <v>0</v>
      </c>
      <c r="BF110" s="319">
        <f t="shared" si="35"/>
        <v>100</v>
      </c>
    </row>
    <row r="111" spans="1:58" ht="12.9" x14ac:dyDescent="0.45">
      <c r="A111" s="302">
        <f t="shared" ca="1" si="20"/>
        <v>0</v>
      </c>
      <c r="B111" s="302">
        <f t="shared" ca="1" si="21"/>
        <v>0</v>
      </c>
      <c r="C111" s="302">
        <f t="shared" ca="1" si="22"/>
        <v>0</v>
      </c>
      <c r="D111" s="302">
        <f t="shared" ca="1" si="23"/>
        <v>99999</v>
      </c>
      <c r="E111" s="302">
        <f t="shared" ca="1" si="24"/>
        <v>9999</v>
      </c>
      <c r="F111" s="343" t="str">
        <f t="shared" ca="1" si="25"/>
        <v>00000000000000000000618298</v>
      </c>
      <c r="G111" s="381" t="b">
        <f t="shared" ca="1" si="26"/>
        <v>1</v>
      </c>
      <c r="H111" s="382">
        <f t="shared" si="27"/>
        <v>101</v>
      </c>
      <c r="I111" s="383" t="str">
        <f t="shared" ca="1" si="28"/>
        <v/>
      </c>
      <c r="J111" s="384" t="str">
        <f ca="1">IF(N(I111)&gt;0,VLOOKUP(I111,Hraci!$A$1:$I$1500,2,0),IF(TYPE(INDIRECT(ADDRESS(ROW() + $A$9-9 + (ROW()-11)*4,2,1,1,"Internet")))&gt;1,INDIRECT(ADDRESS(ROW() + $A$9-9 + (ROW()-11)*4,2,1,1,"Internet"))," "))</f>
        <v xml:space="preserve"> </v>
      </c>
      <c r="K111" s="385" t="str">
        <f ca="1">IF(N(I111)&gt;0,VLOOKUP(I111,Hraci!$A$1:$I$1500,3,0)," ")</f>
        <v xml:space="preserve"> </v>
      </c>
      <c r="L111" s="385" t="str">
        <f ca="1">IF(N(I111)&gt;0,VLOOKUP(I111,Hraci!$A$1:$I$1500,5,0),IF(TYPE(INDIRECT(ADDRESS(ROW() + $A$9-9 + (ROW()-11)*4,3,1,1,"Internet")))&gt;1,INDIRECT(ADDRESS(ROW() + $A$9-9 + (ROW()-11)*4,3,1,1,"Internet"))," "))</f>
        <v xml:space="preserve"> </v>
      </c>
      <c r="M111" s="319">
        <f ca="1">IF(N(I111)=0,9999,VLOOKUP(I111,Hraci!$A$1:$I$1500,8,0))</f>
        <v>9999</v>
      </c>
      <c r="N111" s="386">
        <f ca="1">IF(N(I111)=0,0,VLOOKUP(I111,Hraci!$A$1:$I$1500,9,0))</f>
        <v>0</v>
      </c>
      <c r="O111" s="383" t="str">
        <f t="shared" ca="1" si="29"/>
        <v/>
      </c>
      <c r="P111" s="384" t="str">
        <f ca="1">IF(N(O111)&gt;0,VLOOKUP(O111,Hraci!$A$1:$I$1500,2,0),IF(TYPE(INDIRECT(ADDRESS(ROW() + $A$9-8 + (ROW()-11)*4,2,1,1,"Internet")))&gt;1,INDIRECT(ADDRESS(ROW() + $A$9-8 + (ROW()-11)*4,2,1,1,"Internet"))," "))</f>
        <v xml:space="preserve"> </v>
      </c>
      <c r="Q111" s="385" t="str">
        <f ca="1">IF(N(O111)&gt;0,VLOOKUP(O111,Hraci!$A$1:$I$1500,3,0)," ")</f>
        <v xml:space="preserve"> </v>
      </c>
      <c r="R111" s="385" t="str">
        <f ca="1">IF(N(O111)&gt;0,VLOOKUP(O111,Hraci!$A$1:$I$1500,5,0),IF(TYPE(INDIRECT(ADDRESS(ROW() + $A$9-8 + (ROW()-11)*4,3,1,1,"Internet")))&gt;1,INDIRECT(ADDRESS(ROW() + $A$9-8 + (ROW()-11)*4,3,1,1,"Internet"))," "))</f>
        <v xml:space="preserve"> </v>
      </c>
      <c r="S111" s="319">
        <f ca="1">IF(N(O111)=0,9999,VLOOKUP(O111,Hraci!$A$1:$I$1500,8,0))</f>
        <v>9999</v>
      </c>
      <c r="T111" s="386">
        <f ca="1">IF(N(O111)=0,0,VLOOKUP(O111,Hraci!$A$1:$I$1500,9,0))</f>
        <v>0</v>
      </c>
      <c r="U111" s="383" t="str">
        <f t="shared" ca="1" si="30"/>
        <v/>
      </c>
      <c r="V111" s="384" t="str">
        <f ca="1">IF(N(U111)&gt;0,VLOOKUP(U111,Hraci!$A$1:$I$1500,2,0),IF(TYPE(INDIRECT(ADDRESS(ROW() + $A$9-7 + (ROW()-11)*4,2,1,1,"Internet")))&gt;1,INDIRECT(ADDRESS(ROW() + $A$9-7 + (ROW()-11)*4,2,1,1,"Internet"))," "))</f>
        <v xml:space="preserve"> </v>
      </c>
      <c r="W111" s="385" t="str">
        <f ca="1">IF(N(U111)&gt;0,VLOOKUP(U111,Hraci!$A$1:$I$1500,3,0)," ")</f>
        <v xml:space="preserve"> </v>
      </c>
      <c r="X111" s="385" t="str">
        <f ca="1">IF(N(U111)&gt;0,VLOOKUP(U111,Hraci!$A$1:$I$1500,5,0),IF(TYPE(INDIRECT(ADDRESS(ROW() + $A$9-7 + (ROW()-11)*4,3,1,1,"Internet")))&gt;1,INDIRECT(ADDRESS(ROW() + $A$9-7 + (ROW()-11)*4,3,1,1,"Internet"))," "))</f>
        <v xml:space="preserve"> </v>
      </c>
      <c r="Y111" s="319">
        <f ca="1">IF(N(U111)=0,9999,VLOOKUP(U111,Hraci!$A$1:$I$1500,8,0))</f>
        <v>9999</v>
      </c>
      <c r="Z111" s="386">
        <f ca="1">IF(N(U111)=0,0,VLOOKUP(U111,Hraci!$A$1:$I$1500,9,0))</f>
        <v>0</v>
      </c>
      <c r="AA111" s="383" t="str">
        <f t="shared" ca="1" si="31"/>
        <v/>
      </c>
      <c r="AB111" s="384" t="str">
        <f ca="1">IF(N(AA111)&gt;0,VLOOKUP(AA111,Hraci!$A$1:$I$1500,2,0)," ")</f>
        <v xml:space="preserve"> </v>
      </c>
      <c r="AC111" s="385" t="str">
        <f ca="1">IF(N(AA111)&gt;0,VLOOKUP(AA111,Hraci!$A$1:$I$1500,3,0)," ")</f>
        <v xml:space="preserve"> </v>
      </c>
      <c r="AD111" s="385" t="str">
        <f ca="1">IF(N(AA111)&gt;0,VLOOKUP(AA111,Hraci!$A$1:$I$1500,5,0)," ")</f>
        <v xml:space="preserve"> </v>
      </c>
      <c r="AE111" s="319">
        <f ca="1">IF(N(AA111)=0,9999,VLOOKUP(AA111,Hraci!$A$1:$I$1500,8,0))</f>
        <v>9999</v>
      </c>
      <c r="AF111" s="386">
        <f ca="1">IF(N(AA111)=0,0,VLOOKUP(AA111,Hraci!$A$1:$I$1500,9,0))</f>
        <v>0</v>
      </c>
      <c r="AG111" s="391"/>
      <c r="AH111" s="427">
        <f ca="1">IF(TYPE(VLOOKUP(H111,Centrum!$A$3:$E$130,5,0))&lt;4,VLOOKUP(H111,Centrum!$A$3:$E$130,5,0),0)</f>
        <v>0</v>
      </c>
      <c r="AI111" s="387" t="str">
        <f ca="1">IF(N($AH111)&gt;0,VLOOKUP($AH111,Body!$A$4:$F$259,5,0),"")</f>
        <v/>
      </c>
      <c r="AJ111" s="388" t="str">
        <f ca="1">IF(N($AH111)&gt;0,VLOOKUP($AH111,Body!$A$4:$F$259,6,0),"")</f>
        <v/>
      </c>
      <c r="AK111" s="387" t="str">
        <f ca="1">IF(N($AH111)&gt;0,VLOOKUP($AH111,Body!$A$4:$F$259,2,0),"")</f>
        <v/>
      </c>
      <c r="AL111" s="389" t="str">
        <f t="shared" ca="1" si="37"/>
        <v/>
      </c>
      <c r="AM111" s="390">
        <f t="shared" ca="1" si="33"/>
        <v>0</v>
      </c>
      <c r="AN111" s="319">
        <f ca="1">IF(OR(TYPE(I111)&gt;1,TYPE(MATCH(I111,I112:I$139,0))&gt;1),0,MATCH(I111,I112:I$139,0))+IF(OR(TYPE(I111)&gt;1,TYPE(MATCH(I111,O$11:O$139,0))&gt;1),0,MATCH(I111,O$11:O$139,0))+IF(OR(TYPE(I111)&gt;1,TYPE(MATCH(I111,U$11:U$139,0))&gt;1),0,MATCH(I111,U$11:U$139,0))+IF(OR(TYPE(I111)&gt;1,TYPE(MATCH(I111,AA$11:AA$139,0))&gt;1),0,MATCH(I111,AA$11:AA$139,0))</f>
        <v>0</v>
      </c>
      <c r="AO111" s="319">
        <f ca="1">IF(OR(TYPE(O111)&gt;1,TYPE(MATCH(O111,I$11:I$139,0))&gt;1),0,MATCH(O111,I$11:I$139,0))+IF(OR(TYPE(O111)&gt;1,TYPE(MATCH(O111,O112:O$139,0))&gt;1),0,MATCH(O111,O112:O$139,0))+IF(OR(TYPE(O111)&gt;1,TYPE(MATCH(O111,U$11:U$139,0))&gt;1),0,MATCH(O111,U$11:U$139,0))+IF(OR(TYPE(O111)&gt;1,TYPE(MATCH(O111,AA$11:AA$139,0))&gt;1),0,MATCH(O111,AA$11:AA$139,0))</f>
        <v>0</v>
      </c>
      <c r="AP111" s="319">
        <f ca="1">IF(OR(TYPE(U111)&gt;1,TYPE(MATCH(U111,I$11:I$139,0))&gt;1),0,MATCH(U111,I$11:I$139,0))+IF(OR(TYPE(U111)&gt;1,TYPE(MATCH(U111,O$11:O$139,0))&gt;1),0,MATCH(U111,O$11:O$139,0))+IF(OR(TYPE(U111)&gt;1,TYPE(MATCH(U111,U112:U$139,0))&gt;1),0,MATCH(U111,U112:U$139,0))+IF(OR(TYPE(U111)&gt;1,TYPE(MATCH(U111,AA$11:AA$139,0))&gt;1),0,MATCH(U111,AA$11:AA$139,0))</f>
        <v>0</v>
      </c>
      <c r="AQ111" s="319">
        <f ca="1">IF(OR(TYPE(AA111)&gt;1,TYPE(MATCH(AA111,I$11:I$139,0))&gt;1),0,MATCH(AA111,I$11:I$139,0))+IF(OR(TYPE(AA111)&gt;1,TYPE(MATCH(AA111,O$11:O$139,0))&gt;1),0,MATCH(AA111,O$11:O$139,0))+IF(OR(TYPE(AA111)&gt;1,TYPE(MATCH(AA111,U$11:U$139,0))&gt;1),0,MATCH(U111,U$11:U$139,0))+IF(OR(TYPE(AA111)&gt;1,TYPE(MATCH(AA111,AA112:AA$139,0))&gt;1),0,MATCH(AA111,AA112:AA$139,0))</f>
        <v>0</v>
      </c>
      <c r="AR111" s="319">
        <f t="shared" ca="1" si="36"/>
        <v>0</v>
      </c>
      <c r="AT111" s="318">
        <f t="shared" ca="1" si="34"/>
        <v>0</v>
      </c>
      <c r="AU111" s="318">
        <f ca="1">IF(AND(N(I111)&gt;0,TYPE(VLOOKUP(I111,Hraci!$A$5:$A$800,1,0))&gt;3),1,0) + IF(AND(N(O111)&gt;0,TYPE(VLOOKUP(O111,Hraci!$A$5:$A$800,1,0))&gt;3),1,0) + IF(AND(N(U111)&gt;0,TYPE(VLOOKUP(U111,Hraci!$A$5:$A$800,1,0))&gt;3),1,0)</f>
        <v>0</v>
      </c>
      <c r="BF111" s="319">
        <f t="shared" si="35"/>
        <v>101</v>
      </c>
    </row>
    <row r="112" spans="1:58" ht="12.9" x14ac:dyDescent="0.45">
      <c r="A112" s="302">
        <f t="shared" ca="1" si="20"/>
        <v>0</v>
      </c>
      <c r="B112" s="302">
        <f t="shared" ca="1" si="21"/>
        <v>0</v>
      </c>
      <c r="C112" s="302">
        <f t="shared" ca="1" si="22"/>
        <v>0</v>
      </c>
      <c r="D112" s="302">
        <f t="shared" ca="1" si="23"/>
        <v>99999</v>
      </c>
      <c r="E112" s="302">
        <f t="shared" ca="1" si="24"/>
        <v>9999</v>
      </c>
      <c r="F112" s="343" t="str">
        <f t="shared" ca="1" si="25"/>
        <v>00000000000000000000717715</v>
      </c>
      <c r="G112" s="381" t="b">
        <f t="shared" ca="1" si="26"/>
        <v>1</v>
      </c>
      <c r="H112" s="382">
        <f t="shared" si="27"/>
        <v>102</v>
      </c>
      <c r="I112" s="383" t="str">
        <f t="shared" ca="1" si="28"/>
        <v/>
      </c>
      <c r="J112" s="384" t="str">
        <f ca="1">IF(N(I112)&gt;0,VLOOKUP(I112,Hraci!$A$1:$I$1500,2,0),IF(TYPE(INDIRECT(ADDRESS(ROW() + $A$9-9 + (ROW()-11)*4,2,1,1,"Internet")))&gt;1,INDIRECT(ADDRESS(ROW() + $A$9-9 + (ROW()-11)*4,2,1,1,"Internet"))," "))</f>
        <v xml:space="preserve"> </v>
      </c>
      <c r="K112" s="385" t="str">
        <f ca="1">IF(N(I112)&gt;0,VLOOKUP(I112,Hraci!$A$1:$I$1500,3,0)," ")</f>
        <v xml:space="preserve"> </v>
      </c>
      <c r="L112" s="385" t="str">
        <f ca="1">IF(N(I112)&gt;0,VLOOKUP(I112,Hraci!$A$1:$I$1500,5,0),IF(TYPE(INDIRECT(ADDRESS(ROW() + $A$9-9 + (ROW()-11)*4,3,1,1,"Internet")))&gt;1,INDIRECT(ADDRESS(ROW() + $A$9-9 + (ROW()-11)*4,3,1,1,"Internet"))," "))</f>
        <v xml:space="preserve"> </v>
      </c>
      <c r="M112" s="319">
        <f ca="1">IF(N(I112)=0,9999,VLOOKUP(I112,Hraci!$A$1:$I$1500,8,0))</f>
        <v>9999</v>
      </c>
      <c r="N112" s="386">
        <f ca="1">IF(N(I112)=0,0,VLOOKUP(I112,Hraci!$A$1:$I$1500,9,0))</f>
        <v>0</v>
      </c>
      <c r="O112" s="383" t="str">
        <f t="shared" ca="1" si="29"/>
        <v/>
      </c>
      <c r="P112" s="384" t="str">
        <f ca="1">IF(N(O112)&gt;0,VLOOKUP(O112,Hraci!$A$1:$I$1500,2,0),IF(TYPE(INDIRECT(ADDRESS(ROW() + $A$9-8 + (ROW()-11)*4,2,1,1,"Internet")))&gt;1,INDIRECT(ADDRESS(ROW() + $A$9-8 + (ROW()-11)*4,2,1,1,"Internet"))," "))</f>
        <v xml:space="preserve"> </v>
      </c>
      <c r="Q112" s="385" t="str">
        <f ca="1">IF(N(O112)&gt;0,VLOOKUP(O112,Hraci!$A$1:$I$1500,3,0)," ")</f>
        <v xml:space="preserve"> </v>
      </c>
      <c r="R112" s="385" t="str">
        <f ca="1">IF(N(O112)&gt;0,VLOOKUP(O112,Hraci!$A$1:$I$1500,5,0),IF(TYPE(INDIRECT(ADDRESS(ROW() + $A$9-8 + (ROW()-11)*4,3,1,1,"Internet")))&gt;1,INDIRECT(ADDRESS(ROW() + $A$9-8 + (ROW()-11)*4,3,1,1,"Internet"))," "))</f>
        <v xml:space="preserve"> </v>
      </c>
      <c r="S112" s="319">
        <f ca="1">IF(N(O112)=0,9999,VLOOKUP(O112,Hraci!$A$1:$I$1500,8,0))</f>
        <v>9999</v>
      </c>
      <c r="T112" s="386">
        <f ca="1">IF(N(O112)=0,0,VLOOKUP(O112,Hraci!$A$1:$I$1500,9,0))</f>
        <v>0</v>
      </c>
      <c r="U112" s="383" t="str">
        <f t="shared" ca="1" si="30"/>
        <v/>
      </c>
      <c r="V112" s="384" t="str">
        <f ca="1">IF(N(U112)&gt;0,VLOOKUP(U112,Hraci!$A$1:$I$1500,2,0),IF(TYPE(INDIRECT(ADDRESS(ROW() + $A$9-7 + (ROW()-11)*4,2,1,1,"Internet")))&gt;1,INDIRECT(ADDRESS(ROW() + $A$9-7 + (ROW()-11)*4,2,1,1,"Internet"))," "))</f>
        <v xml:space="preserve"> </v>
      </c>
      <c r="W112" s="385" t="str">
        <f ca="1">IF(N(U112)&gt;0,VLOOKUP(U112,Hraci!$A$1:$I$1500,3,0)," ")</f>
        <v xml:space="preserve"> </v>
      </c>
      <c r="X112" s="385" t="str">
        <f ca="1">IF(N(U112)&gt;0,VLOOKUP(U112,Hraci!$A$1:$I$1500,5,0),IF(TYPE(INDIRECT(ADDRESS(ROW() + $A$9-7 + (ROW()-11)*4,3,1,1,"Internet")))&gt;1,INDIRECT(ADDRESS(ROW() + $A$9-7 + (ROW()-11)*4,3,1,1,"Internet"))," "))</f>
        <v xml:space="preserve"> </v>
      </c>
      <c r="Y112" s="319">
        <f ca="1">IF(N(U112)=0,9999,VLOOKUP(U112,Hraci!$A$1:$I$1500,8,0))</f>
        <v>9999</v>
      </c>
      <c r="Z112" s="386">
        <f ca="1">IF(N(U112)=0,0,VLOOKUP(U112,Hraci!$A$1:$I$1500,9,0))</f>
        <v>0</v>
      </c>
      <c r="AA112" s="383" t="str">
        <f t="shared" ca="1" si="31"/>
        <v/>
      </c>
      <c r="AB112" s="384" t="str">
        <f ca="1">IF(N(AA112)&gt;0,VLOOKUP(AA112,Hraci!$A$1:$I$1500,2,0)," ")</f>
        <v xml:space="preserve"> </v>
      </c>
      <c r="AC112" s="385" t="str">
        <f ca="1">IF(N(AA112)&gt;0,VLOOKUP(AA112,Hraci!$A$1:$I$1500,3,0)," ")</f>
        <v xml:space="preserve"> </v>
      </c>
      <c r="AD112" s="385" t="str">
        <f ca="1">IF(N(AA112)&gt;0,VLOOKUP(AA112,Hraci!$A$1:$I$1500,5,0)," ")</f>
        <v xml:space="preserve"> </v>
      </c>
      <c r="AE112" s="319">
        <f ca="1">IF(N(AA112)=0,9999,VLOOKUP(AA112,Hraci!$A$1:$I$1500,8,0))</f>
        <v>9999</v>
      </c>
      <c r="AF112" s="386">
        <f ca="1">IF(N(AA112)=0,0,VLOOKUP(AA112,Hraci!$A$1:$I$1500,9,0))</f>
        <v>0</v>
      </c>
      <c r="AG112" s="391"/>
      <c r="AH112" s="427">
        <f ca="1">IF(TYPE(VLOOKUP(H112,Centrum!$A$3:$E$130,5,0))&lt;4,VLOOKUP(H112,Centrum!$A$3:$E$130,5,0),0)</f>
        <v>0</v>
      </c>
      <c r="AI112" s="387" t="str">
        <f ca="1">IF(N($AH112)&gt;0,VLOOKUP($AH112,Body!$A$4:$F$259,5,0),"")</f>
        <v/>
      </c>
      <c r="AJ112" s="388" t="str">
        <f ca="1">IF(N($AH112)&gt;0,VLOOKUP($AH112,Body!$A$4:$F$259,6,0),"")</f>
        <v/>
      </c>
      <c r="AK112" s="387" t="str">
        <f ca="1">IF(N($AH112)&gt;0,VLOOKUP($AH112,Body!$A$4:$F$259,2,0),"")</f>
        <v/>
      </c>
      <c r="AL112" s="389" t="str">
        <f t="shared" ca="1" si="37"/>
        <v/>
      </c>
      <c r="AM112" s="390">
        <f t="shared" ca="1" si="33"/>
        <v>0</v>
      </c>
      <c r="AN112" s="319">
        <f ca="1">IF(OR(TYPE(I112)&gt;1,TYPE(MATCH(I112,I113:I$139,0))&gt;1),0,MATCH(I112,I113:I$139,0))+IF(OR(TYPE(I112)&gt;1,TYPE(MATCH(I112,O$11:O$139,0))&gt;1),0,MATCH(I112,O$11:O$139,0))+IF(OR(TYPE(I112)&gt;1,TYPE(MATCH(I112,U$11:U$139,0))&gt;1),0,MATCH(I112,U$11:U$139,0))+IF(OR(TYPE(I112)&gt;1,TYPE(MATCH(I112,AA$11:AA$139,0))&gt;1),0,MATCH(I112,AA$11:AA$139,0))</f>
        <v>0</v>
      </c>
      <c r="AO112" s="319">
        <f ca="1">IF(OR(TYPE(O112)&gt;1,TYPE(MATCH(O112,I$11:I$139,0))&gt;1),0,MATCH(O112,I$11:I$139,0))+IF(OR(TYPE(O112)&gt;1,TYPE(MATCH(O112,O113:O$139,0))&gt;1),0,MATCH(O112,O113:O$139,0))+IF(OR(TYPE(O112)&gt;1,TYPE(MATCH(O112,U$11:U$139,0))&gt;1),0,MATCH(O112,U$11:U$139,0))+IF(OR(TYPE(O112)&gt;1,TYPE(MATCH(O112,AA$11:AA$139,0))&gt;1),0,MATCH(O112,AA$11:AA$139,0))</f>
        <v>0</v>
      </c>
      <c r="AP112" s="319">
        <f ca="1">IF(OR(TYPE(U112)&gt;1,TYPE(MATCH(U112,I$11:I$139,0))&gt;1),0,MATCH(U112,I$11:I$139,0))+IF(OR(TYPE(U112)&gt;1,TYPE(MATCH(U112,O$11:O$139,0))&gt;1),0,MATCH(U112,O$11:O$139,0))+IF(OR(TYPE(U112)&gt;1,TYPE(MATCH(U112,U113:U$139,0))&gt;1),0,MATCH(U112,U113:U$139,0))+IF(OR(TYPE(U112)&gt;1,TYPE(MATCH(U112,AA$11:AA$139,0))&gt;1),0,MATCH(U112,AA$11:AA$139,0))</f>
        <v>0</v>
      </c>
      <c r="AQ112" s="319">
        <f ca="1">IF(OR(TYPE(AA112)&gt;1,TYPE(MATCH(AA112,I$11:I$139,0))&gt;1),0,MATCH(AA112,I$11:I$139,0))+IF(OR(TYPE(AA112)&gt;1,TYPE(MATCH(AA112,O$11:O$139,0))&gt;1),0,MATCH(AA112,O$11:O$139,0))+IF(OR(TYPE(AA112)&gt;1,TYPE(MATCH(AA112,U$11:U$139,0))&gt;1),0,MATCH(U112,U$11:U$139,0))+IF(OR(TYPE(AA112)&gt;1,TYPE(MATCH(AA112,AA113:AA$139,0))&gt;1),0,MATCH(AA112,AA113:AA$139,0))</f>
        <v>0</v>
      </c>
      <c r="AR112" s="319">
        <f t="shared" ca="1" si="36"/>
        <v>0</v>
      </c>
      <c r="AT112" s="318">
        <f t="shared" ca="1" si="34"/>
        <v>0</v>
      </c>
      <c r="AU112" s="318">
        <f ca="1">IF(AND(N(I112)&gt;0,TYPE(VLOOKUP(I112,Hraci!$A$5:$A$800,1,0))&gt;3),1,0) + IF(AND(N(O112)&gt;0,TYPE(VLOOKUP(O112,Hraci!$A$5:$A$800,1,0))&gt;3),1,0) + IF(AND(N(U112)&gt;0,TYPE(VLOOKUP(U112,Hraci!$A$5:$A$800,1,0))&gt;3),1,0)</f>
        <v>0</v>
      </c>
      <c r="BF112" s="319">
        <f t="shared" si="35"/>
        <v>102</v>
      </c>
    </row>
    <row r="113" spans="1:58" ht="12.9" x14ac:dyDescent="0.45">
      <c r="A113" s="302">
        <f t="shared" ca="1" si="20"/>
        <v>0</v>
      </c>
      <c r="B113" s="302">
        <f t="shared" ca="1" si="21"/>
        <v>0</v>
      </c>
      <c r="C113" s="302">
        <f t="shared" ca="1" si="22"/>
        <v>0</v>
      </c>
      <c r="D113" s="302">
        <f t="shared" ca="1" si="23"/>
        <v>99999</v>
      </c>
      <c r="E113" s="302">
        <f t="shared" ca="1" si="24"/>
        <v>9999</v>
      </c>
      <c r="F113" s="343" t="str">
        <f t="shared" ca="1" si="25"/>
        <v>00000000000000000000519188</v>
      </c>
      <c r="G113" s="381" t="b">
        <f t="shared" ca="1" si="26"/>
        <v>1</v>
      </c>
      <c r="H113" s="382">
        <f t="shared" si="27"/>
        <v>103</v>
      </c>
      <c r="I113" s="383" t="str">
        <f t="shared" ca="1" si="28"/>
        <v/>
      </c>
      <c r="J113" s="384" t="str">
        <f ca="1">IF(N(I113)&gt;0,VLOOKUP(I113,Hraci!$A$1:$I$1500,2,0),IF(TYPE(INDIRECT(ADDRESS(ROW() + $A$9-9 + (ROW()-11)*4,2,1,1,"Internet")))&gt;1,INDIRECT(ADDRESS(ROW() + $A$9-9 + (ROW()-11)*4,2,1,1,"Internet"))," "))</f>
        <v xml:space="preserve"> </v>
      </c>
      <c r="K113" s="385" t="str">
        <f ca="1">IF(N(I113)&gt;0,VLOOKUP(I113,Hraci!$A$1:$I$1500,3,0)," ")</f>
        <v xml:space="preserve"> </v>
      </c>
      <c r="L113" s="385" t="str">
        <f ca="1">IF(N(I113)&gt;0,VLOOKUP(I113,Hraci!$A$1:$I$1500,5,0),IF(TYPE(INDIRECT(ADDRESS(ROW() + $A$9-9 + (ROW()-11)*4,3,1,1,"Internet")))&gt;1,INDIRECT(ADDRESS(ROW() + $A$9-9 + (ROW()-11)*4,3,1,1,"Internet"))," "))</f>
        <v xml:space="preserve"> </v>
      </c>
      <c r="M113" s="319">
        <f ca="1">IF(N(I113)=0,9999,VLOOKUP(I113,Hraci!$A$1:$I$1500,8,0))</f>
        <v>9999</v>
      </c>
      <c r="N113" s="386">
        <f ca="1">IF(N(I113)=0,0,VLOOKUP(I113,Hraci!$A$1:$I$1500,9,0))</f>
        <v>0</v>
      </c>
      <c r="O113" s="383" t="str">
        <f t="shared" ca="1" si="29"/>
        <v/>
      </c>
      <c r="P113" s="384" t="str">
        <f ca="1">IF(N(O113)&gt;0,VLOOKUP(O113,Hraci!$A$1:$I$1500,2,0),IF(TYPE(INDIRECT(ADDRESS(ROW() + $A$9-8 + (ROW()-11)*4,2,1,1,"Internet")))&gt;1,INDIRECT(ADDRESS(ROW() + $A$9-8 + (ROW()-11)*4,2,1,1,"Internet"))," "))</f>
        <v xml:space="preserve"> </v>
      </c>
      <c r="Q113" s="385" t="str">
        <f ca="1">IF(N(O113)&gt;0,VLOOKUP(O113,Hraci!$A$1:$I$1500,3,0)," ")</f>
        <v xml:space="preserve"> </v>
      </c>
      <c r="R113" s="385" t="str">
        <f ca="1">IF(N(O113)&gt;0,VLOOKUP(O113,Hraci!$A$1:$I$1500,5,0),IF(TYPE(INDIRECT(ADDRESS(ROW() + $A$9-8 + (ROW()-11)*4,3,1,1,"Internet")))&gt;1,INDIRECT(ADDRESS(ROW() + $A$9-8 + (ROW()-11)*4,3,1,1,"Internet"))," "))</f>
        <v xml:space="preserve"> </v>
      </c>
      <c r="S113" s="319">
        <f ca="1">IF(N(O113)=0,9999,VLOOKUP(O113,Hraci!$A$1:$I$1500,8,0))</f>
        <v>9999</v>
      </c>
      <c r="T113" s="386">
        <f ca="1">IF(N(O113)=0,0,VLOOKUP(O113,Hraci!$A$1:$I$1500,9,0))</f>
        <v>0</v>
      </c>
      <c r="U113" s="383" t="str">
        <f t="shared" ca="1" si="30"/>
        <v/>
      </c>
      <c r="V113" s="384" t="str">
        <f ca="1">IF(N(U113)&gt;0,VLOOKUP(U113,Hraci!$A$1:$I$1500,2,0),IF(TYPE(INDIRECT(ADDRESS(ROW() + $A$9-7 + (ROW()-11)*4,2,1,1,"Internet")))&gt;1,INDIRECT(ADDRESS(ROW() + $A$9-7 + (ROW()-11)*4,2,1,1,"Internet"))," "))</f>
        <v xml:space="preserve"> </v>
      </c>
      <c r="W113" s="385" t="str">
        <f ca="1">IF(N(U113)&gt;0,VLOOKUP(U113,Hraci!$A$1:$I$1500,3,0)," ")</f>
        <v xml:space="preserve"> </v>
      </c>
      <c r="X113" s="385" t="str">
        <f ca="1">IF(N(U113)&gt;0,VLOOKUP(U113,Hraci!$A$1:$I$1500,5,0),IF(TYPE(INDIRECT(ADDRESS(ROW() + $A$9-7 + (ROW()-11)*4,3,1,1,"Internet")))&gt;1,INDIRECT(ADDRESS(ROW() + $A$9-7 + (ROW()-11)*4,3,1,1,"Internet"))," "))</f>
        <v xml:space="preserve"> </v>
      </c>
      <c r="Y113" s="319">
        <f ca="1">IF(N(U113)=0,9999,VLOOKUP(U113,Hraci!$A$1:$I$1500,8,0))</f>
        <v>9999</v>
      </c>
      <c r="Z113" s="386">
        <f ca="1">IF(N(U113)=0,0,VLOOKUP(U113,Hraci!$A$1:$I$1500,9,0))</f>
        <v>0</v>
      </c>
      <c r="AA113" s="383" t="str">
        <f t="shared" ca="1" si="31"/>
        <v/>
      </c>
      <c r="AB113" s="384" t="str">
        <f ca="1">IF(N(AA113)&gt;0,VLOOKUP(AA113,Hraci!$A$1:$I$1500,2,0)," ")</f>
        <v xml:space="preserve"> </v>
      </c>
      <c r="AC113" s="385" t="str">
        <f ca="1">IF(N(AA113)&gt;0,VLOOKUP(AA113,Hraci!$A$1:$I$1500,3,0)," ")</f>
        <v xml:space="preserve"> </v>
      </c>
      <c r="AD113" s="385" t="str">
        <f ca="1">IF(N(AA113)&gt;0,VLOOKUP(AA113,Hraci!$A$1:$I$1500,5,0)," ")</f>
        <v xml:space="preserve"> </v>
      </c>
      <c r="AE113" s="319">
        <f ca="1">IF(N(AA113)=0,9999,VLOOKUP(AA113,Hraci!$A$1:$I$1500,8,0))</f>
        <v>9999</v>
      </c>
      <c r="AF113" s="386">
        <f ca="1">IF(N(AA113)=0,0,VLOOKUP(AA113,Hraci!$A$1:$I$1500,9,0))</f>
        <v>0</v>
      </c>
      <c r="AG113" s="391"/>
      <c r="AH113" s="427">
        <f ca="1">IF(TYPE(VLOOKUP(H113,Centrum!$A$3:$E$130,5,0))&lt;4,VLOOKUP(H113,Centrum!$A$3:$E$130,5,0),0)</f>
        <v>0</v>
      </c>
      <c r="AI113" s="387" t="str">
        <f ca="1">IF(N($AH113)&gt;0,VLOOKUP($AH113,Body!$A$4:$F$259,5,0),"")</f>
        <v/>
      </c>
      <c r="AJ113" s="388" t="str">
        <f ca="1">IF(N($AH113)&gt;0,VLOOKUP($AH113,Body!$A$4:$F$259,6,0),"")</f>
        <v/>
      </c>
      <c r="AK113" s="387" t="str">
        <f ca="1">IF(N($AH113)&gt;0,VLOOKUP($AH113,Body!$A$4:$F$259,2,0),"")</f>
        <v/>
      </c>
      <c r="AL113" s="389" t="str">
        <f t="shared" ca="1" si="37"/>
        <v/>
      </c>
      <c r="AM113" s="390">
        <f t="shared" ca="1" si="33"/>
        <v>0</v>
      </c>
      <c r="AN113" s="319">
        <f ca="1">IF(OR(TYPE(I113)&gt;1,TYPE(MATCH(I113,I114:I$139,0))&gt;1),0,MATCH(I113,I114:I$139,0))+IF(OR(TYPE(I113)&gt;1,TYPE(MATCH(I113,O$11:O$139,0))&gt;1),0,MATCH(I113,O$11:O$139,0))+IF(OR(TYPE(I113)&gt;1,TYPE(MATCH(I113,U$11:U$139,0))&gt;1),0,MATCH(I113,U$11:U$139,0))+IF(OR(TYPE(I113)&gt;1,TYPE(MATCH(I113,AA$11:AA$139,0))&gt;1),0,MATCH(I113,AA$11:AA$139,0))</f>
        <v>0</v>
      </c>
      <c r="AO113" s="319">
        <f ca="1">IF(OR(TYPE(O113)&gt;1,TYPE(MATCH(O113,I$11:I$139,0))&gt;1),0,MATCH(O113,I$11:I$139,0))+IF(OR(TYPE(O113)&gt;1,TYPE(MATCH(O113,O114:O$139,0))&gt;1),0,MATCH(O113,O114:O$139,0))+IF(OR(TYPE(O113)&gt;1,TYPE(MATCH(O113,U$11:U$139,0))&gt;1),0,MATCH(O113,U$11:U$139,0))+IF(OR(TYPE(O113)&gt;1,TYPE(MATCH(O113,AA$11:AA$139,0))&gt;1),0,MATCH(O113,AA$11:AA$139,0))</f>
        <v>0</v>
      </c>
      <c r="AP113" s="319">
        <f ca="1">IF(OR(TYPE(U113)&gt;1,TYPE(MATCH(U113,I$11:I$139,0))&gt;1),0,MATCH(U113,I$11:I$139,0))+IF(OR(TYPE(U113)&gt;1,TYPE(MATCH(U113,O$11:O$139,0))&gt;1),0,MATCH(U113,O$11:O$139,0))+IF(OR(TYPE(U113)&gt;1,TYPE(MATCH(U113,U114:U$139,0))&gt;1),0,MATCH(U113,U114:U$139,0))+IF(OR(TYPE(U113)&gt;1,TYPE(MATCH(U113,AA$11:AA$139,0))&gt;1),0,MATCH(U113,AA$11:AA$139,0))</f>
        <v>0</v>
      </c>
      <c r="AQ113" s="319">
        <f ca="1">IF(OR(TYPE(AA113)&gt;1,TYPE(MATCH(AA113,I$11:I$139,0))&gt;1),0,MATCH(AA113,I$11:I$139,0))+IF(OR(TYPE(AA113)&gt;1,TYPE(MATCH(AA113,O$11:O$139,0))&gt;1),0,MATCH(AA113,O$11:O$139,0))+IF(OR(TYPE(AA113)&gt;1,TYPE(MATCH(AA113,U$11:U$139,0))&gt;1),0,MATCH(U113,U$11:U$139,0))+IF(OR(TYPE(AA113)&gt;1,TYPE(MATCH(AA113,AA114:AA$139,0))&gt;1),0,MATCH(AA113,AA114:AA$139,0))</f>
        <v>0</v>
      </c>
      <c r="AR113" s="319">
        <f t="shared" ca="1" si="36"/>
        <v>0</v>
      </c>
      <c r="AT113" s="318">
        <f t="shared" ca="1" si="34"/>
        <v>0</v>
      </c>
      <c r="AU113" s="318">
        <f ca="1">IF(AND(N(I113)&gt;0,TYPE(VLOOKUP(I113,Hraci!$A$5:$A$800,1,0))&gt;3),1,0) + IF(AND(N(O113)&gt;0,TYPE(VLOOKUP(O113,Hraci!$A$5:$A$800,1,0))&gt;3),1,0) + IF(AND(N(U113)&gt;0,TYPE(VLOOKUP(U113,Hraci!$A$5:$A$800,1,0))&gt;3),1,0)</f>
        <v>0</v>
      </c>
      <c r="BF113" s="319">
        <f t="shared" si="35"/>
        <v>103</v>
      </c>
    </row>
    <row r="114" spans="1:58" ht="12.9" x14ac:dyDescent="0.45">
      <c r="A114" s="302">
        <f t="shared" ca="1" si="20"/>
        <v>0</v>
      </c>
      <c r="B114" s="302">
        <f t="shared" ca="1" si="21"/>
        <v>0</v>
      </c>
      <c r="C114" s="302">
        <f t="shared" ca="1" si="22"/>
        <v>0</v>
      </c>
      <c r="D114" s="302">
        <f t="shared" ca="1" si="23"/>
        <v>99999</v>
      </c>
      <c r="E114" s="302">
        <f t="shared" ca="1" si="24"/>
        <v>9999</v>
      </c>
      <c r="F114" s="343" t="str">
        <f t="shared" ca="1" si="25"/>
        <v>00000000000000000000152642</v>
      </c>
      <c r="G114" s="381" t="b">
        <f t="shared" ca="1" si="26"/>
        <v>1</v>
      </c>
      <c r="H114" s="382">
        <f t="shared" si="27"/>
        <v>104</v>
      </c>
      <c r="I114" s="383" t="str">
        <f t="shared" ca="1" si="28"/>
        <v/>
      </c>
      <c r="J114" s="384" t="str">
        <f ca="1">IF(N(I114)&gt;0,VLOOKUP(I114,Hraci!$A$1:$I$1500,2,0),IF(TYPE(INDIRECT(ADDRESS(ROW() + $A$9-9 + (ROW()-11)*4,2,1,1,"Internet")))&gt;1,INDIRECT(ADDRESS(ROW() + $A$9-9 + (ROW()-11)*4,2,1,1,"Internet"))," "))</f>
        <v xml:space="preserve"> </v>
      </c>
      <c r="K114" s="385" t="str">
        <f ca="1">IF(N(I114)&gt;0,VLOOKUP(I114,Hraci!$A$1:$I$1500,3,0)," ")</f>
        <v xml:space="preserve"> </v>
      </c>
      <c r="L114" s="385" t="str">
        <f ca="1">IF(N(I114)&gt;0,VLOOKUP(I114,Hraci!$A$1:$I$1500,5,0),IF(TYPE(INDIRECT(ADDRESS(ROW() + $A$9-9 + (ROW()-11)*4,3,1,1,"Internet")))&gt;1,INDIRECT(ADDRESS(ROW() + $A$9-9 + (ROW()-11)*4,3,1,1,"Internet"))," "))</f>
        <v xml:space="preserve"> </v>
      </c>
      <c r="M114" s="319">
        <f ca="1">IF(N(I114)=0,9999,VLOOKUP(I114,Hraci!$A$1:$I$1500,8,0))</f>
        <v>9999</v>
      </c>
      <c r="N114" s="386">
        <f ca="1">IF(N(I114)=0,0,VLOOKUP(I114,Hraci!$A$1:$I$1500,9,0))</f>
        <v>0</v>
      </c>
      <c r="O114" s="383" t="str">
        <f t="shared" ca="1" si="29"/>
        <v/>
      </c>
      <c r="P114" s="384" t="str">
        <f ca="1">IF(N(O114)&gt;0,VLOOKUP(O114,Hraci!$A$1:$I$1500,2,0),IF(TYPE(INDIRECT(ADDRESS(ROW() + $A$9-8 + (ROW()-11)*4,2,1,1,"Internet")))&gt;1,INDIRECT(ADDRESS(ROW() + $A$9-8 + (ROW()-11)*4,2,1,1,"Internet"))," "))</f>
        <v xml:space="preserve"> </v>
      </c>
      <c r="Q114" s="385" t="str">
        <f ca="1">IF(N(O114)&gt;0,VLOOKUP(O114,Hraci!$A$1:$I$1500,3,0)," ")</f>
        <v xml:space="preserve"> </v>
      </c>
      <c r="R114" s="385" t="str">
        <f ca="1">IF(N(O114)&gt;0,VLOOKUP(O114,Hraci!$A$1:$I$1500,5,0),IF(TYPE(INDIRECT(ADDRESS(ROW() + $A$9-8 + (ROW()-11)*4,3,1,1,"Internet")))&gt;1,INDIRECT(ADDRESS(ROW() + $A$9-8 + (ROW()-11)*4,3,1,1,"Internet"))," "))</f>
        <v xml:space="preserve"> </v>
      </c>
      <c r="S114" s="319">
        <f ca="1">IF(N(O114)=0,9999,VLOOKUP(O114,Hraci!$A$1:$I$1500,8,0))</f>
        <v>9999</v>
      </c>
      <c r="T114" s="386">
        <f ca="1">IF(N(O114)=0,0,VLOOKUP(O114,Hraci!$A$1:$I$1500,9,0))</f>
        <v>0</v>
      </c>
      <c r="U114" s="383" t="str">
        <f t="shared" ca="1" si="30"/>
        <v/>
      </c>
      <c r="V114" s="384" t="str">
        <f ca="1">IF(N(U114)&gt;0,VLOOKUP(U114,Hraci!$A$1:$I$1500,2,0),IF(TYPE(INDIRECT(ADDRESS(ROW() + $A$9-7 + (ROW()-11)*4,2,1,1,"Internet")))&gt;1,INDIRECT(ADDRESS(ROW() + $A$9-7 + (ROW()-11)*4,2,1,1,"Internet"))," "))</f>
        <v xml:space="preserve"> </v>
      </c>
      <c r="W114" s="385" t="str">
        <f ca="1">IF(N(U114)&gt;0,VLOOKUP(U114,Hraci!$A$1:$I$1500,3,0)," ")</f>
        <v xml:space="preserve"> </v>
      </c>
      <c r="X114" s="385" t="str">
        <f ca="1">IF(N(U114)&gt;0,VLOOKUP(U114,Hraci!$A$1:$I$1500,5,0),IF(TYPE(INDIRECT(ADDRESS(ROW() + $A$9-7 + (ROW()-11)*4,3,1,1,"Internet")))&gt;1,INDIRECT(ADDRESS(ROW() + $A$9-7 + (ROW()-11)*4,3,1,1,"Internet"))," "))</f>
        <v xml:space="preserve"> </v>
      </c>
      <c r="Y114" s="319">
        <f ca="1">IF(N(U114)=0,9999,VLOOKUP(U114,Hraci!$A$1:$I$1500,8,0))</f>
        <v>9999</v>
      </c>
      <c r="Z114" s="386">
        <f ca="1">IF(N(U114)=0,0,VLOOKUP(U114,Hraci!$A$1:$I$1500,9,0))</f>
        <v>0</v>
      </c>
      <c r="AA114" s="383" t="str">
        <f t="shared" ca="1" si="31"/>
        <v/>
      </c>
      <c r="AB114" s="384" t="str">
        <f ca="1">IF(N(AA114)&gt;0,VLOOKUP(AA114,Hraci!$A$1:$I$1500,2,0)," ")</f>
        <v xml:space="preserve"> </v>
      </c>
      <c r="AC114" s="385" t="str">
        <f ca="1">IF(N(AA114)&gt;0,VLOOKUP(AA114,Hraci!$A$1:$I$1500,3,0)," ")</f>
        <v xml:space="preserve"> </v>
      </c>
      <c r="AD114" s="385" t="str">
        <f ca="1">IF(N(AA114)&gt;0,VLOOKUP(AA114,Hraci!$A$1:$I$1500,5,0)," ")</f>
        <v xml:space="preserve"> </v>
      </c>
      <c r="AE114" s="319">
        <f ca="1">IF(N(AA114)=0,9999,VLOOKUP(AA114,Hraci!$A$1:$I$1500,8,0))</f>
        <v>9999</v>
      </c>
      <c r="AF114" s="386">
        <f ca="1">IF(N(AA114)=0,0,VLOOKUP(AA114,Hraci!$A$1:$I$1500,9,0))</f>
        <v>0</v>
      </c>
      <c r="AG114" s="391"/>
      <c r="AH114" s="427">
        <f ca="1">IF(TYPE(VLOOKUP(H114,Centrum!$A$3:$E$130,5,0))&lt;4,VLOOKUP(H114,Centrum!$A$3:$E$130,5,0),0)</f>
        <v>0</v>
      </c>
      <c r="AI114" s="387" t="str">
        <f ca="1">IF(N($AH114)&gt;0,VLOOKUP($AH114,Body!$A$4:$F$259,5,0),"")</f>
        <v/>
      </c>
      <c r="AJ114" s="388" t="str">
        <f ca="1">IF(N($AH114)&gt;0,VLOOKUP($AH114,Body!$A$4:$F$259,6,0),"")</f>
        <v/>
      </c>
      <c r="AK114" s="387" t="str">
        <f ca="1">IF(N($AH114)&gt;0,VLOOKUP($AH114,Body!$A$4:$F$259,2,0),"")</f>
        <v/>
      </c>
      <c r="AL114" s="389" t="str">
        <f t="shared" ca="1" si="37"/>
        <v/>
      </c>
      <c r="AM114" s="390">
        <f t="shared" ca="1" si="33"/>
        <v>0</v>
      </c>
      <c r="AN114" s="319">
        <f ca="1">IF(OR(TYPE(I114)&gt;1,TYPE(MATCH(I114,I115:I$139,0))&gt;1),0,MATCH(I114,I115:I$139,0))+IF(OR(TYPE(I114)&gt;1,TYPE(MATCH(I114,O$11:O$139,0))&gt;1),0,MATCH(I114,O$11:O$139,0))+IF(OR(TYPE(I114)&gt;1,TYPE(MATCH(I114,U$11:U$139,0))&gt;1),0,MATCH(I114,U$11:U$139,0))+IF(OR(TYPE(I114)&gt;1,TYPE(MATCH(I114,AA$11:AA$139,0))&gt;1),0,MATCH(I114,AA$11:AA$139,0))</f>
        <v>0</v>
      </c>
      <c r="AO114" s="319">
        <f ca="1">IF(OR(TYPE(O114)&gt;1,TYPE(MATCH(O114,I$11:I$139,0))&gt;1),0,MATCH(O114,I$11:I$139,0))+IF(OR(TYPE(O114)&gt;1,TYPE(MATCH(O114,O115:O$139,0))&gt;1),0,MATCH(O114,O115:O$139,0))+IF(OR(TYPE(O114)&gt;1,TYPE(MATCH(O114,U$11:U$139,0))&gt;1),0,MATCH(O114,U$11:U$139,0))+IF(OR(TYPE(O114)&gt;1,TYPE(MATCH(O114,AA$11:AA$139,0))&gt;1),0,MATCH(O114,AA$11:AA$139,0))</f>
        <v>0</v>
      </c>
      <c r="AP114" s="319">
        <f ca="1">IF(OR(TYPE(U114)&gt;1,TYPE(MATCH(U114,I$11:I$139,0))&gt;1),0,MATCH(U114,I$11:I$139,0))+IF(OR(TYPE(U114)&gt;1,TYPE(MATCH(U114,O$11:O$139,0))&gt;1),0,MATCH(U114,O$11:O$139,0))+IF(OR(TYPE(U114)&gt;1,TYPE(MATCH(U114,U115:U$139,0))&gt;1),0,MATCH(U114,U115:U$139,0))+IF(OR(TYPE(U114)&gt;1,TYPE(MATCH(U114,AA$11:AA$139,0))&gt;1),0,MATCH(U114,AA$11:AA$139,0))</f>
        <v>0</v>
      </c>
      <c r="AQ114" s="319">
        <f ca="1">IF(OR(TYPE(AA114)&gt;1,TYPE(MATCH(AA114,I$11:I$139,0))&gt;1),0,MATCH(AA114,I$11:I$139,0))+IF(OR(TYPE(AA114)&gt;1,TYPE(MATCH(AA114,O$11:O$139,0))&gt;1),0,MATCH(AA114,O$11:O$139,0))+IF(OR(TYPE(AA114)&gt;1,TYPE(MATCH(AA114,U$11:U$139,0))&gt;1),0,MATCH(U114,U$11:U$139,0))+IF(OR(TYPE(AA114)&gt;1,TYPE(MATCH(AA114,AA115:AA$139,0))&gt;1),0,MATCH(AA114,AA115:AA$139,0))</f>
        <v>0</v>
      </c>
      <c r="AR114" s="319">
        <f t="shared" ca="1" si="36"/>
        <v>0</v>
      </c>
      <c r="AT114" s="318">
        <f t="shared" ca="1" si="34"/>
        <v>0</v>
      </c>
      <c r="AU114" s="318">
        <f ca="1">IF(AND(N(I114)&gt;0,TYPE(VLOOKUP(I114,Hraci!$A$5:$A$800,1,0))&gt;3),1,0) + IF(AND(N(O114)&gt;0,TYPE(VLOOKUP(O114,Hraci!$A$5:$A$800,1,0))&gt;3),1,0) + IF(AND(N(U114)&gt;0,TYPE(VLOOKUP(U114,Hraci!$A$5:$A$800,1,0))&gt;3),1,0)</f>
        <v>0</v>
      </c>
      <c r="BF114" s="319">
        <f t="shared" si="35"/>
        <v>104</v>
      </c>
    </row>
    <row r="115" spans="1:58" ht="12.9" x14ac:dyDescent="0.45">
      <c r="A115" s="302">
        <f t="shared" ca="1" si="20"/>
        <v>0</v>
      </c>
      <c r="B115" s="302">
        <f t="shared" ca="1" si="21"/>
        <v>0</v>
      </c>
      <c r="C115" s="302">
        <f t="shared" ca="1" si="22"/>
        <v>0</v>
      </c>
      <c r="D115" s="302">
        <f t="shared" ca="1" si="23"/>
        <v>99999</v>
      </c>
      <c r="E115" s="302">
        <f t="shared" ca="1" si="24"/>
        <v>9999</v>
      </c>
      <c r="F115" s="343" t="str">
        <f t="shared" ca="1" si="25"/>
        <v>00000000000000000000109918</v>
      </c>
      <c r="G115" s="381" t="b">
        <f t="shared" ca="1" si="26"/>
        <v>1</v>
      </c>
      <c r="H115" s="382">
        <f t="shared" si="27"/>
        <v>105</v>
      </c>
      <c r="I115" s="383" t="str">
        <f t="shared" ca="1" si="28"/>
        <v/>
      </c>
      <c r="J115" s="384" t="str">
        <f ca="1">IF(N(I115)&gt;0,VLOOKUP(I115,Hraci!$A$1:$I$1500,2,0),IF(TYPE(INDIRECT(ADDRESS(ROW() + $A$9-9 + (ROW()-11)*4,2,1,1,"Internet")))&gt;1,INDIRECT(ADDRESS(ROW() + $A$9-9 + (ROW()-11)*4,2,1,1,"Internet"))," "))</f>
        <v xml:space="preserve"> </v>
      </c>
      <c r="K115" s="385" t="str">
        <f ca="1">IF(N(I115)&gt;0,VLOOKUP(I115,Hraci!$A$1:$I$1500,3,0)," ")</f>
        <v xml:space="preserve"> </v>
      </c>
      <c r="L115" s="385" t="str">
        <f ca="1">IF(N(I115)&gt;0,VLOOKUP(I115,Hraci!$A$1:$I$1500,5,0),IF(TYPE(INDIRECT(ADDRESS(ROW() + $A$9-9 + (ROW()-11)*4,3,1,1,"Internet")))&gt;1,INDIRECT(ADDRESS(ROW() + $A$9-9 + (ROW()-11)*4,3,1,1,"Internet"))," "))</f>
        <v xml:space="preserve"> </v>
      </c>
      <c r="M115" s="319">
        <f ca="1">IF(N(I115)=0,9999,VLOOKUP(I115,Hraci!$A$1:$I$1500,8,0))</f>
        <v>9999</v>
      </c>
      <c r="N115" s="386">
        <f ca="1">IF(N(I115)=0,0,VLOOKUP(I115,Hraci!$A$1:$I$1500,9,0))</f>
        <v>0</v>
      </c>
      <c r="O115" s="383" t="str">
        <f t="shared" ca="1" si="29"/>
        <v/>
      </c>
      <c r="P115" s="384" t="str">
        <f ca="1">IF(N(O115)&gt;0,VLOOKUP(O115,Hraci!$A$1:$I$1500,2,0),IF(TYPE(INDIRECT(ADDRESS(ROW() + $A$9-8 + (ROW()-11)*4,2,1,1,"Internet")))&gt;1,INDIRECT(ADDRESS(ROW() + $A$9-8 + (ROW()-11)*4,2,1,1,"Internet"))," "))</f>
        <v xml:space="preserve"> </v>
      </c>
      <c r="Q115" s="385" t="str">
        <f ca="1">IF(N(O115)&gt;0,VLOOKUP(O115,Hraci!$A$1:$I$1500,3,0)," ")</f>
        <v xml:space="preserve"> </v>
      </c>
      <c r="R115" s="385" t="str">
        <f ca="1">IF(N(O115)&gt;0,VLOOKUP(O115,Hraci!$A$1:$I$1500,5,0),IF(TYPE(INDIRECT(ADDRESS(ROW() + $A$9-8 + (ROW()-11)*4,3,1,1,"Internet")))&gt;1,INDIRECT(ADDRESS(ROW() + $A$9-8 + (ROW()-11)*4,3,1,1,"Internet"))," "))</f>
        <v xml:space="preserve"> </v>
      </c>
      <c r="S115" s="319">
        <f ca="1">IF(N(O115)=0,9999,VLOOKUP(O115,Hraci!$A$1:$I$1500,8,0))</f>
        <v>9999</v>
      </c>
      <c r="T115" s="386">
        <f ca="1">IF(N(O115)=0,0,VLOOKUP(O115,Hraci!$A$1:$I$1500,9,0))</f>
        <v>0</v>
      </c>
      <c r="U115" s="383" t="str">
        <f t="shared" ca="1" si="30"/>
        <v/>
      </c>
      <c r="V115" s="384" t="str">
        <f ca="1">IF(N(U115)&gt;0,VLOOKUP(U115,Hraci!$A$1:$I$1500,2,0),IF(TYPE(INDIRECT(ADDRESS(ROW() + $A$9-7 + (ROW()-11)*4,2,1,1,"Internet")))&gt;1,INDIRECT(ADDRESS(ROW() + $A$9-7 + (ROW()-11)*4,2,1,1,"Internet"))," "))</f>
        <v xml:space="preserve"> </v>
      </c>
      <c r="W115" s="385" t="str">
        <f ca="1">IF(N(U115)&gt;0,VLOOKUP(U115,Hraci!$A$1:$I$1500,3,0)," ")</f>
        <v xml:space="preserve"> </v>
      </c>
      <c r="X115" s="385" t="str">
        <f ca="1">IF(N(U115)&gt;0,VLOOKUP(U115,Hraci!$A$1:$I$1500,5,0),IF(TYPE(INDIRECT(ADDRESS(ROW() + $A$9-7 + (ROW()-11)*4,3,1,1,"Internet")))&gt;1,INDIRECT(ADDRESS(ROW() + $A$9-7 + (ROW()-11)*4,3,1,1,"Internet"))," "))</f>
        <v xml:space="preserve"> </v>
      </c>
      <c r="Y115" s="319">
        <f ca="1">IF(N(U115)=0,9999,VLOOKUP(U115,Hraci!$A$1:$I$1500,8,0))</f>
        <v>9999</v>
      </c>
      <c r="Z115" s="386">
        <f ca="1">IF(N(U115)=0,0,VLOOKUP(U115,Hraci!$A$1:$I$1500,9,0))</f>
        <v>0</v>
      </c>
      <c r="AA115" s="383" t="str">
        <f t="shared" ca="1" si="31"/>
        <v/>
      </c>
      <c r="AB115" s="384" t="str">
        <f ca="1">IF(N(AA115)&gt;0,VLOOKUP(AA115,Hraci!$A$1:$I$1500,2,0)," ")</f>
        <v xml:space="preserve"> </v>
      </c>
      <c r="AC115" s="385" t="str">
        <f ca="1">IF(N(AA115)&gt;0,VLOOKUP(AA115,Hraci!$A$1:$I$1500,3,0)," ")</f>
        <v xml:space="preserve"> </v>
      </c>
      <c r="AD115" s="385" t="str">
        <f ca="1">IF(N(AA115)&gt;0,VLOOKUP(AA115,Hraci!$A$1:$I$1500,5,0)," ")</f>
        <v xml:space="preserve"> </v>
      </c>
      <c r="AE115" s="319">
        <f ca="1">IF(N(AA115)=0,9999,VLOOKUP(AA115,Hraci!$A$1:$I$1500,8,0))</f>
        <v>9999</v>
      </c>
      <c r="AF115" s="386">
        <f ca="1">IF(N(AA115)=0,0,VLOOKUP(AA115,Hraci!$A$1:$I$1500,9,0))</f>
        <v>0</v>
      </c>
      <c r="AG115" s="391"/>
      <c r="AH115" s="427">
        <f ca="1">IF(TYPE(VLOOKUP(H115,Centrum!$A$3:$E$130,5,0))&lt;4,VLOOKUP(H115,Centrum!$A$3:$E$130,5,0),0)</f>
        <v>0</v>
      </c>
      <c r="AI115" s="387" t="str">
        <f ca="1">IF(N($AH115)&gt;0,VLOOKUP($AH115,Body!$A$4:$F$259,5,0),"")</f>
        <v/>
      </c>
      <c r="AJ115" s="388" t="str">
        <f ca="1">IF(N($AH115)&gt;0,VLOOKUP($AH115,Body!$A$4:$F$259,6,0),"")</f>
        <v/>
      </c>
      <c r="AK115" s="387" t="str">
        <f ca="1">IF(N($AH115)&gt;0,VLOOKUP($AH115,Body!$A$4:$F$259,2,0),"")</f>
        <v/>
      </c>
      <c r="AL115" s="389" t="str">
        <f t="shared" ca="1" si="37"/>
        <v/>
      </c>
      <c r="AM115" s="390">
        <f t="shared" ca="1" si="33"/>
        <v>0</v>
      </c>
      <c r="AN115" s="319">
        <f ca="1">IF(OR(TYPE(I115)&gt;1,TYPE(MATCH(I115,I116:I$139,0))&gt;1),0,MATCH(I115,I116:I$139,0))+IF(OR(TYPE(I115)&gt;1,TYPE(MATCH(I115,O$11:O$139,0))&gt;1),0,MATCH(I115,O$11:O$139,0))+IF(OR(TYPE(I115)&gt;1,TYPE(MATCH(I115,U$11:U$139,0))&gt;1),0,MATCH(I115,U$11:U$139,0))+IF(OR(TYPE(I115)&gt;1,TYPE(MATCH(I115,AA$11:AA$139,0))&gt;1),0,MATCH(I115,AA$11:AA$139,0))</f>
        <v>0</v>
      </c>
      <c r="AO115" s="319">
        <f ca="1">IF(OR(TYPE(O115)&gt;1,TYPE(MATCH(O115,I$11:I$139,0))&gt;1),0,MATCH(O115,I$11:I$139,0))+IF(OR(TYPE(O115)&gt;1,TYPE(MATCH(O115,O116:O$139,0))&gt;1),0,MATCH(O115,O116:O$139,0))+IF(OR(TYPE(O115)&gt;1,TYPE(MATCH(O115,U$11:U$139,0))&gt;1),0,MATCH(O115,U$11:U$139,0))+IF(OR(TYPE(O115)&gt;1,TYPE(MATCH(O115,AA$11:AA$139,0))&gt;1),0,MATCH(O115,AA$11:AA$139,0))</f>
        <v>0</v>
      </c>
      <c r="AP115" s="319">
        <f ca="1">IF(OR(TYPE(U115)&gt;1,TYPE(MATCH(U115,I$11:I$139,0))&gt;1),0,MATCH(U115,I$11:I$139,0))+IF(OR(TYPE(U115)&gt;1,TYPE(MATCH(U115,O$11:O$139,0))&gt;1),0,MATCH(U115,O$11:O$139,0))+IF(OR(TYPE(U115)&gt;1,TYPE(MATCH(U115,U116:U$139,0))&gt;1),0,MATCH(U115,U116:U$139,0))+IF(OR(TYPE(U115)&gt;1,TYPE(MATCH(U115,AA$11:AA$139,0))&gt;1),0,MATCH(U115,AA$11:AA$139,0))</f>
        <v>0</v>
      </c>
      <c r="AQ115" s="319">
        <f ca="1">IF(OR(TYPE(AA115)&gt;1,TYPE(MATCH(AA115,I$11:I$139,0))&gt;1),0,MATCH(AA115,I$11:I$139,0))+IF(OR(TYPE(AA115)&gt;1,TYPE(MATCH(AA115,O$11:O$139,0))&gt;1),0,MATCH(AA115,O$11:O$139,0))+IF(OR(TYPE(AA115)&gt;1,TYPE(MATCH(AA115,U$11:U$139,0))&gt;1),0,MATCH(U115,U$11:U$139,0))+IF(OR(TYPE(AA115)&gt;1,TYPE(MATCH(AA115,AA116:AA$139,0))&gt;1),0,MATCH(AA115,AA116:AA$139,0))</f>
        <v>0</v>
      </c>
      <c r="AR115" s="319">
        <f t="shared" ca="1" si="36"/>
        <v>0</v>
      </c>
      <c r="AT115" s="318">
        <f t="shared" ca="1" si="34"/>
        <v>0</v>
      </c>
      <c r="AU115" s="318">
        <f ca="1">IF(AND(N(I115)&gt;0,TYPE(VLOOKUP(I115,Hraci!$A$5:$A$800,1,0))&gt;3),1,0) + IF(AND(N(O115)&gt;0,TYPE(VLOOKUP(O115,Hraci!$A$5:$A$800,1,0))&gt;3),1,0) + IF(AND(N(U115)&gt;0,TYPE(VLOOKUP(U115,Hraci!$A$5:$A$800,1,0))&gt;3),1,0)</f>
        <v>0</v>
      </c>
      <c r="BF115" s="319">
        <f t="shared" si="35"/>
        <v>105</v>
      </c>
    </row>
    <row r="116" spans="1:58" ht="12.9" x14ac:dyDescent="0.45">
      <c r="A116" s="302">
        <f t="shared" ca="1" si="20"/>
        <v>0</v>
      </c>
      <c r="B116" s="302">
        <f t="shared" ca="1" si="21"/>
        <v>0</v>
      </c>
      <c r="C116" s="302">
        <f t="shared" ca="1" si="22"/>
        <v>0</v>
      </c>
      <c r="D116" s="302">
        <f t="shared" ca="1" si="23"/>
        <v>99999</v>
      </c>
      <c r="E116" s="302">
        <f t="shared" ca="1" si="24"/>
        <v>9999</v>
      </c>
      <c r="F116" s="343" t="str">
        <f t="shared" ca="1" si="25"/>
        <v>00000000000000000000861776</v>
      </c>
      <c r="G116" s="381" t="b">
        <f t="shared" ca="1" si="26"/>
        <v>1</v>
      </c>
      <c r="H116" s="382">
        <f t="shared" si="27"/>
        <v>106</v>
      </c>
      <c r="I116" s="383" t="str">
        <f t="shared" ca="1" si="28"/>
        <v/>
      </c>
      <c r="J116" s="384" t="str">
        <f ca="1">IF(N(I116)&gt;0,VLOOKUP(I116,Hraci!$A$1:$I$1500,2,0),IF(TYPE(INDIRECT(ADDRESS(ROW() + $A$9-9 + (ROW()-11)*4,2,1,1,"Internet")))&gt;1,INDIRECT(ADDRESS(ROW() + $A$9-9 + (ROW()-11)*4,2,1,1,"Internet"))," "))</f>
        <v xml:space="preserve"> </v>
      </c>
      <c r="K116" s="385" t="str">
        <f ca="1">IF(N(I116)&gt;0,VLOOKUP(I116,Hraci!$A$1:$I$1500,3,0)," ")</f>
        <v xml:space="preserve"> </v>
      </c>
      <c r="L116" s="385" t="str">
        <f ca="1">IF(N(I116)&gt;0,VLOOKUP(I116,Hraci!$A$1:$I$1500,5,0),IF(TYPE(INDIRECT(ADDRESS(ROW() + $A$9-9 + (ROW()-11)*4,3,1,1,"Internet")))&gt;1,INDIRECT(ADDRESS(ROW() + $A$9-9 + (ROW()-11)*4,3,1,1,"Internet"))," "))</f>
        <v xml:space="preserve"> </v>
      </c>
      <c r="M116" s="319">
        <f ca="1">IF(N(I116)=0,9999,VLOOKUP(I116,Hraci!$A$1:$I$1500,8,0))</f>
        <v>9999</v>
      </c>
      <c r="N116" s="386">
        <f ca="1">IF(N(I116)=0,0,VLOOKUP(I116,Hraci!$A$1:$I$1500,9,0))</f>
        <v>0</v>
      </c>
      <c r="O116" s="383" t="str">
        <f t="shared" ca="1" si="29"/>
        <v/>
      </c>
      <c r="P116" s="384" t="str">
        <f ca="1">IF(N(O116)&gt;0,VLOOKUP(O116,Hraci!$A$1:$I$1500,2,0),IF(TYPE(INDIRECT(ADDRESS(ROW() + $A$9-8 + (ROW()-11)*4,2,1,1,"Internet")))&gt;1,INDIRECT(ADDRESS(ROW() + $A$9-8 + (ROW()-11)*4,2,1,1,"Internet"))," "))</f>
        <v xml:space="preserve"> </v>
      </c>
      <c r="Q116" s="385" t="str">
        <f ca="1">IF(N(O116)&gt;0,VLOOKUP(O116,Hraci!$A$1:$I$1500,3,0)," ")</f>
        <v xml:space="preserve"> </v>
      </c>
      <c r="R116" s="385" t="str">
        <f ca="1">IF(N(O116)&gt;0,VLOOKUP(O116,Hraci!$A$1:$I$1500,5,0),IF(TYPE(INDIRECT(ADDRESS(ROW() + $A$9-8 + (ROW()-11)*4,3,1,1,"Internet")))&gt;1,INDIRECT(ADDRESS(ROW() + $A$9-8 + (ROW()-11)*4,3,1,1,"Internet"))," "))</f>
        <v xml:space="preserve"> </v>
      </c>
      <c r="S116" s="319">
        <f ca="1">IF(N(O116)=0,9999,VLOOKUP(O116,Hraci!$A$1:$I$1500,8,0))</f>
        <v>9999</v>
      </c>
      <c r="T116" s="386">
        <f ca="1">IF(N(O116)=0,0,VLOOKUP(O116,Hraci!$A$1:$I$1500,9,0))</f>
        <v>0</v>
      </c>
      <c r="U116" s="383" t="str">
        <f t="shared" ca="1" si="30"/>
        <v/>
      </c>
      <c r="V116" s="384" t="str">
        <f ca="1">IF(N(U116)&gt;0,VLOOKUP(U116,Hraci!$A$1:$I$1500,2,0),IF(TYPE(INDIRECT(ADDRESS(ROW() + $A$9-7 + (ROW()-11)*4,2,1,1,"Internet")))&gt;1,INDIRECT(ADDRESS(ROW() + $A$9-7 + (ROW()-11)*4,2,1,1,"Internet"))," "))</f>
        <v xml:space="preserve"> </v>
      </c>
      <c r="W116" s="385" t="str">
        <f ca="1">IF(N(U116)&gt;0,VLOOKUP(U116,Hraci!$A$1:$I$1500,3,0)," ")</f>
        <v xml:space="preserve"> </v>
      </c>
      <c r="X116" s="385" t="str">
        <f ca="1">IF(N(U116)&gt;0,VLOOKUP(U116,Hraci!$A$1:$I$1500,5,0),IF(TYPE(INDIRECT(ADDRESS(ROW() + $A$9-7 + (ROW()-11)*4,3,1,1,"Internet")))&gt;1,INDIRECT(ADDRESS(ROW() + $A$9-7 + (ROW()-11)*4,3,1,1,"Internet"))," "))</f>
        <v xml:space="preserve"> </v>
      </c>
      <c r="Y116" s="319">
        <f ca="1">IF(N(U116)=0,9999,VLOOKUP(U116,Hraci!$A$1:$I$1500,8,0))</f>
        <v>9999</v>
      </c>
      <c r="Z116" s="386">
        <f ca="1">IF(N(U116)=0,0,VLOOKUP(U116,Hraci!$A$1:$I$1500,9,0))</f>
        <v>0</v>
      </c>
      <c r="AA116" s="383" t="str">
        <f t="shared" ca="1" si="31"/>
        <v/>
      </c>
      <c r="AB116" s="384" t="str">
        <f ca="1">IF(N(AA116)&gt;0,VLOOKUP(AA116,Hraci!$A$1:$I$1500,2,0)," ")</f>
        <v xml:space="preserve"> </v>
      </c>
      <c r="AC116" s="385" t="str">
        <f ca="1">IF(N(AA116)&gt;0,VLOOKUP(AA116,Hraci!$A$1:$I$1500,3,0)," ")</f>
        <v xml:space="preserve"> </v>
      </c>
      <c r="AD116" s="385" t="str">
        <f ca="1">IF(N(AA116)&gt;0,VLOOKUP(AA116,Hraci!$A$1:$I$1500,5,0)," ")</f>
        <v xml:space="preserve"> </v>
      </c>
      <c r="AE116" s="319">
        <f ca="1">IF(N(AA116)=0,9999,VLOOKUP(AA116,Hraci!$A$1:$I$1500,8,0))</f>
        <v>9999</v>
      </c>
      <c r="AF116" s="386">
        <f ca="1">IF(N(AA116)=0,0,VLOOKUP(AA116,Hraci!$A$1:$I$1500,9,0))</f>
        <v>0</v>
      </c>
      <c r="AG116" s="391"/>
      <c r="AH116" s="427">
        <f ca="1">IF(TYPE(VLOOKUP(H116,Centrum!$A$3:$E$130,5,0))&lt;4,VLOOKUP(H116,Centrum!$A$3:$E$130,5,0),0)</f>
        <v>0</v>
      </c>
      <c r="AI116" s="387" t="str">
        <f ca="1">IF(N($AH116)&gt;0,VLOOKUP($AH116,Body!$A$4:$F$259,5,0),"")</f>
        <v/>
      </c>
      <c r="AJ116" s="388" t="str">
        <f ca="1">IF(N($AH116)&gt;0,VLOOKUP($AH116,Body!$A$4:$F$259,6,0),"")</f>
        <v/>
      </c>
      <c r="AK116" s="387" t="str">
        <f ca="1">IF(N($AH116)&gt;0,VLOOKUP($AH116,Body!$A$4:$F$259,2,0),"")</f>
        <v/>
      </c>
      <c r="AL116" s="389" t="str">
        <f t="shared" ca="1" si="37"/>
        <v/>
      </c>
      <c r="AM116" s="390">
        <f t="shared" ca="1" si="33"/>
        <v>0</v>
      </c>
      <c r="AN116" s="319">
        <f ca="1">IF(OR(TYPE(I116)&gt;1,TYPE(MATCH(I116,I117:I$139,0))&gt;1),0,MATCH(I116,I117:I$139,0))+IF(OR(TYPE(I116)&gt;1,TYPE(MATCH(I116,O$11:O$139,0))&gt;1),0,MATCH(I116,O$11:O$139,0))+IF(OR(TYPE(I116)&gt;1,TYPE(MATCH(I116,U$11:U$139,0))&gt;1),0,MATCH(I116,U$11:U$139,0))+IF(OR(TYPE(I116)&gt;1,TYPE(MATCH(I116,AA$11:AA$139,0))&gt;1),0,MATCH(I116,AA$11:AA$139,0))</f>
        <v>0</v>
      </c>
      <c r="AO116" s="319">
        <f ca="1">IF(OR(TYPE(O116)&gt;1,TYPE(MATCH(O116,I$11:I$139,0))&gt;1),0,MATCH(O116,I$11:I$139,0))+IF(OR(TYPE(O116)&gt;1,TYPE(MATCH(O116,O117:O$139,0))&gt;1),0,MATCH(O116,O117:O$139,0))+IF(OR(TYPE(O116)&gt;1,TYPE(MATCH(O116,U$11:U$139,0))&gt;1),0,MATCH(O116,U$11:U$139,0))+IF(OR(TYPE(O116)&gt;1,TYPE(MATCH(O116,AA$11:AA$139,0))&gt;1),0,MATCH(O116,AA$11:AA$139,0))</f>
        <v>0</v>
      </c>
      <c r="AP116" s="319">
        <f ca="1">IF(OR(TYPE(U116)&gt;1,TYPE(MATCH(U116,I$11:I$139,0))&gt;1),0,MATCH(U116,I$11:I$139,0))+IF(OR(TYPE(U116)&gt;1,TYPE(MATCH(U116,O$11:O$139,0))&gt;1),0,MATCH(U116,O$11:O$139,0))+IF(OR(TYPE(U116)&gt;1,TYPE(MATCH(U116,U117:U$139,0))&gt;1),0,MATCH(U116,U117:U$139,0))+IF(OR(TYPE(U116)&gt;1,TYPE(MATCH(U116,AA$11:AA$139,0))&gt;1),0,MATCH(U116,AA$11:AA$139,0))</f>
        <v>0</v>
      </c>
      <c r="AQ116" s="319">
        <f ca="1">IF(OR(TYPE(AA116)&gt;1,TYPE(MATCH(AA116,I$11:I$139,0))&gt;1),0,MATCH(AA116,I$11:I$139,0))+IF(OR(TYPE(AA116)&gt;1,TYPE(MATCH(AA116,O$11:O$139,0))&gt;1),0,MATCH(AA116,O$11:O$139,0))+IF(OR(TYPE(AA116)&gt;1,TYPE(MATCH(AA116,U$11:U$139,0))&gt;1),0,MATCH(U116,U$11:U$139,0))+IF(OR(TYPE(AA116)&gt;1,TYPE(MATCH(AA116,AA117:AA$139,0))&gt;1),0,MATCH(AA116,AA117:AA$139,0))</f>
        <v>0</v>
      </c>
      <c r="AR116" s="319">
        <f t="shared" ca="1" si="36"/>
        <v>0</v>
      </c>
      <c r="AT116" s="318">
        <f t="shared" ca="1" si="34"/>
        <v>0</v>
      </c>
      <c r="AU116" s="318">
        <f ca="1">IF(AND(N(I116)&gt;0,TYPE(VLOOKUP(I116,Hraci!$A$5:$A$800,1,0))&gt;3),1,0) + IF(AND(N(O116)&gt;0,TYPE(VLOOKUP(O116,Hraci!$A$5:$A$800,1,0))&gt;3),1,0) + IF(AND(N(U116)&gt;0,TYPE(VLOOKUP(U116,Hraci!$A$5:$A$800,1,0))&gt;3),1,0)</f>
        <v>0</v>
      </c>
      <c r="BF116" s="319">
        <f t="shared" si="35"/>
        <v>106</v>
      </c>
    </row>
    <row r="117" spans="1:58" ht="12.9" x14ac:dyDescent="0.45">
      <c r="A117" s="302">
        <f t="shared" ca="1" si="20"/>
        <v>0</v>
      </c>
      <c r="B117" s="302">
        <f t="shared" ca="1" si="21"/>
        <v>0</v>
      </c>
      <c r="C117" s="302">
        <f t="shared" ca="1" si="22"/>
        <v>0</v>
      </c>
      <c r="D117" s="302">
        <f t="shared" ca="1" si="23"/>
        <v>99999</v>
      </c>
      <c r="E117" s="302">
        <f t="shared" ca="1" si="24"/>
        <v>9999</v>
      </c>
      <c r="F117" s="343" t="str">
        <f t="shared" ca="1" si="25"/>
        <v>00000000000000000000525980</v>
      </c>
      <c r="G117" s="381" t="b">
        <f t="shared" ca="1" si="26"/>
        <v>1</v>
      </c>
      <c r="H117" s="382">
        <f t="shared" si="27"/>
        <v>107</v>
      </c>
      <c r="I117" s="383" t="str">
        <f t="shared" ca="1" si="28"/>
        <v/>
      </c>
      <c r="J117" s="384" t="str">
        <f ca="1">IF(N(I117)&gt;0,VLOOKUP(I117,Hraci!$A$1:$I$1500,2,0),IF(TYPE(INDIRECT(ADDRESS(ROW() + $A$9-9 + (ROW()-11)*4,2,1,1,"Internet")))&gt;1,INDIRECT(ADDRESS(ROW() + $A$9-9 + (ROW()-11)*4,2,1,1,"Internet"))," "))</f>
        <v xml:space="preserve"> </v>
      </c>
      <c r="K117" s="385" t="str">
        <f ca="1">IF(N(I117)&gt;0,VLOOKUP(I117,Hraci!$A$1:$I$1500,3,0)," ")</f>
        <v xml:space="preserve"> </v>
      </c>
      <c r="L117" s="385" t="str">
        <f ca="1">IF(N(I117)&gt;0,VLOOKUP(I117,Hraci!$A$1:$I$1500,5,0),IF(TYPE(INDIRECT(ADDRESS(ROW() + $A$9-9 + (ROW()-11)*4,3,1,1,"Internet")))&gt;1,INDIRECT(ADDRESS(ROW() + $A$9-9 + (ROW()-11)*4,3,1,1,"Internet"))," "))</f>
        <v xml:space="preserve"> </v>
      </c>
      <c r="M117" s="319">
        <f ca="1">IF(N(I117)=0,9999,VLOOKUP(I117,Hraci!$A$1:$I$1500,8,0))</f>
        <v>9999</v>
      </c>
      <c r="N117" s="386">
        <f ca="1">IF(N(I117)=0,0,VLOOKUP(I117,Hraci!$A$1:$I$1500,9,0))</f>
        <v>0</v>
      </c>
      <c r="O117" s="383" t="str">
        <f t="shared" ca="1" si="29"/>
        <v/>
      </c>
      <c r="P117" s="384" t="str">
        <f ca="1">IF(N(O117)&gt;0,VLOOKUP(O117,Hraci!$A$1:$I$1500,2,0),IF(TYPE(INDIRECT(ADDRESS(ROW() + $A$9-8 + (ROW()-11)*4,2,1,1,"Internet")))&gt;1,INDIRECT(ADDRESS(ROW() + $A$9-8 + (ROW()-11)*4,2,1,1,"Internet"))," "))</f>
        <v xml:space="preserve"> </v>
      </c>
      <c r="Q117" s="385" t="str">
        <f ca="1">IF(N(O117)&gt;0,VLOOKUP(O117,Hraci!$A$1:$I$1500,3,0)," ")</f>
        <v xml:space="preserve"> </v>
      </c>
      <c r="R117" s="385" t="str">
        <f ca="1">IF(N(O117)&gt;0,VLOOKUP(O117,Hraci!$A$1:$I$1500,5,0),IF(TYPE(INDIRECT(ADDRESS(ROW() + $A$9-8 + (ROW()-11)*4,3,1,1,"Internet")))&gt;1,INDIRECT(ADDRESS(ROW() + $A$9-8 + (ROW()-11)*4,3,1,1,"Internet"))," "))</f>
        <v xml:space="preserve"> </v>
      </c>
      <c r="S117" s="319">
        <f ca="1">IF(N(O117)=0,9999,VLOOKUP(O117,Hraci!$A$1:$I$1500,8,0))</f>
        <v>9999</v>
      </c>
      <c r="T117" s="386">
        <f ca="1">IF(N(O117)=0,0,VLOOKUP(O117,Hraci!$A$1:$I$1500,9,0))</f>
        <v>0</v>
      </c>
      <c r="U117" s="383" t="str">
        <f t="shared" ca="1" si="30"/>
        <v/>
      </c>
      <c r="V117" s="384" t="str">
        <f ca="1">IF(N(U117)&gt;0,VLOOKUP(U117,Hraci!$A$1:$I$1500,2,0),IF(TYPE(INDIRECT(ADDRESS(ROW() + $A$9-7 + (ROW()-11)*4,2,1,1,"Internet")))&gt;1,INDIRECT(ADDRESS(ROW() + $A$9-7 + (ROW()-11)*4,2,1,1,"Internet"))," "))</f>
        <v xml:space="preserve"> </v>
      </c>
      <c r="W117" s="385" t="str">
        <f ca="1">IF(N(U117)&gt;0,VLOOKUP(U117,Hraci!$A$1:$I$1500,3,0)," ")</f>
        <v xml:space="preserve"> </v>
      </c>
      <c r="X117" s="385" t="str">
        <f ca="1">IF(N(U117)&gt;0,VLOOKUP(U117,Hraci!$A$1:$I$1500,5,0),IF(TYPE(INDIRECT(ADDRESS(ROW() + $A$9-7 + (ROW()-11)*4,3,1,1,"Internet")))&gt;1,INDIRECT(ADDRESS(ROW() + $A$9-7 + (ROW()-11)*4,3,1,1,"Internet"))," "))</f>
        <v xml:space="preserve"> </v>
      </c>
      <c r="Y117" s="319">
        <f ca="1">IF(N(U117)=0,9999,VLOOKUP(U117,Hraci!$A$1:$I$1500,8,0))</f>
        <v>9999</v>
      </c>
      <c r="Z117" s="386">
        <f ca="1">IF(N(U117)=0,0,VLOOKUP(U117,Hraci!$A$1:$I$1500,9,0))</f>
        <v>0</v>
      </c>
      <c r="AA117" s="383" t="str">
        <f t="shared" ca="1" si="31"/>
        <v/>
      </c>
      <c r="AB117" s="384" t="str">
        <f ca="1">IF(N(AA117)&gt;0,VLOOKUP(AA117,Hraci!$A$1:$I$1500,2,0)," ")</f>
        <v xml:space="preserve"> </v>
      </c>
      <c r="AC117" s="385" t="str">
        <f ca="1">IF(N(AA117)&gt;0,VLOOKUP(AA117,Hraci!$A$1:$I$1500,3,0)," ")</f>
        <v xml:space="preserve"> </v>
      </c>
      <c r="AD117" s="385" t="str">
        <f ca="1">IF(N(AA117)&gt;0,VLOOKUP(AA117,Hraci!$A$1:$I$1500,5,0)," ")</f>
        <v xml:space="preserve"> </v>
      </c>
      <c r="AE117" s="319">
        <f ca="1">IF(N(AA117)=0,9999,VLOOKUP(AA117,Hraci!$A$1:$I$1500,8,0))</f>
        <v>9999</v>
      </c>
      <c r="AF117" s="386">
        <f ca="1">IF(N(AA117)=0,0,VLOOKUP(AA117,Hraci!$A$1:$I$1500,9,0))</f>
        <v>0</v>
      </c>
      <c r="AG117" s="391"/>
      <c r="AH117" s="427">
        <f ca="1">IF(TYPE(VLOOKUP(H117,Centrum!$A$3:$E$130,5,0))&lt;4,VLOOKUP(H117,Centrum!$A$3:$E$130,5,0),0)</f>
        <v>0</v>
      </c>
      <c r="AI117" s="387" t="str">
        <f ca="1">IF(N($AH117)&gt;0,VLOOKUP($AH117,Body!$A$4:$F$259,5,0),"")</f>
        <v/>
      </c>
      <c r="AJ117" s="388" t="str">
        <f ca="1">IF(N($AH117)&gt;0,VLOOKUP($AH117,Body!$A$4:$F$259,6,0),"")</f>
        <v/>
      </c>
      <c r="AK117" s="387" t="str">
        <f ca="1">IF(N($AH117)&gt;0,VLOOKUP($AH117,Body!$A$4:$F$259,2,0),"")</f>
        <v/>
      </c>
      <c r="AL117" s="389" t="str">
        <f t="shared" ca="1" si="37"/>
        <v/>
      </c>
      <c r="AM117" s="390">
        <f t="shared" ca="1" si="33"/>
        <v>0</v>
      </c>
      <c r="AN117" s="319">
        <f ca="1">IF(OR(TYPE(I117)&gt;1,TYPE(MATCH(I117,I118:I$139,0))&gt;1),0,MATCH(I117,I118:I$139,0))+IF(OR(TYPE(I117)&gt;1,TYPE(MATCH(I117,O$11:O$139,0))&gt;1),0,MATCH(I117,O$11:O$139,0))+IF(OR(TYPE(I117)&gt;1,TYPE(MATCH(I117,U$11:U$139,0))&gt;1),0,MATCH(I117,U$11:U$139,0))+IF(OR(TYPE(I117)&gt;1,TYPE(MATCH(I117,AA$11:AA$139,0))&gt;1),0,MATCH(I117,AA$11:AA$139,0))</f>
        <v>0</v>
      </c>
      <c r="AO117" s="319">
        <f ca="1">IF(OR(TYPE(O117)&gt;1,TYPE(MATCH(O117,I$11:I$139,0))&gt;1),0,MATCH(O117,I$11:I$139,0))+IF(OR(TYPE(O117)&gt;1,TYPE(MATCH(O117,O118:O$139,0))&gt;1),0,MATCH(O117,O118:O$139,0))+IF(OR(TYPE(O117)&gt;1,TYPE(MATCH(O117,U$11:U$139,0))&gt;1),0,MATCH(O117,U$11:U$139,0))+IF(OR(TYPE(O117)&gt;1,TYPE(MATCH(O117,AA$11:AA$139,0))&gt;1),0,MATCH(O117,AA$11:AA$139,0))</f>
        <v>0</v>
      </c>
      <c r="AP117" s="319">
        <f ca="1">IF(OR(TYPE(U117)&gt;1,TYPE(MATCH(U117,I$11:I$139,0))&gt;1),0,MATCH(U117,I$11:I$139,0))+IF(OR(TYPE(U117)&gt;1,TYPE(MATCH(U117,O$11:O$139,0))&gt;1),0,MATCH(U117,O$11:O$139,0))+IF(OR(TYPE(U117)&gt;1,TYPE(MATCH(U117,U118:U$139,0))&gt;1),0,MATCH(U117,U118:U$139,0))+IF(OR(TYPE(U117)&gt;1,TYPE(MATCH(U117,AA$11:AA$139,0))&gt;1),0,MATCH(U117,AA$11:AA$139,0))</f>
        <v>0</v>
      </c>
      <c r="AQ117" s="319">
        <f ca="1">IF(OR(TYPE(AA117)&gt;1,TYPE(MATCH(AA117,I$11:I$139,0))&gt;1),0,MATCH(AA117,I$11:I$139,0))+IF(OR(TYPE(AA117)&gt;1,TYPE(MATCH(AA117,O$11:O$139,0))&gt;1),0,MATCH(AA117,O$11:O$139,0))+IF(OR(TYPE(AA117)&gt;1,TYPE(MATCH(AA117,U$11:U$139,0))&gt;1),0,MATCH(U117,U$11:U$139,0))+IF(OR(TYPE(AA117)&gt;1,TYPE(MATCH(AA117,AA118:AA$139,0))&gt;1),0,MATCH(AA117,AA118:AA$139,0))</f>
        <v>0</v>
      </c>
      <c r="AR117" s="319">
        <f t="shared" ca="1" si="36"/>
        <v>0</v>
      </c>
      <c r="AT117" s="318">
        <f t="shared" ca="1" si="34"/>
        <v>0</v>
      </c>
      <c r="AU117" s="318">
        <f ca="1">IF(AND(N(I117)&gt;0,TYPE(VLOOKUP(I117,Hraci!$A$5:$A$800,1,0))&gt;3),1,0) + IF(AND(N(O117)&gt;0,TYPE(VLOOKUP(O117,Hraci!$A$5:$A$800,1,0))&gt;3),1,0) + IF(AND(N(U117)&gt;0,TYPE(VLOOKUP(U117,Hraci!$A$5:$A$800,1,0))&gt;3),1,0)</f>
        <v>0</v>
      </c>
      <c r="BF117" s="319">
        <f t="shared" si="35"/>
        <v>107</v>
      </c>
    </row>
    <row r="118" spans="1:58" ht="12.9" x14ac:dyDescent="0.45">
      <c r="A118" s="302">
        <f t="shared" ca="1" si="20"/>
        <v>0</v>
      </c>
      <c r="B118" s="302">
        <f t="shared" ca="1" si="21"/>
        <v>0</v>
      </c>
      <c r="C118" s="302">
        <f t="shared" ca="1" si="22"/>
        <v>0</v>
      </c>
      <c r="D118" s="302">
        <f t="shared" ca="1" si="23"/>
        <v>99999</v>
      </c>
      <c r="E118" s="302">
        <f t="shared" ca="1" si="24"/>
        <v>9999</v>
      </c>
      <c r="F118" s="343" t="str">
        <f t="shared" ca="1" si="25"/>
        <v>00000000000000000000173622</v>
      </c>
      <c r="G118" s="381" t="b">
        <f t="shared" ca="1" si="26"/>
        <v>1</v>
      </c>
      <c r="H118" s="382">
        <f t="shared" si="27"/>
        <v>108</v>
      </c>
      <c r="I118" s="383" t="str">
        <f t="shared" ca="1" si="28"/>
        <v/>
      </c>
      <c r="J118" s="384" t="str">
        <f ca="1">IF(N(I118)&gt;0,VLOOKUP(I118,Hraci!$A$1:$I$1500,2,0),IF(TYPE(INDIRECT(ADDRESS(ROW() + $A$9-9 + (ROW()-11)*4,2,1,1,"Internet")))&gt;1,INDIRECT(ADDRESS(ROW() + $A$9-9 + (ROW()-11)*4,2,1,1,"Internet"))," "))</f>
        <v xml:space="preserve"> </v>
      </c>
      <c r="K118" s="385" t="str">
        <f ca="1">IF(N(I118)&gt;0,VLOOKUP(I118,Hraci!$A$1:$I$1500,3,0)," ")</f>
        <v xml:space="preserve"> </v>
      </c>
      <c r="L118" s="385" t="str">
        <f ca="1">IF(N(I118)&gt;0,VLOOKUP(I118,Hraci!$A$1:$I$1500,5,0),IF(TYPE(INDIRECT(ADDRESS(ROW() + $A$9-9 + (ROW()-11)*4,3,1,1,"Internet")))&gt;1,INDIRECT(ADDRESS(ROW() + $A$9-9 + (ROW()-11)*4,3,1,1,"Internet"))," "))</f>
        <v xml:space="preserve"> </v>
      </c>
      <c r="M118" s="319">
        <f ca="1">IF(N(I118)=0,9999,VLOOKUP(I118,Hraci!$A$1:$I$1500,8,0))</f>
        <v>9999</v>
      </c>
      <c r="N118" s="386">
        <f ca="1">IF(N(I118)=0,0,VLOOKUP(I118,Hraci!$A$1:$I$1500,9,0))</f>
        <v>0</v>
      </c>
      <c r="O118" s="383" t="str">
        <f t="shared" ca="1" si="29"/>
        <v/>
      </c>
      <c r="P118" s="384" t="str">
        <f ca="1">IF(N(O118)&gt;0,VLOOKUP(O118,Hraci!$A$1:$I$1500,2,0),IF(TYPE(INDIRECT(ADDRESS(ROW() + $A$9-8 + (ROW()-11)*4,2,1,1,"Internet")))&gt;1,INDIRECT(ADDRESS(ROW() + $A$9-8 + (ROW()-11)*4,2,1,1,"Internet"))," "))</f>
        <v xml:space="preserve"> </v>
      </c>
      <c r="Q118" s="385" t="str">
        <f ca="1">IF(N(O118)&gt;0,VLOOKUP(O118,Hraci!$A$1:$I$1500,3,0)," ")</f>
        <v xml:space="preserve"> </v>
      </c>
      <c r="R118" s="385" t="str">
        <f ca="1">IF(N(O118)&gt;0,VLOOKUP(O118,Hraci!$A$1:$I$1500,5,0),IF(TYPE(INDIRECT(ADDRESS(ROW() + $A$9-8 + (ROW()-11)*4,3,1,1,"Internet")))&gt;1,INDIRECT(ADDRESS(ROW() + $A$9-8 + (ROW()-11)*4,3,1,1,"Internet"))," "))</f>
        <v xml:space="preserve"> </v>
      </c>
      <c r="S118" s="319">
        <f ca="1">IF(N(O118)=0,9999,VLOOKUP(O118,Hraci!$A$1:$I$1500,8,0))</f>
        <v>9999</v>
      </c>
      <c r="T118" s="386">
        <f ca="1">IF(N(O118)=0,0,VLOOKUP(O118,Hraci!$A$1:$I$1500,9,0))</f>
        <v>0</v>
      </c>
      <c r="U118" s="383" t="str">
        <f t="shared" ca="1" si="30"/>
        <v/>
      </c>
      <c r="V118" s="384" t="str">
        <f ca="1">IF(N(U118)&gt;0,VLOOKUP(U118,Hraci!$A$1:$I$1500,2,0),IF(TYPE(INDIRECT(ADDRESS(ROW() + $A$9-7 + (ROW()-11)*4,2,1,1,"Internet")))&gt;1,INDIRECT(ADDRESS(ROW() + $A$9-7 + (ROW()-11)*4,2,1,1,"Internet"))," "))</f>
        <v xml:space="preserve"> </v>
      </c>
      <c r="W118" s="385" t="str">
        <f ca="1">IF(N(U118)&gt;0,VLOOKUP(U118,Hraci!$A$1:$I$1500,3,0)," ")</f>
        <v xml:space="preserve"> </v>
      </c>
      <c r="X118" s="385" t="str">
        <f ca="1">IF(N(U118)&gt;0,VLOOKUP(U118,Hraci!$A$1:$I$1500,5,0),IF(TYPE(INDIRECT(ADDRESS(ROW() + $A$9-7 + (ROW()-11)*4,3,1,1,"Internet")))&gt;1,INDIRECT(ADDRESS(ROW() + $A$9-7 + (ROW()-11)*4,3,1,1,"Internet"))," "))</f>
        <v xml:space="preserve"> </v>
      </c>
      <c r="Y118" s="319">
        <f ca="1">IF(N(U118)=0,9999,VLOOKUP(U118,Hraci!$A$1:$I$1500,8,0))</f>
        <v>9999</v>
      </c>
      <c r="Z118" s="386">
        <f ca="1">IF(N(U118)=0,0,VLOOKUP(U118,Hraci!$A$1:$I$1500,9,0))</f>
        <v>0</v>
      </c>
      <c r="AA118" s="383" t="str">
        <f t="shared" ca="1" si="31"/>
        <v/>
      </c>
      <c r="AB118" s="384" t="str">
        <f ca="1">IF(N(AA118)&gt;0,VLOOKUP(AA118,Hraci!$A$1:$I$1500,2,0)," ")</f>
        <v xml:space="preserve"> </v>
      </c>
      <c r="AC118" s="385" t="str">
        <f ca="1">IF(N(AA118)&gt;0,VLOOKUP(AA118,Hraci!$A$1:$I$1500,3,0)," ")</f>
        <v xml:space="preserve"> </v>
      </c>
      <c r="AD118" s="385" t="str">
        <f ca="1">IF(N(AA118)&gt;0,VLOOKUP(AA118,Hraci!$A$1:$I$1500,5,0)," ")</f>
        <v xml:space="preserve"> </v>
      </c>
      <c r="AE118" s="319">
        <f ca="1">IF(N(AA118)=0,9999,VLOOKUP(AA118,Hraci!$A$1:$I$1500,8,0))</f>
        <v>9999</v>
      </c>
      <c r="AF118" s="386">
        <f ca="1">IF(N(AA118)=0,0,VLOOKUP(AA118,Hraci!$A$1:$I$1500,9,0))</f>
        <v>0</v>
      </c>
      <c r="AG118" s="391"/>
      <c r="AH118" s="427">
        <f ca="1">IF(TYPE(VLOOKUP(H118,Centrum!$A$3:$E$130,5,0))&lt;4,VLOOKUP(H118,Centrum!$A$3:$E$130,5,0),0)</f>
        <v>0</v>
      </c>
      <c r="AI118" s="387" t="str">
        <f ca="1">IF(N($AH118)&gt;0,VLOOKUP($AH118,Body!$A$4:$F$259,5,0),"")</f>
        <v/>
      </c>
      <c r="AJ118" s="388" t="str">
        <f ca="1">IF(N($AH118)&gt;0,VLOOKUP($AH118,Body!$A$4:$F$259,6,0),"")</f>
        <v/>
      </c>
      <c r="AK118" s="387" t="str">
        <f ca="1">IF(N($AH118)&gt;0,VLOOKUP($AH118,Body!$A$4:$F$259,2,0),"")</f>
        <v/>
      </c>
      <c r="AL118" s="389" t="str">
        <f t="shared" ca="1" si="37"/>
        <v/>
      </c>
      <c r="AM118" s="390">
        <f t="shared" ca="1" si="33"/>
        <v>0</v>
      </c>
      <c r="AN118" s="319">
        <f ca="1">IF(OR(TYPE(I118)&gt;1,TYPE(MATCH(I118,I119:I$139,0))&gt;1),0,MATCH(I118,I119:I$139,0))+IF(OR(TYPE(I118)&gt;1,TYPE(MATCH(I118,O$11:O$139,0))&gt;1),0,MATCH(I118,O$11:O$139,0))+IF(OR(TYPE(I118)&gt;1,TYPE(MATCH(I118,U$11:U$139,0))&gt;1),0,MATCH(I118,U$11:U$139,0))+IF(OR(TYPE(I118)&gt;1,TYPE(MATCH(I118,AA$11:AA$139,0))&gt;1),0,MATCH(I118,AA$11:AA$139,0))</f>
        <v>0</v>
      </c>
      <c r="AO118" s="319">
        <f ca="1">IF(OR(TYPE(O118)&gt;1,TYPE(MATCH(O118,I$11:I$139,0))&gt;1),0,MATCH(O118,I$11:I$139,0))+IF(OR(TYPE(O118)&gt;1,TYPE(MATCH(O118,O119:O$139,0))&gt;1),0,MATCH(O118,O119:O$139,0))+IF(OR(TYPE(O118)&gt;1,TYPE(MATCH(O118,U$11:U$139,0))&gt;1),0,MATCH(O118,U$11:U$139,0))+IF(OR(TYPE(O118)&gt;1,TYPE(MATCH(O118,AA$11:AA$139,0))&gt;1),0,MATCH(O118,AA$11:AA$139,0))</f>
        <v>0</v>
      </c>
      <c r="AP118" s="319">
        <f ca="1">IF(OR(TYPE(U118)&gt;1,TYPE(MATCH(U118,I$11:I$139,0))&gt;1),0,MATCH(U118,I$11:I$139,0))+IF(OR(TYPE(U118)&gt;1,TYPE(MATCH(U118,O$11:O$139,0))&gt;1),0,MATCH(U118,O$11:O$139,0))+IF(OR(TYPE(U118)&gt;1,TYPE(MATCH(U118,U119:U$139,0))&gt;1),0,MATCH(U118,U119:U$139,0))+IF(OR(TYPE(U118)&gt;1,TYPE(MATCH(U118,AA$11:AA$139,0))&gt;1),0,MATCH(U118,AA$11:AA$139,0))</f>
        <v>0</v>
      </c>
      <c r="AQ118" s="319">
        <f ca="1">IF(OR(TYPE(AA118)&gt;1,TYPE(MATCH(AA118,I$11:I$139,0))&gt;1),0,MATCH(AA118,I$11:I$139,0))+IF(OR(TYPE(AA118)&gt;1,TYPE(MATCH(AA118,O$11:O$139,0))&gt;1),0,MATCH(AA118,O$11:O$139,0))+IF(OR(TYPE(AA118)&gt;1,TYPE(MATCH(AA118,U$11:U$139,0))&gt;1),0,MATCH(U118,U$11:U$139,0))+IF(OR(TYPE(AA118)&gt;1,TYPE(MATCH(AA118,AA119:AA$139,0))&gt;1),0,MATCH(AA118,AA119:AA$139,0))</f>
        <v>0</v>
      </c>
      <c r="AR118" s="319">
        <f t="shared" ca="1" si="36"/>
        <v>0</v>
      </c>
      <c r="AT118" s="318">
        <f t="shared" ca="1" si="34"/>
        <v>0</v>
      </c>
      <c r="AU118" s="318">
        <f ca="1">IF(AND(N(I118)&gt;0,TYPE(VLOOKUP(I118,Hraci!$A$5:$A$800,1,0))&gt;3),1,0) + IF(AND(N(O118)&gt;0,TYPE(VLOOKUP(O118,Hraci!$A$5:$A$800,1,0))&gt;3),1,0) + IF(AND(N(U118)&gt;0,TYPE(VLOOKUP(U118,Hraci!$A$5:$A$800,1,0))&gt;3),1,0)</f>
        <v>0</v>
      </c>
      <c r="BF118" s="319">
        <f t="shared" si="35"/>
        <v>108</v>
      </c>
    </row>
    <row r="119" spans="1:58" ht="12.9" x14ac:dyDescent="0.45">
      <c r="A119" s="302">
        <f t="shared" ca="1" si="20"/>
        <v>0</v>
      </c>
      <c r="B119" s="302">
        <f t="shared" ca="1" si="21"/>
        <v>0</v>
      </c>
      <c r="C119" s="302">
        <f t="shared" ca="1" si="22"/>
        <v>0</v>
      </c>
      <c r="D119" s="302">
        <f t="shared" ca="1" si="23"/>
        <v>99999</v>
      </c>
      <c r="E119" s="302">
        <f t="shared" ca="1" si="24"/>
        <v>9999</v>
      </c>
      <c r="F119" s="343" t="str">
        <f t="shared" ca="1" si="25"/>
        <v>00000000000000000000790839</v>
      </c>
      <c r="G119" s="381" t="b">
        <f t="shared" ca="1" si="26"/>
        <v>1</v>
      </c>
      <c r="H119" s="382">
        <f t="shared" si="27"/>
        <v>109</v>
      </c>
      <c r="I119" s="383" t="str">
        <f t="shared" ca="1" si="28"/>
        <v/>
      </c>
      <c r="J119" s="384" t="str">
        <f ca="1">IF(N(I119)&gt;0,VLOOKUP(I119,Hraci!$A$1:$I$1500,2,0),IF(TYPE(INDIRECT(ADDRESS(ROW() + $A$9-9 + (ROW()-11)*4,2,1,1,"Internet")))&gt;1,INDIRECT(ADDRESS(ROW() + $A$9-9 + (ROW()-11)*4,2,1,1,"Internet"))," "))</f>
        <v xml:space="preserve"> </v>
      </c>
      <c r="K119" s="385" t="str">
        <f ca="1">IF(N(I119)&gt;0,VLOOKUP(I119,Hraci!$A$1:$I$1500,3,0)," ")</f>
        <v xml:space="preserve"> </v>
      </c>
      <c r="L119" s="385" t="str">
        <f ca="1">IF(N(I119)&gt;0,VLOOKUP(I119,Hraci!$A$1:$I$1500,5,0),IF(TYPE(INDIRECT(ADDRESS(ROW() + $A$9-9 + (ROW()-11)*4,3,1,1,"Internet")))&gt;1,INDIRECT(ADDRESS(ROW() + $A$9-9 + (ROW()-11)*4,3,1,1,"Internet"))," "))</f>
        <v xml:space="preserve"> </v>
      </c>
      <c r="M119" s="319">
        <f ca="1">IF(N(I119)=0,9999,VLOOKUP(I119,Hraci!$A$1:$I$1500,8,0))</f>
        <v>9999</v>
      </c>
      <c r="N119" s="386">
        <f ca="1">IF(N(I119)=0,0,VLOOKUP(I119,Hraci!$A$1:$I$1500,9,0))</f>
        <v>0</v>
      </c>
      <c r="O119" s="383" t="str">
        <f t="shared" ca="1" si="29"/>
        <v/>
      </c>
      <c r="P119" s="384" t="str">
        <f ca="1">IF(N(O119)&gt;0,VLOOKUP(O119,Hraci!$A$1:$I$1500,2,0),IF(TYPE(INDIRECT(ADDRESS(ROW() + $A$9-8 + (ROW()-11)*4,2,1,1,"Internet")))&gt;1,INDIRECT(ADDRESS(ROW() + $A$9-8 + (ROW()-11)*4,2,1,1,"Internet"))," "))</f>
        <v xml:space="preserve"> </v>
      </c>
      <c r="Q119" s="385" t="str">
        <f ca="1">IF(N(O119)&gt;0,VLOOKUP(O119,Hraci!$A$1:$I$1500,3,0)," ")</f>
        <v xml:space="preserve"> </v>
      </c>
      <c r="R119" s="385" t="str">
        <f ca="1">IF(N(O119)&gt;0,VLOOKUP(O119,Hraci!$A$1:$I$1500,5,0),IF(TYPE(INDIRECT(ADDRESS(ROW() + $A$9-8 + (ROW()-11)*4,3,1,1,"Internet")))&gt;1,INDIRECT(ADDRESS(ROW() + $A$9-8 + (ROW()-11)*4,3,1,1,"Internet"))," "))</f>
        <v xml:space="preserve"> </v>
      </c>
      <c r="S119" s="319">
        <f ca="1">IF(N(O119)=0,9999,VLOOKUP(O119,Hraci!$A$1:$I$1500,8,0))</f>
        <v>9999</v>
      </c>
      <c r="T119" s="386">
        <f ca="1">IF(N(O119)=0,0,VLOOKUP(O119,Hraci!$A$1:$I$1500,9,0))</f>
        <v>0</v>
      </c>
      <c r="U119" s="383" t="str">
        <f t="shared" ca="1" si="30"/>
        <v/>
      </c>
      <c r="V119" s="384" t="str">
        <f ca="1">IF(N(U119)&gt;0,VLOOKUP(U119,Hraci!$A$1:$I$1500,2,0),IF(TYPE(INDIRECT(ADDRESS(ROW() + $A$9-7 + (ROW()-11)*4,2,1,1,"Internet")))&gt;1,INDIRECT(ADDRESS(ROW() + $A$9-7 + (ROW()-11)*4,2,1,1,"Internet"))," "))</f>
        <v xml:space="preserve"> </v>
      </c>
      <c r="W119" s="385" t="str">
        <f ca="1">IF(N(U119)&gt;0,VLOOKUP(U119,Hraci!$A$1:$I$1500,3,0)," ")</f>
        <v xml:space="preserve"> </v>
      </c>
      <c r="X119" s="385" t="str">
        <f ca="1">IF(N(U119)&gt;0,VLOOKUP(U119,Hraci!$A$1:$I$1500,5,0),IF(TYPE(INDIRECT(ADDRESS(ROW() + $A$9-7 + (ROW()-11)*4,3,1,1,"Internet")))&gt;1,INDIRECT(ADDRESS(ROW() + $A$9-7 + (ROW()-11)*4,3,1,1,"Internet"))," "))</f>
        <v xml:space="preserve"> </v>
      </c>
      <c r="Y119" s="319">
        <f ca="1">IF(N(U119)=0,9999,VLOOKUP(U119,Hraci!$A$1:$I$1500,8,0))</f>
        <v>9999</v>
      </c>
      <c r="Z119" s="386">
        <f ca="1">IF(N(U119)=0,0,VLOOKUP(U119,Hraci!$A$1:$I$1500,9,0))</f>
        <v>0</v>
      </c>
      <c r="AA119" s="383" t="str">
        <f t="shared" ca="1" si="31"/>
        <v/>
      </c>
      <c r="AB119" s="384" t="str">
        <f ca="1">IF(N(AA119)&gt;0,VLOOKUP(AA119,Hraci!$A$1:$I$1500,2,0)," ")</f>
        <v xml:space="preserve"> </v>
      </c>
      <c r="AC119" s="385" t="str">
        <f ca="1">IF(N(AA119)&gt;0,VLOOKUP(AA119,Hraci!$A$1:$I$1500,3,0)," ")</f>
        <v xml:space="preserve"> </v>
      </c>
      <c r="AD119" s="385" t="str">
        <f ca="1">IF(N(AA119)&gt;0,VLOOKUP(AA119,Hraci!$A$1:$I$1500,5,0)," ")</f>
        <v xml:space="preserve"> </v>
      </c>
      <c r="AE119" s="319">
        <f ca="1">IF(N(AA119)=0,9999,VLOOKUP(AA119,Hraci!$A$1:$I$1500,8,0))</f>
        <v>9999</v>
      </c>
      <c r="AF119" s="386">
        <f ca="1">IF(N(AA119)=0,0,VLOOKUP(AA119,Hraci!$A$1:$I$1500,9,0))</f>
        <v>0</v>
      </c>
      <c r="AG119" s="391"/>
      <c r="AH119" s="427">
        <f ca="1">IF(TYPE(VLOOKUP(H119,Centrum!$A$3:$E$130,5,0))&lt;4,VLOOKUP(H119,Centrum!$A$3:$E$130,5,0),0)</f>
        <v>0</v>
      </c>
      <c r="AI119" s="387" t="str">
        <f ca="1">IF(N($AH119)&gt;0,VLOOKUP($AH119,Body!$A$4:$F$259,5,0),"")</f>
        <v/>
      </c>
      <c r="AJ119" s="388" t="str">
        <f ca="1">IF(N($AH119)&gt;0,VLOOKUP($AH119,Body!$A$4:$F$259,6,0),"")</f>
        <v/>
      </c>
      <c r="AK119" s="387" t="str">
        <f ca="1">IF(N($AH119)&gt;0,VLOOKUP($AH119,Body!$A$4:$F$259,2,0),"")</f>
        <v/>
      </c>
      <c r="AL119" s="389" t="str">
        <f t="shared" ca="1" si="37"/>
        <v/>
      </c>
      <c r="AM119" s="390">
        <f t="shared" ca="1" si="33"/>
        <v>0</v>
      </c>
      <c r="AN119" s="319">
        <f ca="1">IF(OR(TYPE(I119)&gt;1,TYPE(MATCH(I119,I120:I$139,0))&gt;1),0,MATCH(I119,I120:I$139,0))+IF(OR(TYPE(I119)&gt;1,TYPE(MATCH(I119,O$11:O$139,0))&gt;1),0,MATCH(I119,O$11:O$139,0))+IF(OR(TYPE(I119)&gt;1,TYPE(MATCH(I119,U$11:U$139,0))&gt;1),0,MATCH(I119,U$11:U$139,0))+IF(OR(TYPE(I119)&gt;1,TYPE(MATCH(I119,AA$11:AA$139,0))&gt;1),0,MATCH(I119,AA$11:AA$139,0))</f>
        <v>0</v>
      </c>
      <c r="AO119" s="319">
        <f ca="1">IF(OR(TYPE(O119)&gt;1,TYPE(MATCH(O119,I$11:I$139,0))&gt;1),0,MATCH(O119,I$11:I$139,0))+IF(OR(TYPE(O119)&gt;1,TYPE(MATCH(O119,O120:O$139,0))&gt;1),0,MATCH(O119,O120:O$139,0))+IF(OR(TYPE(O119)&gt;1,TYPE(MATCH(O119,U$11:U$139,0))&gt;1),0,MATCH(O119,U$11:U$139,0))+IF(OR(TYPE(O119)&gt;1,TYPE(MATCH(O119,AA$11:AA$139,0))&gt;1),0,MATCH(O119,AA$11:AA$139,0))</f>
        <v>0</v>
      </c>
      <c r="AP119" s="319">
        <f ca="1">IF(OR(TYPE(U119)&gt;1,TYPE(MATCH(U119,I$11:I$139,0))&gt;1),0,MATCH(U119,I$11:I$139,0))+IF(OR(TYPE(U119)&gt;1,TYPE(MATCH(U119,O$11:O$139,0))&gt;1),0,MATCH(U119,O$11:O$139,0))+IF(OR(TYPE(U119)&gt;1,TYPE(MATCH(U119,U120:U$139,0))&gt;1),0,MATCH(U119,U120:U$139,0))+IF(OR(TYPE(U119)&gt;1,TYPE(MATCH(U119,AA$11:AA$139,0))&gt;1),0,MATCH(U119,AA$11:AA$139,0))</f>
        <v>0</v>
      </c>
      <c r="AQ119" s="319">
        <f ca="1">IF(OR(TYPE(AA119)&gt;1,TYPE(MATCH(AA119,I$11:I$139,0))&gt;1),0,MATCH(AA119,I$11:I$139,0))+IF(OR(TYPE(AA119)&gt;1,TYPE(MATCH(AA119,O$11:O$139,0))&gt;1),0,MATCH(AA119,O$11:O$139,0))+IF(OR(TYPE(AA119)&gt;1,TYPE(MATCH(AA119,U$11:U$139,0))&gt;1),0,MATCH(U119,U$11:U$139,0))+IF(OR(TYPE(AA119)&gt;1,TYPE(MATCH(AA119,AA120:AA$139,0))&gt;1),0,MATCH(AA119,AA120:AA$139,0))</f>
        <v>0</v>
      </c>
      <c r="AR119" s="319">
        <f t="shared" ca="1" si="36"/>
        <v>0</v>
      </c>
      <c r="AT119" s="318">
        <f t="shared" ca="1" si="34"/>
        <v>0</v>
      </c>
      <c r="AU119" s="318">
        <f ca="1">IF(AND(N(I119)&gt;0,TYPE(VLOOKUP(I119,Hraci!$A$5:$A$800,1,0))&gt;3),1,0) + IF(AND(N(O119)&gt;0,TYPE(VLOOKUP(O119,Hraci!$A$5:$A$800,1,0))&gt;3),1,0) + IF(AND(N(U119)&gt;0,TYPE(VLOOKUP(U119,Hraci!$A$5:$A$800,1,0))&gt;3),1,0)</f>
        <v>0</v>
      </c>
      <c r="BF119" s="319">
        <f t="shared" si="35"/>
        <v>109</v>
      </c>
    </row>
    <row r="120" spans="1:58" ht="12.9" x14ac:dyDescent="0.45">
      <c r="A120" s="302">
        <f t="shared" ca="1" si="20"/>
        <v>0</v>
      </c>
      <c r="B120" s="302">
        <f t="shared" ca="1" si="21"/>
        <v>0</v>
      </c>
      <c r="C120" s="302">
        <f t="shared" ca="1" si="22"/>
        <v>0</v>
      </c>
      <c r="D120" s="302">
        <f t="shared" ca="1" si="23"/>
        <v>99999</v>
      </c>
      <c r="E120" s="302">
        <f t="shared" ca="1" si="24"/>
        <v>9999</v>
      </c>
      <c r="F120" s="343" t="str">
        <f t="shared" ca="1" si="25"/>
        <v>00000000000000000000625226</v>
      </c>
      <c r="G120" s="381" t="b">
        <f t="shared" ca="1" si="26"/>
        <v>1</v>
      </c>
      <c r="H120" s="382">
        <f t="shared" si="27"/>
        <v>110</v>
      </c>
      <c r="I120" s="383" t="str">
        <f t="shared" ca="1" si="28"/>
        <v/>
      </c>
      <c r="J120" s="384" t="str">
        <f ca="1">IF(N(I120)&gt;0,VLOOKUP(I120,Hraci!$A$1:$I$1500,2,0),IF(TYPE(INDIRECT(ADDRESS(ROW() + $A$9-9 + (ROW()-11)*4,2,1,1,"Internet")))&gt;1,INDIRECT(ADDRESS(ROW() + $A$9-9 + (ROW()-11)*4,2,1,1,"Internet"))," "))</f>
        <v xml:space="preserve"> </v>
      </c>
      <c r="K120" s="385" t="str">
        <f ca="1">IF(N(I120)&gt;0,VLOOKUP(I120,Hraci!$A$1:$I$1500,3,0)," ")</f>
        <v xml:space="preserve"> </v>
      </c>
      <c r="L120" s="385" t="str">
        <f ca="1">IF(N(I120)&gt;0,VLOOKUP(I120,Hraci!$A$1:$I$1500,5,0),IF(TYPE(INDIRECT(ADDRESS(ROW() + $A$9-9 + (ROW()-11)*4,3,1,1,"Internet")))&gt;1,INDIRECT(ADDRESS(ROW() + $A$9-9 + (ROW()-11)*4,3,1,1,"Internet"))," "))</f>
        <v xml:space="preserve"> </v>
      </c>
      <c r="M120" s="319">
        <f ca="1">IF(N(I120)=0,9999,VLOOKUP(I120,Hraci!$A$1:$I$1500,8,0))</f>
        <v>9999</v>
      </c>
      <c r="N120" s="386">
        <f ca="1">IF(N(I120)=0,0,VLOOKUP(I120,Hraci!$A$1:$I$1500,9,0))</f>
        <v>0</v>
      </c>
      <c r="O120" s="383" t="str">
        <f t="shared" ca="1" si="29"/>
        <v/>
      </c>
      <c r="P120" s="384" t="str">
        <f ca="1">IF(N(O120)&gt;0,VLOOKUP(O120,Hraci!$A$1:$I$1500,2,0),IF(TYPE(INDIRECT(ADDRESS(ROW() + $A$9-8 + (ROW()-11)*4,2,1,1,"Internet")))&gt;1,INDIRECT(ADDRESS(ROW() + $A$9-8 + (ROW()-11)*4,2,1,1,"Internet"))," "))</f>
        <v xml:space="preserve"> </v>
      </c>
      <c r="Q120" s="385" t="str">
        <f ca="1">IF(N(O120)&gt;0,VLOOKUP(O120,Hraci!$A$1:$I$1500,3,0)," ")</f>
        <v xml:space="preserve"> </v>
      </c>
      <c r="R120" s="385" t="str">
        <f ca="1">IF(N(O120)&gt;0,VLOOKUP(O120,Hraci!$A$1:$I$1500,5,0),IF(TYPE(INDIRECT(ADDRESS(ROW() + $A$9-8 + (ROW()-11)*4,3,1,1,"Internet")))&gt;1,INDIRECT(ADDRESS(ROW() + $A$9-8 + (ROW()-11)*4,3,1,1,"Internet"))," "))</f>
        <v xml:space="preserve"> </v>
      </c>
      <c r="S120" s="319">
        <f ca="1">IF(N(O120)=0,9999,VLOOKUP(O120,Hraci!$A$1:$I$1500,8,0))</f>
        <v>9999</v>
      </c>
      <c r="T120" s="386">
        <f ca="1">IF(N(O120)=0,0,VLOOKUP(O120,Hraci!$A$1:$I$1500,9,0))</f>
        <v>0</v>
      </c>
      <c r="U120" s="383" t="str">
        <f t="shared" ca="1" si="30"/>
        <v/>
      </c>
      <c r="V120" s="384" t="str">
        <f ca="1">IF(N(U120)&gt;0,VLOOKUP(U120,Hraci!$A$1:$I$1500,2,0),IF(TYPE(INDIRECT(ADDRESS(ROW() + $A$9-7 + (ROW()-11)*4,2,1,1,"Internet")))&gt;1,INDIRECT(ADDRESS(ROW() + $A$9-7 + (ROW()-11)*4,2,1,1,"Internet"))," "))</f>
        <v xml:space="preserve"> </v>
      </c>
      <c r="W120" s="385" t="str">
        <f ca="1">IF(N(U120)&gt;0,VLOOKUP(U120,Hraci!$A$1:$I$1500,3,0)," ")</f>
        <v xml:space="preserve"> </v>
      </c>
      <c r="X120" s="385" t="str">
        <f ca="1">IF(N(U120)&gt;0,VLOOKUP(U120,Hraci!$A$1:$I$1500,5,0),IF(TYPE(INDIRECT(ADDRESS(ROW() + $A$9-7 + (ROW()-11)*4,3,1,1,"Internet")))&gt;1,INDIRECT(ADDRESS(ROW() + $A$9-7 + (ROW()-11)*4,3,1,1,"Internet"))," "))</f>
        <v xml:space="preserve"> </v>
      </c>
      <c r="Y120" s="319">
        <f ca="1">IF(N(U120)=0,9999,VLOOKUP(U120,Hraci!$A$1:$I$1500,8,0))</f>
        <v>9999</v>
      </c>
      <c r="Z120" s="386">
        <f ca="1">IF(N(U120)=0,0,VLOOKUP(U120,Hraci!$A$1:$I$1500,9,0))</f>
        <v>0</v>
      </c>
      <c r="AA120" s="383" t="str">
        <f t="shared" ca="1" si="31"/>
        <v/>
      </c>
      <c r="AB120" s="384" t="str">
        <f ca="1">IF(N(AA120)&gt;0,VLOOKUP(AA120,Hraci!$A$1:$I$1500,2,0)," ")</f>
        <v xml:space="preserve"> </v>
      </c>
      <c r="AC120" s="385" t="str">
        <f ca="1">IF(N(AA120)&gt;0,VLOOKUP(AA120,Hraci!$A$1:$I$1500,3,0)," ")</f>
        <v xml:space="preserve"> </v>
      </c>
      <c r="AD120" s="385" t="str">
        <f ca="1">IF(N(AA120)&gt;0,VLOOKUP(AA120,Hraci!$A$1:$I$1500,5,0)," ")</f>
        <v xml:space="preserve"> </v>
      </c>
      <c r="AE120" s="319">
        <f ca="1">IF(N(AA120)=0,9999,VLOOKUP(AA120,Hraci!$A$1:$I$1500,8,0))</f>
        <v>9999</v>
      </c>
      <c r="AF120" s="386">
        <f ca="1">IF(N(AA120)=0,0,VLOOKUP(AA120,Hraci!$A$1:$I$1500,9,0))</f>
        <v>0</v>
      </c>
      <c r="AG120" s="391"/>
      <c r="AH120" s="427">
        <f ca="1">IF(TYPE(VLOOKUP(H120,Centrum!$A$3:$E$130,5,0))&lt;4,VLOOKUP(H120,Centrum!$A$3:$E$130,5,0),0)</f>
        <v>0</v>
      </c>
      <c r="AI120" s="387" t="str">
        <f ca="1">IF(N($AH120)&gt;0,VLOOKUP($AH120,Body!$A$4:$F$259,5,0),"")</f>
        <v/>
      </c>
      <c r="AJ120" s="388" t="str">
        <f ca="1">IF(N($AH120)&gt;0,VLOOKUP($AH120,Body!$A$4:$F$259,6,0),"")</f>
        <v/>
      </c>
      <c r="AK120" s="387" t="str">
        <f ca="1">IF(N($AH120)&gt;0,VLOOKUP($AH120,Body!$A$4:$F$259,2,0),"")</f>
        <v/>
      </c>
      <c r="AL120" s="389" t="str">
        <f t="shared" ca="1" si="37"/>
        <v/>
      </c>
      <c r="AM120" s="390">
        <f t="shared" ca="1" si="33"/>
        <v>0</v>
      </c>
      <c r="AN120" s="319">
        <f ca="1">IF(OR(TYPE(I120)&gt;1,TYPE(MATCH(I120,I121:I$139,0))&gt;1),0,MATCH(I120,I121:I$139,0))+IF(OR(TYPE(I120)&gt;1,TYPE(MATCH(I120,O$11:O$139,0))&gt;1),0,MATCH(I120,O$11:O$139,0))+IF(OR(TYPE(I120)&gt;1,TYPE(MATCH(I120,U$11:U$139,0))&gt;1),0,MATCH(I120,U$11:U$139,0))+IF(OR(TYPE(I120)&gt;1,TYPE(MATCH(I120,AA$11:AA$139,0))&gt;1),0,MATCH(I120,AA$11:AA$139,0))</f>
        <v>0</v>
      </c>
      <c r="AO120" s="319">
        <f ca="1">IF(OR(TYPE(O120)&gt;1,TYPE(MATCH(O120,I$11:I$139,0))&gt;1),0,MATCH(O120,I$11:I$139,0))+IF(OR(TYPE(O120)&gt;1,TYPE(MATCH(O120,O121:O$139,0))&gt;1),0,MATCH(O120,O121:O$139,0))+IF(OR(TYPE(O120)&gt;1,TYPE(MATCH(O120,U$11:U$139,0))&gt;1),0,MATCH(O120,U$11:U$139,0))+IF(OR(TYPE(O120)&gt;1,TYPE(MATCH(O120,AA$11:AA$139,0))&gt;1),0,MATCH(O120,AA$11:AA$139,0))</f>
        <v>0</v>
      </c>
      <c r="AP120" s="319">
        <f ca="1">IF(OR(TYPE(U120)&gt;1,TYPE(MATCH(U120,I$11:I$139,0))&gt;1),0,MATCH(U120,I$11:I$139,0))+IF(OR(TYPE(U120)&gt;1,TYPE(MATCH(U120,O$11:O$139,0))&gt;1),0,MATCH(U120,O$11:O$139,0))+IF(OR(TYPE(U120)&gt;1,TYPE(MATCH(U120,U121:U$139,0))&gt;1),0,MATCH(U120,U121:U$139,0))+IF(OR(TYPE(U120)&gt;1,TYPE(MATCH(U120,AA$11:AA$139,0))&gt;1),0,MATCH(U120,AA$11:AA$139,0))</f>
        <v>0</v>
      </c>
      <c r="AQ120" s="319">
        <f ca="1">IF(OR(TYPE(AA120)&gt;1,TYPE(MATCH(AA120,I$11:I$139,0))&gt;1),0,MATCH(AA120,I$11:I$139,0))+IF(OR(TYPE(AA120)&gt;1,TYPE(MATCH(AA120,O$11:O$139,0))&gt;1),0,MATCH(AA120,O$11:O$139,0))+IF(OR(TYPE(AA120)&gt;1,TYPE(MATCH(AA120,U$11:U$139,0))&gt;1),0,MATCH(U120,U$11:U$139,0))+IF(OR(TYPE(AA120)&gt;1,TYPE(MATCH(AA120,AA121:AA$139,0))&gt;1),0,MATCH(AA120,AA121:AA$139,0))</f>
        <v>0</v>
      </c>
      <c r="AR120" s="319">
        <f t="shared" ca="1" si="36"/>
        <v>0</v>
      </c>
      <c r="AT120" s="318">
        <f t="shared" ca="1" si="34"/>
        <v>0</v>
      </c>
      <c r="AU120" s="318">
        <f ca="1">IF(AND(N(I120)&gt;0,TYPE(VLOOKUP(I120,Hraci!$A$5:$A$800,1,0))&gt;3),1,0) + IF(AND(N(O120)&gt;0,TYPE(VLOOKUP(O120,Hraci!$A$5:$A$800,1,0))&gt;3),1,0) + IF(AND(N(U120)&gt;0,TYPE(VLOOKUP(U120,Hraci!$A$5:$A$800,1,0))&gt;3),1,0)</f>
        <v>0</v>
      </c>
      <c r="BF120" s="319">
        <f t="shared" si="35"/>
        <v>110</v>
      </c>
    </row>
    <row r="121" spans="1:58" ht="12.9" x14ac:dyDescent="0.45">
      <c r="A121" s="302">
        <f t="shared" ca="1" si="20"/>
        <v>0</v>
      </c>
      <c r="B121" s="302">
        <f t="shared" ca="1" si="21"/>
        <v>0</v>
      </c>
      <c r="C121" s="302">
        <f t="shared" ca="1" si="22"/>
        <v>0</v>
      </c>
      <c r="D121" s="302">
        <f t="shared" ca="1" si="23"/>
        <v>99999</v>
      </c>
      <c r="E121" s="302">
        <f t="shared" ca="1" si="24"/>
        <v>9999</v>
      </c>
      <c r="F121" s="343" t="str">
        <f t="shared" ca="1" si="25"/>
        <v>00000000000000000000779953</v>
      </c>
      <c r="G121" s="381" t="b">
        <f t="shared" ca="1" si="26"/>
        <v>1</v>
      </c>
      <c r="H121" s="382">
        <f t="shared" si="27"/>
        <v>111</v>
      </c>
      <c r="I121" s="383" t="str">
        <f t="shared" ca="1" si="28"/>
        <v/>
      </c>
      <c r="J121" s="384" t="str">
        <f ca="1">IF(N(I121)&gt;0,VLOOKUP(I121,Hraci!$A$1:$I$1500,2,0),IF(TYPE(INDIRECT(ADDRESS(ROW() + $A$9-9 + (ROW()-11)*4,2,1,1,"Internet")))&gt;1,INDIRECT(ADDRESS(ROW() + $A$9-9 + (ROW()-11)*4,2,1,1,"Internet"))," "))</f>
        <v xml:space="preserve"> </v>
      </c>
      <c r="K121" s="385" t="str">
        <f ca="1">IF(N(I121)&gt;0,VLOOKUP(I121,Hraci!$A$1:$I$1500,3,0)," ")</f>
        <v xml:space="preserve"> </v>
      </c>
      <c r="L121" s="385" t="str">
        <f ca="1">IF(N(I121)&gt;0,VLOOKUP(I121,Hraci!$A$1:$I$1500,5,0),IF(TYPE(INDIRECT(ADDRESS(ROW() + $A$9-9 + (ROW()-11)*4,3,1,1,"Internet")))&gt;1,INDIRECT(ADDRESS(ROW() + $A$9-9 + (ROW()-11)*4,3,1,1,"Internet"))," "))</f>
        <v xml:space="preserve"> </v>
      </c>
      <c r="M121" s="319">
        <f ca="1">IF(N(I121)=0,9999,VLOOKUP(I121,Hraci!$A$1:$I$1500,8,0))</f>
        <v>9999</v>
      </c>
      <c r="N121" s="386">
        <f ca="1">IF(N(I121)=0,0,VLOOKUP(I121,Hraci!$A$1:$I$1500,9,0))</f>
        <v>0</v>
      </c>
      <c r="O121" s="383" t="str">
        <f t="shared" ca="1" si="29"/>
        <v/>
      </c>
      <c r="P121" s="384" t="str">
        <f ca="1">IF(N(O121)&gt;0,VLOOKUP(O121,Hraci!$A$1:$I$1500,2,0),IF(TYPE(INDIRECT(ADDRESS(ROW() + $A$9-8 + (ROW()-11)*4,2,1,1,"Internet")))&gt;1,INDIRECT(ADDRESS(ROW() + $A$9-8 + (ROW()-11)*4,2,1,1,"Internet"))," "))</f>
        <v xml:space="preserve"> </v>
      </c>
      <c r="Q121" s="385" t="str">
        <f ca="1">IF(N(O121)&gt;0,VLOOKUP(O121,Hraci!$A$1:$I$1500,3,0)," ")</f>
        <v xml:space="preserve"> </v>
      </c>
      <c r="R121" s="385" t="str">
        <f ca="1">IF(N(O121)&gt;0,VLOOKUP(O121,Hraci!$A$1:$I$1500,5,0),IF(TYPE(INDIRECT(ADDRESS(ROW() + $A$9-8 + (ROW()-11)*4,3,1,1,"Internet")))&gt;1,INDIRECT(ADDRESS(ROW() + $A$9-8 + (ROW()-11)*4,3,1,1,"Internet"))," "))</f>
        <v xml:space="preserve"> </v>
      </c>
      <c r="S121" s="319">
        <f ca="1">IF(N(O121)=0,9999,VLOOKUP(O121,Hraci!$A$1:$I$1500,8,0))</f>
        <v>9999</v>
      </c>
      <c r="T121" s="386">
        <f ca="1">IF(N(O121)=0,0,VLOOKUP(O121,Hraci!$A$1:$I$1500,9,0))</f>
        <v>0</v>
      </c>
      <c r="U121" s="383" t="str">
        <f t="shared" ca="1" si="30"/>
        <v/>
      </c>
      <c r="V121" s="384" t="str">
        <f ca="1">IF(N(U121)&gt;0,VLOOKUP(U121,Hraci!$A$1:$I$1500,2,0),IF(TYPE(INDIRECT(ADDRESS(ROW() + $A$9-7 + (ROW()-11)*4,2,1,1,"Internet")))&gt;1,INDIRECT(ADDRESS(ROW() + $A$9-7 + (ROW()-11)*4,2,1,1,"Internet"))," "))</f>
        <v xml:space="preserve"> </v>
      </c>
      <c r="W121" s="385" t="str">
        <f ca="1">IF(N(U121)&gt;0,VLOOKUP(U121,Hraci!$A$1:$I$1500,3,0)," ")</f>
        <v xml:space="preserve"> </v>
      </c>
      <c r="X121" s="385" t="str">
        <f ca="1">IF(N(U121)&gt;0,VLOOKUP(U121,Hraci!$A$1:$I$1500,5,0),IF(TYPE(INDIRECT(ADDRESS(ROW() + $A$9-7 + (ROW()-11)*4,3,1,1,"Internet")))&gt;1,INDIRECT(ADDRESS(ROW() + $A$9-7 + (ROW()-11)*4,3,1,1,"Internet"))," "))</f>
        <v xml:space="preserve"> </v>
      </c>
      <c r="Y121" s="319">
        <f ca="1">IF(N(U121)=0,9999,VLOOKUP(U121,Hraci!$A$1:$I$1500,8,0))</f>
        <v>9999</v>
      </c>
      <c r="Z121" s="386">
        <f ca="1">IF(N(U121)=0,0,VLOOKUP(U121,Hraci!$A$1:$I$1500,9,0))</f>
        <v>0</v>
      </c>
      <c r="AA121" s="383" t="str">
        <f t="shared" ca="1" si="31"/>
        <v/>
      </c>
      <c r="AB121" s="384" t="str">
        <f ca="1">IF(N(AA121)&gt;0,VLOOKUP(AA121,Hraci!$A$1:$I$1500,2,0)," ")</f>
        <v xml:space="preserve"> </v>
      </c>
      <c r="AC121" s="385" t="str">
        <f ca="1">IF(N(AA121)&gt;0,VLOOKUP(AA121,Hraci!$A$1:$I$1500,3,0)," ")</f>
        <v xml:space="preserve"> </v>
      </c>
      <c r="AD121" s="385" t="str">
        <f ca="1">IF(N(AA121)&gt;0,VLOOKUP(AA121,Hraci!$A$1:$I$1500,5,0)," ")</f>
        <v xml:space="preserve"> </v>
      </c>
      <c r="AE121" s="319">
        <f ca="1">IF(N(AA121)=0,9999,VLOOKUP(AA121,Hraci!$A$1:$I$1500,8,0))</f>
        <v>9999</v>
      </c>
      <c r="AF121" s="386">
        <f ca="1">IF(N(AA121)=0,0,VLOOKUP(AA121,Hraci!$A$1:$I$1500,9,0))</f>
        <v>0</v>
      </c>
      <c r="AG121" s="391"/>
      <c r="AH121" s="427">
        <f ca="1">IF(TYPE(VLOOKUP(H121,Centrum!$A$3:$E$130,5,0))&lt;4,VLOOKUP(H121,Centrum!$A$3:$E$130,5,0),0)</f>
        <v>0</v>
      </c>
      <c r="AI121" s="387" t="str">
        <f ca="1">IF(N($AH121)&gt;0,VLOOKUP($AH121,Body!$A$4:$F$259,5,0),"")</f>
        <v/>
      </c>
      <c r="AJ121" s="388" t="str">
        <f ca="1">IF(N($AH121)&gt;0,VLOOKUP($AH121,Body!$A$4:$F$259,6,0),"")</f>
        <v/>
      </c>
      <c r="AK121" s="387" t="str">
        <f ca="1">IF(N($AH121)&gt;0,VLOOKUP($AH121,Body!$A$4:$F$259,2,0),"")</f>
        <v/>
      </c>
      <c r="AL121" s="389" t="str">
        <f t="shared" ca="1" si="37"/>
        <v/>
      </c>
      <c r="AM121" s="390">
        <f t="shared" ca="1" si="33"/>
        <v>0</v>
      </c>
      <c r="AN121" s="319">
        <f ca="1">IF(OR(TYPE(I121)&gt;1,TYPE(MATCH(I121,I122:I$139,0))&gt;1),0,MATCH(I121,I122:I$139,0))+IF(OR(TYPE(I121)&gt;1,TYPE(MATCH(I121,O$11:O$139,0))&gt;1),0,MATCH(I121,O$11:O$139,0))+IF(OR(TYPE(I121)&gt;1,TYPE(MATCH(I121,U$11:U$139,0))&gt;1),0,MATCH(I121,U$11:U$139,0))+IF(OR(TYPE(I121)&gt;1,TYPE(MATCH(I121,AA$11:AA$139,0))&gt;1),0,MATCH(I121,AA$11:AA$139,0))</f>
        <v>0</v>
      </c>
      <c r="AO121" s="319">
        <f ca="1">IF(OR(TYPE(O121)&gt;1,TYPE(MATCH(O121,I$11:I$139,0))&gt;1),0,MATCH(O121,I$11:I$139,0))+IF(OR(TYPE(O121)&gt;1,TYPE(MATCH(O121,O122:O$139,0))&gt;1),0,MATCH(O121,O122:O$139,0))+IF(OR(TYPE(O121)&gt;1,TYPE(MATCH(O121,U$11:U$139,0))&gt;1),0,MATCH(O121,U$11:U$139,0))+IF(OR(TYPE(O121)&gt;1,TYPE(MATCH(O121,AA$11:AA$139,0))&gt;1),0,MATCH(O121,AA$11:AA$139,0))</f>
        <v>0</v>
      </c>
      <c r="AP121" s="319">
        <f ca="1">IF(OR(TYPE(U121)&gt;1,TYPE(MATCH(U121,I$11:I$139,0))&gt;1),0,MATCH(U121,I$11:I$139,0))+IF(OR(TYPE(U121)&gt;1,TYPE(MATCH(U121,O$11:O$139,0))&gt;1),0,MATCH(U121,O$11:O$139,0))+IF(OR(TYPE(U121)&gt;1,TYPE(MATCH(U121,U122:U$139,0))&gt;1),0,MATCH(U121,U122:U$139,0))+IF(OR(TYPE(U121)&gt;1,TYPE(MATCH(U121,AA$11:AA$139,0))&gt;1),0,MATCH(U121,AA$11:AA$139,0))</f>
        <v>0</v>
      </c>
      <c r="AQ121" s="319">
        <f ca="1">IF(OR(TYPE(AA121)&gt;1,TYPE(MATCH(AA121,I$11:I$139,0))&gt;1),0,MATCH(AA121,I$11:I$139,0))+IF(OR(TYPE(AA121)&gt;1,TYPE(MATCH(AA121,O$11:O$139,0))&gt;1),0,MATCH(AA121,O$11:O$139,0))+IF(OR(TYPE(AA121)&gt;1,TYPE(MATCH(AA121,U$11:U$139,0))&gt;1),0,MATCH(U121,U$11:U$139,0))+IF(OR(TYPE(AA121)&gt;1,TYPE(MATCH(AA121,AA122:AA$139,0))&gt;1),0,MATCH(AA121,AA122:AA$139,0))</f>
        <v>0</v>
      </c>
      <c r="AR121" s="319">
        <f t="shared" ca="1" si="36"/>
        <v>0</v>
      </c>
      <c r="AT121" s="318">
        <f t="shared" ca="1" si="34"/>
        <v>0</v>
      </c>
      <c r="AU121" s="318">
        <f ca="1">IF(AND(N(I121)&gt;0,TYPE(VLOOKUP(I121,Hraci!$A$5:$A$800,1,0))&gt;3),1,0) + IF(AND(N(O121)&gt;0,TYPE(VLOOKUP(O121,Hraci!$A$5:$A$800,1,0))&gt;3),1,0) + IF(AND(N(U121)&gt;0,TYPE(VLOOKUP(U121,Hraci!$A$5:$A$800,1,0))&gt;3),1,0)</f>
        <v>0</v>
      </c>
      <c r="BF121" s="319">
        <f t="shared" si="35"/>
        <v>111</v>
      </c>
    </row>
    <row r="122" spans="1:58" ht="12.9" x14ac:dyDescent="0.45">
      <c r="A122" s="302">
        <f t="shared" ca="1" si="20"/>
        <v>0</v>
      </c>
      <c r="B122" s="302">
        <f t="shared" ca="1" si="21"/>
        <v>0</v>
      </c>
      <c r="C122" s="302">
        <f t="shared" ca="1" si="22"/>
        <v>0</v>
      </c>
      <c r="D122" s="302">
        <f t="shared" ca="1" si="23"/>
        <v>99999</v>
      </c>
      <c r="E122" s="302">
        <f t="shared" ca="1" si="24"/>
        <v>9999</v>
      </c>
      <c r="F122" s="343" t="str">
        <f t="shared" ca="1" si="25"/>
        <v>00000000000000000000580816</v>
      </c>
      <c r="G122" s="381" t="b">
        <f t="shared" ca="1" si="26"/>
        <v>1</v>
      </c>
      <c r="H122" s="382">
        <f t="shared" si="27"/>
        <v>112</v>
      </c>
      <c r="I122" s="383" t="str">
        <f t="shared" ca="1" si="28"/>
        <v/>
      </c>
      <c r="J122" s="384" t="str">
        <f ca="1">IF(N(I122)&gt;0,VLOOKUP(I122,Hraci!$A$1:$I$1500,2,0),IF(TYPE(INDIRECT(ADDRESS(ROW() + $A$9-9 + (ROW()-11)*4,2,1,1,"Internet")))&gt;1,INDIRECT(ADDRESS(ROW() + $A$9-9 + (ROW()-11)*4,2,1,1,"Internet"))," "))</f>
        <v xml:space="preserve"> </v>
      </c>
      <c r="K122" s="385" t="str">
        <f ca="1">IF(N(I122)&gt;0,VLOOKUP(I122,Hraci!$A$1:$I$1500,3,0)," ")</f>
        <v xml:space="preserve"> </v>
      </c>
      <c r="L122" s="385" t="str">
        <f ca="1">IF(N(I122)&gt;0,VLOOKUP(I122,Hraci!$A$1:$I$1500,5,0),IF(TYPE(INDIRECT(ADDRESS(ROW() + $A$9-9 + (ROW()-11)*4,3,1,1,"Internet")))&gt;1,INDIRECT(ADDRESS(ROW() + $A$9-9 + (ROW()-11)*4,3,1,1,"Internet"))," "))</f>
        <v xml:space="preserve"> </v>
      </c>
      <c r="M122" s="319">
        <f ca="1">IF(N(I122)=0,9999,VLOOKUP(I122,Hraci!$A$1:$I$1500,8,0))</f>
        <v>9999</v>
      </c>
      <c r="N122" s="386">
        <f ca="1">IF(N(I122)=0,0,VLOOKUP(I122,Hraci!$A$1:$I$1500,9,0))</f>
        <v>0</v>
      </c>
      <c r="O122" s="383" t="str">
        <f t="shared" ca="1" si="29"/>
        <v/>
      </c>
      <c r="P122" s="384" t="str">
        <f ca="1">IF(N(O122)&gt;0,VLOOKUP(O122,Hraci!$A$1:$I$1500,2,0),IF(TYPE(INDIRECT(ADDRESS(ROW() + $A$9-8 + (ROW()-11)*4,2,1,1,"Internet")))&gt;1,INDIRECT(ADDRESS(ROW() + $A$9-8 + (ROW()-11)*4,2,1,1,"Internet"))," "))</f>
        <v xml:space="preserve"> </v>
      </c>
      <c r="Q122" s="385" t="str">
        <f ca="1">IF(N(O122)&gt;0,VLOOKUP(O122,Hraci!$A$1:$I$1500,3,0)," ")</f>
        <v xml:space="preserve"> </v>
      </c>
      <c r="R122" s="385" t="str">
        <f ca="1">IF(N(O122)&gt;0,VLOOKUP(O122,Hraci!$A$1:$I$1500,5,0),IF(TYPE(INDIRECT(ADDRESS(ROW() + $A$9-8 + (ROW()-11)*4,3,1,1,"Internet")))&gt;1,INDIRECT(ADDRESS(ROW() + $A$9-8 + (ROW()-11)*4,3,1,1,"Internet"))," "))</f>
        <v xml:space="preserve"> </v>
      </c>
      <c r="S122" s="319">
        <f ca="1">IF(N(O122)=0,9999,VLOOKUP(O122,Hraci!$A$1:$I$1500,8,0))</f>
        <v>9999</v>
      </c>
      <c r="T122" s="386">
        <f ca="1">IF(N(O122)=0,0,VLOOKUP(O122,Hraci!$A$1:$I$1500,9,0))</f>
        <v>0</v>
      </c>
      <c r="U122" s="383" t="str">
        <f t="shared" ca="1" si="30"/>
        <v/>
      </c>
      <c r="V122" s="384" t="str">
        <f ca="1">IF(N(U122)&gt;0,VLOOKUP(U122,Hraci!$A$1:$I$1500,2,0),IF(TYPE(INDIRECT(ADDRESS(ROW() + $A$9-7 + (ROW()-11)*4,2,1,1,"Internet")))&gt;1,INDIRECT(ADDRESS(ROW() + $A$9-7 + (ROW()-11)*4,2,1,1,"Internet"))," "))</f>
        <v xml:space="preserve"> </v>
      </c>
      <c r="W122" s="385" t="str">
        <f ca="1">IF(N(U122)&gt;0,VLOOKUP(U122,Hraci!$A$1:$I$1500,3,0)," ")</f>
        <v xml:space="preserve"> </v>
      </c>
      <c r="X122" s="385" t="str">
        <f ca="1">IF(N(U122)&gt;0,VLOOKUP(U122,Hraci!$A$1:$I$1500,5,0),IF(TYPE(INDIRECT(ADDRESS(ROW() + $A$9-7 + (ROW()-11)*4,3,1,1,"Internet")))&gt;1,INDIRECT(ADDRESS(ROW() + $A$9-7 + (ROW()-11)*4,3,1,1,"Internet"))," "))</f>
        <v xml:space="preserve"> </v>
      </c>
      <c r="Y122" s="319">
        <f ca="1">IF(N(U122)=0,9999,VLOOKUP(U122,Hraci!$A$1:$I$1500,8,0))</f>
        <v>9999</v>
      </c>
      <c r="Z122" s="386">
        <f ca="1">IF(N(U122)=0,0,VLOOKUP(U122,Hraci!$A$1:$I$1500,9,0))</f>
        <v>0</v>
      </c>
      <c r="AA122" s="383" t="str">
        <f t="shared" ca="1" si="31"/>
        <v/>
      </c>
      <c r="AB122" s="384" t="str">
        <f ca="1">IF(N(AA122)&gt;0,VLOOKUP(AA122,Hraci!$A$1:$I$1500,2,0)," ")</f>
        <v xml:space="preserve"> </v>
      </c>
      <c r="AC122" s="385" t="str">
        <f ca="1">IF(N(AA122)&gt;0,VLOOKUP(AA122,Hraci!$A$1:$I$1500,3,0)," ")</f>
        <v xml:space="preserve"> </v>
      </c>
      <c r="AD122" s="385" t="str">
        <f ca="1">IF(N(AA122)&gt;0,VLOOKUP(AA122,Hraci!$A$1:$I$1500,5,0)," ")</f>
        <v xml:space="preserve"> </v>
      </c>
      <c r="AE122" s="319">
        <f ca="1">IF(N(AA122)=0,9999,VLOOKUP(AA122,Hraci!$A$1:$I$1500,8,0))</f>
        <v>9999</v>
      </c>
      <c r="AF122" s="386">
        <f ca="1">IF(N(AA122)=0,0,VLOOKUP(AA122,Hraci!$A$1:$I$1500,9,0))</f>
        <v>0</v>
      </c>
      <c r="AG122" s="391"/>
      <c r="AH122" s="427">
        <f ca="1">IF(TYPE(VLOOKUP(H122,Centrum!$A$3:$E$130,5,0))&lt;4,VLOOKUP(H122,Centrum!$A$3:$E$130,5,0),0)</f>
        <v>0</v>
      </c>
      <c r="AI122" s="387" t="str">
        <f ca="1">IF(N($AH122)&gt;0,VLOOKUP($AH122,Body!$A$4:$F$259,5,0),"")</f>
        <v/>
      </c>
      <c r="AJ122" s="388" t="str">
        <f ca="1">IF(N($AH122)&gt;0,VLOOKUP($AH122,Body!$A$4:$F$259,6,0),"")</f>
        <v/>
      </c>
      <c r="AK122" s="387" t="str">
        <f ca="1">IF(N($AH122)&gt;0,VLOOKUP($AH122,Body!$A$4:$F$259,2,0),"")</f>
        <v/>
      </c>
      <c r="AL122" s="389" t="str">
        <f t="shared" ca="1" si="37"/>
        <v/>
      </c>
      <c r="AM122" s="390">
        <f t="shared" ca="1" si="33"/>
        <v>0</v>
      </c>
      <c r="AN122" s="319">
        <f ca="1">IF(OR(TYPE(I122)&gt;1,TYPE(MATCH(I122,I123:I$139,0))&gt;1),0,MATCH(I122,I123:I$139,0))+IF(OR(TYPE(I122)&gt;1,TYPE(MATCH(I122,O$11:O$139,0))&gt;1),0,MATCH(I122,O$11:O$139,0))+IF(OR(TYPE(I122)&gt;1,TYPE(MATCH(I122,U$11:U$139,0))&gt;1),0,MATCH(I122,U$11:U$139,0))+IF(OR(TYPE(I122)&gt;1,TYPE(MATCH(I122,AA$11:AA$139,0))&gt;1),0,MATCH(I122,AA$11:AA$139,0))</f>
        <v>0</v>
      </c>
      <c r="AO122" s="319">
        <f ca="1">IF(OR(TYPE(O122)&gt;1,TYPE(MATCH(O122,I$11:I$139,0))&gt;1),0,MATCH(O122,I$11:I$139,0))+IF(OR(TYPE(O122)&gt;1,TYPE(MATCH(O122,O123:O$139,0))&gt;1),0,MATCH(O122,O123:O$139,0))+IF(OR(TYPE(O122)&gt;1,TYPE(MATCH(O122,U$11:U$139,0))&gt;1),0,MATCH(O122,U$11:U$139,0))+IF(OR(TYPE(O122)&gt;1,TYPE(MATCH(O122,AA$11:AA$139,0))&gt;1),0,MATCH(O122,AA$11:AA$139,0))</f>
        <v>0</v>
      </c>
      <c r="AP122" s="319">
        <f ca="1">IF(OR(TYPE(U122)&gt;1,TYPE(MATCH(U122,I$11:I$139,0))&gt;1),0,MATCH(U122,I$11:I$139,0))+IF(OR(TYPE(U122)&gt;1,TYPE(MATCH(U122,O$11:O$139,0))&gt;1),0,MATCH(U122,O$11:O$139,0))+IF(OR(TYPE(U122)&gt;1,TYPE(MATCH(U122,U123:U$139,0))&gt;1),0,MATCH(U122,U123:U$139,0))+IF(OR(TYPE(U122)&gt;1,TYPE(MATCH(U122,AA$11:AA$139,0))&gt;1),0,MATCH(U122,AA$11:AA$139,0))</f>
        <v>0</v>
      </c>
      <c r="AQ122" s="319">
        <f ca="1">IF(OR(TYPE(AA122)&gt;1,TYPE(MATCH(AA122,I$11:I$139,0))&gt;1),0,MATCH(AA122,I$11:I$139,0))+IF(OR(TYPE(AA122)&gt;1,TYPE(MATCH(AA122,O$11:O$139,0))&gt;1),0,MATCH(AA122,O$11:O$139,0))+IF(OR(TYPE(AA122)&gt;1,TYPE(MATCH(AA122,U$11:U$139,0))&gt;1),0,MATCH(U122,U$11:U$139,0))+IF(OR(TYPE(AA122)&gt;1,TYPE(MATCH(AA122,AA123:AA$139,0))&gt;1),0,MATCH(AA122,AA123:AA$139,0))</f>
        <v>0</v>
      </c>
      <c r="AR122" s="319">
        <f t="shared" ca="1" si="36"/>
        <v>0</v>
      </c>
      <c r="AT122" s="318">
        <f t="shared" ca="1" si="34"/>
        <v>0</v>
      </c>
      <c r="AU122" s="318">
        <f ca="1">IF(AND(N(I122)&gt;0,TYPE(VLOOKUP(I122,Hraci!$A$5:$A$800,1,0))&gt;3),1,0) + IF(AND(N(O122)&gt;0,TYPE(VLOOKUP(O122,Hraci!$A$5:$A$800,1,0))&gt;3),1,0) + IF(AND(N(U122)&gt;0,TYPE(VLOOKUP(U122,Hraci!$A$5:$A$800,1,0))&gt;3),1,0)</f>
        <v>0</v>
      </c>
      <c r="BF122" s="319">
        <f t="shared" si="35"/>
        <v>112</v>
      </c>
    </row>
    <row r="123" spans="1:58" ht="12.9" x14ac:dyDescent="0.45">
      <c r="A123" s="302">
        <f t="shared" ca="1" si="20"/>
        <v>0</v>
      </c>
      <c r="B123" s="302">
        <f t="shared" ca="1" si="21"/>
        <v>0</v>
      </c>
      <c r="C123" s="302">
        <f t="shared" ca="1" si="22"/>
        <v>0</v>
      </c>
      <c r="D123" s="302">
        <f t="shared" ca="1" si="23"/>
        <v>99999</v>
      </c>
      <c r="E123" s="302">
        <f t="shared" ca="1" si="24"/>
        <v>9999</v>
      </c>
      <c r="F123" s="343" t="str">
        <f t="shared" ca="1" si="25"/>
        <v>00000000000000000000144531</v>
      </c>
      <c r="G123" s="381" t="b">
        <f t="shared" ca="1" si="26"/>
        <v>1</v>
      </c>
      <c r="H123" s="382">
        <f t="shared" si="27"/>
        <v>113</v>
      </c>
      <c r="I123" s="383" t="str">
        <f t="shared" ca="1" si="28"/>
        <v/>
      </c>
      <c r="J123" s="384" t="str">
        <f ca="1">IF(N(I123)&gt;0,VLOOKUP(I123,Hraci!$A$1:$I$1500,2,0),IF(TYPE(INDIRECT(ADDRESS(ROW() + $A$9-9 + (ROW()-11)*4,2,1,1,"Internet")))&gt;1,INDIRECT(ADDRESS(ROW() + $A$9-9 + (ROW()-11)*4,2,1,1,"Internet"))," "))</f>
        <v xml:space="preserve"> </v>
      </c>
      <c r="K123" s="385" t="str">
        <f ca="1">IF(N(I123)&gt;0,VLOOKUP(I123,Hraci!$A$1:$I$1500,3,0)," ")</f>
        <v xml:space="preserve"> </v>
      </c>
      <c r="L123" s="385" t="str">
        <f ca="1">IF(N(I123)&gt;0,VLOOKUP(I123,Hraci!$A$1:$I$1500,5,0),IF(TYPE(INDIRECT(ADDRESS(ROW() + $A$9-9 + (ROW()-11)*4,3,1,1,"Internet")))&gt;1,INDIRECT(ADDRESS(ROW() + $A$9-9 + (ROW()-11)*4,3,1,1,"Internet"))," "))</f>
        <v xml:space="preserve"> </v>
      </c>
      <c r="M123" s="319">
        <f ca="1">IF(N(I123)=0,9999,VLOOKUP(I123,Hraci!$A$1:$I$1500,8,0))</f>
        <v>9999</v>
      </c>
      <c r="N123" s="386">
        <f ca="1">IF(N(I123)=0,0,VLOOKUP(I123,Hraci!$A$1:$I$1500,9,0))</f>
        <v>0</v>
      </c>
      <c r="O123" s="383" t="str">
        <f t="shared" ca="1" si="29"/>
        <v/>
      </c>
      <c r="P123" s="384" t="str">
        <f ca="1">IF(N(O123)&gt;0,VLOOKUP(O123,Hraci!$A$1:$I$1500,2,0),IF(TYPE(INDIRECT(ADDRESS(ROW() + $A$9-8 + (ROW()-11)*4,2,1,1,"Internet")))&gt;1,INDIRECT(ADDRESS(ROW() + $A$9-8 + (ROW()-11)*4,2,1,1,"Internet"))," "))</f>
        <v xml:space="preserve"> </v>
      </c>
      <c r="Q123" s="385" t="str">
        <f ca="1">IF(N(O123)&gt;0,VLOOKUP(O123,Hraci!$A$1:$I$1500,3,0)," ")</f>
        <v xml:space="preserve"> </v>
      </c>
      <c r="R123" s="385" t="str">
        <f ca="1">IF(N(O123)&gt;0,VLOOKUP(O123,Hraci!$A$1:$I$1500,5,0),IF(TYPE(INDIRECT(ADDRESS(ROW() + $A$9-8 + (ROW()-11)*4,3,1,1,"Internet")))&gt;1,INDIRECT(ADDRESS(ROW() + $A$9-8 + (ROW()-11)*4,3,1,1,"Internet"))," "))</f>
        <v xml:space="preserve"> </v>
      </c>
      <c r="S123" s="319">
        <f ca="1">IF(N(O123)=0,9999,VLOOKUP(O123,Hraci!$A$1:$I$1500,8,0))</f>
        <v>9999</v>
      </c>
      <c r="T123" s="386">
        <f ca="1">IF(N(O123)=0,0,VLOOKUP(O123,Hraci!$A$1:$I$1500,9,0))</f>
        <v>0</v>
      </c>
      <c r="U123" s="383" t="str">
        <f t="shared" ca="1" si="30"/>
        <v/>
      </c>
      <c r="V123" s="384" t="str">
        <f ca="1">IF(N(U123)&gt;0,VLOOKUP(U123,Hraci!$A$1:$I$1500,2,0),IF(TYPE(INDIRECT(ADDRESS(ROW() + $A$9-7 + (ROW()-11)*4,2,1,1,"Internet")))&gt;1,INDIRECT(ADDRESS(ROW() + $A$9-7 + (ROW()-11)*4,2,1,1,"Internet"))," "))</f>
        <v xml:space="preserve"> </v>
      </c>
      <c r="W123" s="385" t="str">
        <f ca="1">IF(N(U123)&gt;0,VLOOKUP(U123,Hraci!$A$1:$I$1500,3,0)," ")</f>
        <v xml:space="preserve"> </v>
      </c>
      <c r="X123" s="385" t="str">
        <f ca="1">IF(N(U123)&gt;0,VLOOKUP(U123,Hraci!$A$1:$I$1500,5,0),IF(TYPE(INDIRECT(ADDRESS(ROW() + $A$9-7 + (ROW()-11)*4,3,1,1,"Internet")))&gt;1,INDIRECT(ADDRESS(ROW() + $A$9-7 + (ROW()-11)*4,3,1,1,"Internet"))," "))</f>
        <v xml:space="preserve"> </v>
      </c>
      <c r="Y123" s="319">
        <f ca="1">IF(N(U123)=0,9999,VLOOKUP(U123,Hraci!$A$1:$I$1500,8,0))</f>
        <v>9999</v>
      </c>
      <c r="Z123" s="386">
        <f ca="1">IF(N(U123)=0,0,VLOOKUP(U123,Hraci!$A$1:$I$1500,9,0))</f>
        <v>0</v>
      </c>
      <c r="AA123" s="383" t="str">
        <f t="shared" ca="1" si="31"/>
        <v/>
      </c>
      <c r="AB123" s="384" t="str">
        <f ca="1">IF(N(AA123)&gt;0,VLOOKUP(AA123,Hraci!$A$1:$I$1500,2,0)," ")</f>
        <v xml:space="preserve"> </v>
      </c>
      <c r="AC123" s="385" t="str">
        <f ca="1">IF(N(AA123)&gt;0,VLOOKUP(AA123,Hraci!$A$1:$I$1500,3,0)," ")</f>
        <v xml:space="preserve"> </v>
      </c>
      <c r="AD123" s="385" t="str">
        <f ca="1">IF(N(AA123)&gt;0,VLOOKUP(AA123,Hraci!$A$1:$I$1500,5,0)," ")</f>
        <v xml:space="preserve"> </v>
      </c>
      <c r="AE123" s="319">
        <f ca="1">IF(N(AA123)=0,9999,VLOOKUP(AA123,Hraci!$A$1:$I$1500,8,0))</f>
        <v>9999</v>
      </c>
      <c r="AF123" s="386">
        <f ca="1">IF(N(AA123)=0,0,VLOOKUP(AA123,Hraci!$A$1:$I$1500,9,0))</f>
        <v>0</v>
      </c>
      <c r="AG123" s="391"/>
      <c r="AH123" s="427">
        <f ca="1">IF(TYPE(VLOOKUP(H123,Centrum!$A$3:$E$130,5,0))&lt;4,VLOOKUP(H123,Centrum!$A$3:$E$130,5,0),0)</f>
        <v>0</v>
      </c>
      <c r="AI123" s="387" t="str">
        <f ca="1">IF(N($AH123)&gt;0,VLOOKUP($AH123,Body!$A$4:$F$259,5,0),"")</f>
        <v/>
      </c>
      <c r="AJ123" s="388" t="str">
        <f ca="1">IF(N($AH123)&gt;0,VLOOKUP($AH123,Body!$A$4:$F$259,6,0),"")</f>
        <v/>
      </c>
      <c r="AK123" s="387" t="str">
        <f ca="1">IF(N($AH123)&gt;0,VLOOKUP($AH123,Body!$A$4:$F$259,2,0),"")</f>
        <v/>
      </c>
      <c r="AL123" s="389" t="str">
        <f t="shared" ca="1" si="37"/>
        <v/>
      </c>
      <c r="AM123" s="390">
        <f t="shared" ca="1" si="33"/>
        <v>0</v>
      </c>
      <c r="AN123" s="319">
        <f ca="1">IF(OR(TYPE(I123)&gt;1,TYPE(MATCH(I123,I124:I$139,0))&gt;1),0,MATCH(I123,I124:I$139,0))+IF(OR(TYPE(I123)&gt;1,TYPE(MATCH(I123,O$11:O$139,0))&gt;1),0,MATCH(I123,O$11:O$139,0))+IF(OR(TYPE(I123)&gt;1,TYPE(MATCH(I123,U$11:U$139,0))&gt;1),0,MATCH(I123,U$11:U$139,0))+IF(OR(TYPE(I123)&gt;1,TYPE(MATCH(I123,AA$11:AA$139,0))&gt;1),0,MATCH(I123,AA$11:AA$139,0))</f>
        <v>0</v>
      </c>
      <c r="AO123" s="319">
        <f ca="1">IF(OR(TYPE(O123)&gt;1,TYPE(MATCH(O123,I$11:I$139,0))&gt;1),0,MATCH(O123,I$11:I$139,0))+IF(OR(TYPE(O123)&gt;1,TYPE(MATCH(O123,O124:O$139,0))&gt;1),0,MATCH(O123,O124:O$139,0))+IF(OR(TYPE(O123)&gt;1,TYPE(MATCH(O123,U$11:U$139,0))&gt;1),0,MATCH(O123,U$11:U$139,0))+IF(OR(TYPE(O123)&gt;1,TYPE(MATCH(O123,AA$11:AA$139,0))&gt;1),0,MATCH(O123,AA$11:AA$139,0))</f>
        <v>0</v>
      </c>
      <c r="AP123" s="319">
        <f ca="1">IF(OR(TYPE(U123)&gt;1,TYPE(MATCH(U123,I$11:I$139,0))&gt;1),0,MATCH(U123,I$11:I$139,0))+IF(OR(TYPE(U123)&gt;1,TYPE(MATCH(U123,O$11:O$139,0))&gt;1),0,MATCH(U123,O$11:O$139,0))+IF(OR(TYPE(U123)&gt;1,TYPE(MATCH(U123,U124:U$139,0))&gt;1),0,MATCH(U123,U124:U$139,0))+IF(OR(TYPE(U123)&gt;1,TYPE(MATCH(U123,AA$11:AA$139,0))&gt;1),0,MATCH(U123,AA$11:AA$139,0))</f>
        <v>0</v>
      </c>
      <c r="AQ123" s="319">
        <f ca="1">IF(OR(TYPE(AA123)&gt;1,TYPE(MATCH(AA123,I$11:I$139,0))&gt;1),0,MATCH(AA123,I$11:I$139,0))+IF(OR(TYPE(AA123)&gt;1,TYPE(MATCH(AA123,O$11:O$139,0))&gt;1),0,MATCH(AA123,O$11:O$139,0))+IF(OR(TYPE(AA123)&gt;1,TYPE(MATCH(AA123,U$11:U$139,0))&gt;1),0,MATCH(U123,U$11:U$139,0))+IF(OR(TYPE(AA123)&gt;1,TYPE(MATCH(AA123,AA124:AA$139,0))&gt;1),0,MATCH(AA123,AA124:AA$139,0))</f>
        <v>0</v>
      </c>
      <c r="AR123" s="319">
        <f t="shared" ca="1" si="36"/>
        <v>0</v>
      </c>
      <c r="AT123" s="318">
        <f t="shared" ca="1" si="34"/>
        <v>0</v>
      </c>
      <c r="AU123" s="318">
        <f ca="1">IF(AND(N(I123)&gt;0,TYPE(VLOOKUP(I123,Hraci!$A$5:$A$800,1,0))&gt;3),1,0) + IF(AND(N(O123)&gt;0,TYPE(VLOOKUP(O123,Hraci!$A$5:$A$800,1,0))&gt;3),1,0) + IF(AND(N(U123)&gt;0,TYPE(VLOOKUP(U123,Hraci!$A$5:$A$800,1,0))&gt;3),1,0)</f>
        <v>0</v>
      </c>
      <c r="BF123" s="319">
        <f t="shared" si="35"/>
        <v>113</v>
      </c>
    </row>
    <row r="124" spans="1:58" ht="12.9" x14ac:dyDescent="0.45">
      <c r="A124" s="302">
        <f t="shared" ca="1" si="20"/>
        <v>0</v>
      </c>
      <c r="B124" s="302">
        <f t="shared" ca="1" si="21"/>
        <v>0</v>
      </c>
      <c r="C124" s="302">
        <f t="shared" ca="1" si="22"/>
        <v>0</v>
      </c>
      <c r="D124" s="302">
        <f t="shared" ca="1" si="23"/>
        <v>99999</v>
      </c>
      <c r="E124" s="302">
        <f t="shared" ca="1" si="24"/>
        <v>9999</v>
      </c>
      <c r="F124" s="343" t="str">
        <f t="shared" ca="1" si="25"/>
        <v>00000000000000000000189323</v>
      </c>
      <c r="G124" s="381" t="b">
        <f t="shared" ca="1" si="26"/>
        <v>1</v>
      </c>
      <c r="H124" s="382">
        <f t="shared" si="27"/>
        <v>114</v>
      </c>
      <c r="I124" s="383" t="str">
        <f t="shared" ca="1" si="28"/>
        <v/>
      </c>
      <c r="J124" s="384" t="str">
        <f ca="1">IF(N(I124)&gt;0,VLOOKUP(I124,Hraci!$A$1:$I$1500,2,0),IF(TYPE(INDIRECT(ADDRESS(ROW() + $A$9-9 + (ROW()-11)*4,2,1,1,"Internet")))&gt;1,INDIRECT(ADDRESS(ROW() + $A$9-9 + (ROW()-11)*4,2,1,1,"Internet"))," "))</f>
        <v xml:space="preserve"> </v>
      </c>
      <c r="K124" s="385" t="str">
        <f ca="1">IF(N(I124)&gt;0,VLOOKUP(I124,Hraci!$A$1:$I$1500,3,0)," ")</f>
        <v xml:space="preserve"> </v>
      </c>
      <c r="L124" s="385" t="str">
        <f ca="1">IF(N(I124)&gt;0,VLOOKUP(I124,Hraci!$A$1:$I$1500,5,0),IF(TYPE(INDIRECT(ADDRESS(ROW() + $A$9-9 + (ROW()-11)*4,3,1,1,"Internet")))&gt;1,INDIRECT(ADDRESS(ROW() + $A$9-9 + (ROW()-11)*4,3,1,1,"Internet"))," "))</f>
        <v xml:space="preserve"> </v>
      </c>
      <c r="M124" s="319">
        <f ca="1">IF(N(I124)=0,9999,VLOOKUP(I124,Hraci!$A$1:$I$1500,8,0))</f>
        <v>9999</v>
      </c>
      <c r="N124" s="386">
        <f ca="1">IF(N(I124)=0,0,VLOOKUP(I124,Hraci!$A$1:$I$1500,9,0))</f>
        <v>0</v>
      </c>
      <c r="O124" s="383" t="str">
        <f t="shared" ca="1" si="29"/>
        <v/>
      </c>
      <c r="P124" s="384" t="str">
        <f ca="1">IF(N(O124)&gt;0,VLOOKUP(O124,Hraci!$A$1:$I$1500,2,0),IF(TYPE(INDIRECT(ADDRESS(ROW() + $A$9-8 + (ROW()-11)*4,2,1,1,"Internet")))&gt;1,INDIRECT(ADDRESS(ROW() + $A$9-8 + (ROW()-11)*4,2,1,1,"Internet"))," "))</f>
        <v xml:space="preserve"> </v>
      </c>
      <c r="Q124" s="385" t="str">
        <f ca="1">IF(N(O124)&gt;0,VLOOKUP(O124,Hraci!$A$1:$I$1500,3,0)," ")</f>
        <v xml:space="preserve"> </v>
      </c>
      <c r="R124" s="385" t="str">
        <f ca="1">IF(N(O124)&gt;0,VLOOKUP(O124,Hraci!$A$1:$I$1500,5,0),IF(TYPE(INDIRECT(ADDRESS(ROW() + $A$9-8 + (ROW()-11)*4,3,1,1,"Internet")))&gt;1,INDIRECT(ADDRESS(ROW() + $A$9-8 + (ROW()-11)*4,3,1,1,"Internet"))," "))</f>
        <v xml:space="preserve"> </v>
      </c>
      <c r="S124" s="319">
        <f ca="1">IF(N(O124)=0,9999,VLOOKUP(O124,Hraci!$A$1:$I$1500,8,0))</f>
        <v>9999</v>
      </c>
      <c r="T124" s="386">
        <f ca="1">IF(N(O124)=0,0,VLOOKUP(O124,Hraci!$A$1:$I$1500,9,0))</f>
        <v>0</v>
      </c>
      <c r="U124" s="383" t="str">
        <f t="shared" ca="1" si="30"/>
        <v/>
      </c>
      <c r="V124" s="384" t="str">
        <f ca="1">IF(N(U124)&gt;0,VLOOKUP(U124,Hraci!$A$1:$I$1500,2,0),IF(TYPE(INDIRECT(ADDRESS(ROW() + $A$9-7 + (ROW()-11)*4,2,1,1,"Internet")))&gt;1,INDIRECT(ADDRESS(ROW() + $A$9-7 + (ROW()-11)*4,2,1,1,"Internet"))," "))</f>
        <v xml:space="preserve"> </v>
      </c>
      <c r="W124" s="385" t="str">
        <f ca="1">IF(N(U124)&gt;0,VLOOKUP(U124,Hraci!$A$1:$I$1500,3,0)," ")</f>
        <v xml:space="preserve"> </v>
      </c>
      <c r="X124" s="385" t="str">
        <f ca="1">IF(N(U124)&gt;0,VLOOKUP(U124,Hraci!$A$1:$I$1500,5,0),IF(TYPE(INDIRECT(ADDRESS(ROW() + $A$9-7 + (ROW()-11)*4,3,1,1,"Internet")))&gt;1,INDIRECT(ADDRESS(ROW() + $A$9-7 + (ROW()-11)*4,3,1,1,"Internet"))," "))</f>
        <v xml:space="preserve"> </v>
      </c>
      <c r="Y124" s="319">
        <f ca="1">IF(N(U124)=0,9999,VLOOKUP(U124,Hraci!$A$1:$I$1500,8,0))</f>
        <v>9999</v>
      </c>
      <c r="Z124" s="386">
        <f ca="1">IF(N(U124)=0,0,VLOOKUP(U124,Hraci!$A$1:$I$1500,9,0))</f>
        <v>0</v>
      </c>
      <c r="AA124" s="383" t="str">
        <f t="shared" ca="1" si="31"/>
        <v/>
      </c>
      <c r="AB124" s="384" t="str">
        <f ca="1">IF(N(AA124)&gt;0,VLOOKUP(AA124,Hraci!$A$1:$I$1500,2,0)," ")</f>
        <v xml:space="preserve"> </v>
      </c>
      <c r="AC124" s="385" t="str">
        <f ca="1">IF(N(AA124)&gt;0,VLOOKUP(AA124,Hraci!$A$1:$I$1500,3,0)," ")</f>
        <v xml:space="preserve"> </v>
      </c>
      <c r="AD124" s="385" t="str">
        <f ca="1">IF(N(AA124)&gt;0,VLOOKUP(AA124,Hraci!$A$1:$I$1500,5,0)," ")</f>
        <v xml:space="preserve"> </v>
      </c>
      <c r="AE124" s="319">
        <f ca="1">IF(N(AA124)=0,9999,VLOOKUP(AA124,Hraci!$A$1:$I$1500,8,0))</f>
        <v>9999</v>
      </c>
      <c r="AF124" s="386">
        <f ca="1">IF(N(AA124)=0,0,VLOOKUP(AA124,Hraci!$A$1:$I$1500,9,0))</f>
        <v>0</v>
      </c>
      <c r="AG124" s="391"/>
      <c r="AH124" s="427">
        <f ca="1">IF(TYPE(VLOOKUP(H124,Centrum!$A$3:$E$130,5,0))&lt;4,VLOOKUP(H124,Centrum!$A$3:$E$130,5,0),0)</f>
        <v>0</v>
      </c>
      <c r="AI124" s="387" t="str">
        <f ca="1">IF(N($AH124)&gt;0,VLOOKUP($AH124,Body!$A$4:$F$259,5,0),"")</f>
        <v/>
      </c>
      <c r="AJ124" s="388" t="str">
        <f ca="1">IF(N($AH124)&gt;0,VLOOKUP($AH124,Body!$A$4:$F$259,6,0),"")</f>
        <v/>
      </c>
      <c r="AK124" s="387" t="str">
        <f ca="1">IF(N($AH124)&gt;0,VLOOKUP($AH124,Body!$A$4:$F$259,2,0),"")</f>
        <v/>
      </c>
      <c r="AL124" s="389" t="str">
        <f t="shared" ca="1" si="37"/>
        <v/>
      </c>
      <c r="AM124" s="390">
        <f t="shared" ca="1" si="33"/>
        <v>0</v>
      </c>
      <c r="AN124" s="319">
        <f ca="1">IF(OR(TYPE(I124)&gt;1,TYPE(MATCH(I124,I125:I$139,0))&gt;1),0,MATCH(I124,I125:I$139,0))+IF(OR(TYPE(I124)&gt;1,TYPE(MATCH(I124,O$11:O$139,0))&gt;1),0,MATCH(I124,O$11:O$139,0))+IF(OR(TYPE(I124)&gt;1,TYPE(MATCH(I124,U$11:U$139,0))&gt;1),0,MATCH(I124,U$11:U$139,0))+IF(OR(TYPE(I124)&gt;1,TYPE(MATCH(I124,AA$11:AA$139,0))&gt;1),0,MATCH(I124,AA$11:AA$139,0))</f>
        <v>0</v>
      </c>
      <c r="AO124" s="319">
        <f ca="1">IF(OR(TYPE(O124)&gt;1,TYPE(MATCH(O124,I$11:I$139,0))&gt;1),0,MATCH(O124,I$11:I$139,0))+IF(OR(TYPE(O124)&gt;1,TYPE(MATCH(O124,O125:O$139,0))&gt;1),0,MATCH(O124,O125:O$139,0))+IF(OR(TYPE(O124)&gt;1,TYPE(MATCH(O124,U$11:U$139,0))&gt;1),0,MATCH(O124,U$11:U$139,0))+IF(OR(TYPE(O124)&gt;1,TYPE(MATCH(O124,AA$11:AA$139,0))&gt;1),0,MATCH(O124,AA$11:AA$139,0))</f>
        <v>0</v>
      </c>
      <c r="AP124" s="319">
        <f ca="1">IF(OR(TYPE(U124)&gt;1,TYPE(MATCH(U124,I$11:I$139,0))&gt;1),0,MATCH(U124,I$11:I$139,0))+IF(OR(TYPE(U124)&gt;1,TYPE(MATCH(U124,O$11:O$139,0))&gt;1),0,MATCH(U124,O$11:O$139,0))+IF(OR(TYPE(U124)&gt;1,TYPE(MATCH(U124,U125:U$139,0))&gt;1),0,MATCH(U124,U125:U$139,0))+IF(OR(TYPE(U124)&gt;1,TYPE(MATCH(U124,AA$11:AA$139,0))&gt;1),0,MATCH(U124,AA$11:AA$139,0))</f>
        <v>0</v>
      </c>
      <c r="AQ124" s="319">
        <f ca="1">IF(OR(TYPE(AA124)&gt;1,TYPE(MATCH(AA124,I$11:I$139,0))&gt;1),0,MATCH(AA124,I$11:I$139,0))+IF(OR(TYPE(AA124)&gt;1,TYPE(MATCH(AA124,O$11:O$139,0))&gt;1),0,MATCH(AA124,O$11:O$139,0))+IF(OR(TYPE(AA124)&gt;1,TYPE(MATCH(AA124,U$11:U$139,0))&gt;1),0,MATCH(U124,U$11:U$139,0))+IF(OR(TYPE(AA124)&gt;1,TYPE(MATCH(AA124,AA125:AA$139,0))&gt;1),0,MATCH(AA124,AA125:AA$139,0))</f>
        <v>0</v>
      </c>
      <c r="AR124" s="319">
        <f t="shared" ca="1" si="36"/>
        <v>0</v>
      </c>
      <c r="AT124" s="318">
        <f t="shared" ca="1" si="34"/>
        <v>0</v>
      </c>
      <c r="AU124" s="318">
        <f ca="1">IF(AND(N(I124)&gt;0,TYPE(VLOOKUP(I124,Hraci!$A$5:$A$800,1,0))&gt;3),1,0) + IF(AND(N(O124)&gt;0,TYPE(VLOOKUP(O124,Hraci!$A$5:$A$800,1,0))&gt;3),1,0) + IF(AND(N(U124)&gt;0,TYPE(VLOOKUP(U124,Hraci!$A$5:$A$800,1,0))&gt;3),1,0)</f>
        <v>0</v>
      </c>
      <c r="BF124" s="319">
        <f t="shared" si="35"/>
        <v>114</v>
      </c>
    </row>
    <row r="125" spans="1:58" ht="12.9" x14ac:dyDescent="0.45">
      <c r="A125" s="302">
        <f t="shared" ca="1" si="20"/>
        <v>0</v>
      </c>
      <c r="B125" s="302">
        <f t="shared" ca="1" si="21"/>
        <v>0</v>
      </c>
      <c r="C125" s="302">
        <f t="shared" ca="1" si="22"/>
        <v>0</v>
      </c>
      <c r="D125" s="302">
        <f t="shared" ca="1" si="23"/>
        <v>99999</v>
      </c>
      <c r="E125" s="302">
        <f t="shared" ca="1" si="24"/>
        <v>9999</v>
      </c>
      <c r="F125" s="343" t="str">
        <f t="shared" ca="1" si="25"/>
        <v>00000000000000000000387456</v>
      </c>
      <c r="G125" s="381" t="b">
        <f t="shared" ca="1" si="26"/>
        <v>1</v>
      </c>
      <c r="H125" s="382">
        <f t="shared" si="27"/>
        <v>115</v>
      </c>
      <c r="I125" s="383" t="str">
        <f t="shared" ca="1" si="28"/>
        <v/>
      </c>
      <c r="J125" s="384" t="str">
        <f ca="1">IF(N(I125)&gt;0,VLOOKUP(I125,Hraci!$A$1:$I$1500,2,0),IF(TYPE(INDIRECT(ADDRESS(ROW() + $A$9-9 + (ROW()-11)*4,2,1,1,"Internet")))&gt;1,INDIRECT(ADDRESS(ROW() + $A$9-9 + (ROW()-11)*4,2,1,1,"Internet"))," "))</f>
        <v xml:space="preserve"> </v>
      </c>
      <c r="K125" s="385" t="str">
        <f ca="1">IF(N(I125)&gt;0,VLOOKUP(I125,Hraci!$A$1:$I$1500,3,0)," ")</f>
        <v xml:space="preserve"> </v>
      </c>
      <c r="L125" s="385" t="str">
        <f ca="1">IF(N(I125)&gt;0,VLOOKUP(I125,Hraci!$A$1:$I$1500,5,0),IF(TYPE(INDIRECT(ADDRESS(ROW() + $A$9-9 + (ROW()-11)*4,3,1,1,"Internet")))&gt;1,INDIRECT(ADDRESS(ROW() + $A$9-9 + (ROW()-11)*4,3,1,1,"Internet"))," "))</f>
        <v xml:space="preserve"> </v>
      </c>
      <c r="M125" s="319">
        <f ca="1">IF(N(I125)=0,9999,VLOOKUP(I125,Hraci!$A$1:$I$1500,8,0))</f>
        <v>9999</v>
      </c>
      <c r="N125" s="386">
        <f ca="1">IF(N(I125)=0,0,VLOOKUP(I125,Hraci!$A$1:$I$1500,9,0))</f>
        <v>0</v>
      </c>
      <c r="O125" s="383" t="str">
        <f t="shared" ca="1" si="29"/>
        <v/>
      </c>
      <c r="P125" s="384" t="str">
        <f ca="1">IF(N(O125)&gt;0,VLOOKUP(O125,Hraci!$A$1:$I$1500,2,0),IF(TYPE(INDIRECT(ADDRESS(ROW() + $A$9-8 + (ROW()-11)*4,2,1,1,"Internet")))&gt;1,INDIRECT(ADDRESS(ROW() + $A$9-8 + (ROW()-11)*4,2,1,1,"Internet"))," "))</f>
        <v xml:space="preserve"> </v>
      </c>
      <c r="Q125" s="385" t="str">
        <f ca="1">IF(N(O125)&gt;0,VLOOKUP(O125,Hraci!$A$1:$I$1500,3,0)," ")</f>
        <v xml:space="preserve"> </v>
      </c>
      <c r="R125" s="385" t="str">
        <f ca="1">IF(N(O125)&gt;0,VLOOKUP(O125,Hraci!$A$1:$I$1500,5,0),IF(TYPE(INDIRECT(ADDRESS(ROW() + $A$9-8 + (ROW()-11)*4,3,1,1,"Internet")))&gt;1,INDIRECT(ADDRESS(ROW() + $A$9-8 + (ROW()-11)*4,3,1,1,"Internet"))," "))</f>
        <v xml:space="preserve"> </v>
      </c>
      <c r="S125" s="319">
        <f ca="1">IF(N(O125)=0,9999,VLOOKUP(O125,Hraci!$A$1:$I$1500,8,0))</f>
        <v>9999</v>
      </c>
      <c r="T125" s="386">
        <f ca="1">IF(N(O125)=0,0,VLOOKUP(O125,Hraci!$A$1:$I$1500,9,0))</f>
        <v>0</v>
      </c>
      <c r="U125" s="383" t="str">
        <f t="shared" ca="1" si="30"/>
        <v/>
      </c>
      <c r="V125" s="384" t="str">
        <f ca="1">IF(N(U125)&gt;0,VLOOKUP(U125,Hraci!$A$1:$I$1500,2,0),IF(TYPE(INDIRECT(ADDRESS(ROW() + $A$9-7 + (ROW()-11)*4,2,1,1,"Internet")))&gt;1,INDIRECT(ADDRESS(ROW() + $A$9-7 + (ROW()-11)*4,2,1,1,"Internet"))," "))</f>
        <v xml:space="preserve"> </v>
      </c>
      <c r="W125" s="385" t="str">
        <f ca="1">IF(N(U125)&gt;0,VLOOKUP(U125,Hraci!$A$1:$I$1500,3,0)," ")</f>
        <v xml:space="preserve"> </v>
      </c>
      <c r="X125" s="385" t="str">
        <f ca="1">IF(N(U125)&gt;0,VLOOKUP(U125,Hraci!$A$1:$I$1500,5,0),IF(TYPE(INDIRECT(ADDRESS(ROW() + $A$9-7 + (ROW()-11)*4,3,1,1,"Internet")))&gt;1,INDIRECT(ADDRESS(ROW() + $A$9-7 + (ROW()-11)*4,3,1,1,"Internet"))," "))</f>
        <v xml:space="preserve"> </v>
      </c>
      <c r="Y125" s="319">
        <f ca="1">IF(N(U125)=0,9999,VLOOKUP(U125,Hraci!$A$1:$I$1500,8,0))</f>
        <v>9999</v>
      </c>
      <c r="Z125" s="386">
        <f ca="1">IF(N(U125)=0,0,VLOOKUP(U125,Hraci!$A$1:$I$1500,9,0))</f>
        <v>0</v>
      </c>
      <c r="AA125" s="383" t="str">
        <f t="shared" ca="1" si="31"/>
        <v/>
      </c>
      <c r="AB125" s="384" t="str">
        <f ca="1">IF(N(AA125)&gt;0,VLOOKUP(AA125,Hraci!$A$1:$I$1500,2,0)," ")</f>
        <v xml:space="preserve"> </v>
      </c>
      <c r="AC125" s="385" t="str">
        <f ca="1">IF(N(AA125)&gt;0,VLOOKUP(AA125,Hraci!$A$1:$I$1500,3,0)," ")</f>
        <v xml:space="preserve"> </v>
      </c>
      <c r="AD125" s="385" t="str">
        <f ca="1">IF(N(AA125)&gt;0,VLOOKUP(AA125,Hraci!$A$1:$I$1500,5,0)," ")</f>
        <v xml:space="preserve"> </v>
      </c>
      <c r="AE125" s="319">
        <f ca="1">IF(N(AA125)=0,9999,VLOOKUP(AA125,Hraci!$A$1:$I$1500,8,0))</f>
        <v>9999</v>
      </c>
      <c r="AF125" s="386">
        <f ca="1">IF(N(AA125)=0,0,VLOOKUP(AA125,Hraci!$A$1:$I$1500,9,0))</f>
        <v>0</v>
      </c>
      <c r="AG125" s="391"/>
      <c r="AH125" s="427">
        <f ca="1">IF(TYPE(VLOOKUP(H125,Centrum!$A$3:$E$130,5,0))&lt;4,VLOOKUP(H125,Centrum!$A$3:$E$130,5,0),0)</f>
        <v>0</v>
      </c>
      <c r="AI125" s="387" t="str">
        <f ca="1">IF(N($AH125)&gt;0,VLOOKUP($AH125,Body!$A$4:$F$259,5,0),"")</f>
        <v/>
      </c>
      <c r="AJ125" s="388" t="str">
        <f ca="1">IF(N($AH125)&gt;0,VLOOKUP($AH125,Body!$A$4:$F$259,6,0),"")</f>
        <v/>
      </c>
      <c r="AK125" s="387" t="str">
        <f ca="1">IF(N($AH125)&gt;0,VLOOKUP($AH125,Body!$A$4:$F$259,2,0),"")</f>
        <v/>
      </c>
      <c r="AL125" s="389" t="str">
        <f t="shared" ca="1" si="37"/>
        <v/>
      </c>
      <c r="AM125" s="390">
        <f t="shared" ca="1" si="33"/>
        <v>0</v>
      </c>
      <c r="AN125" s="319">
        <f ca="1">IF(OR(TYPE(I125)&gt;1,TYPE(MATCH(I125,I126:I$139,0))&gt;1),0,MATCH(I125,I126:I$139,0))+IF(OR(TYPE(I125)&gt;1,TYPE(MATCH(I125,O$11:O$139,0))&gt;1),0,MATCH(I125,O$11:O$139,0))+IF(OR(TYPE(I125)&gt;1,TYPE(MATCH(I125,U$11:U$139,0))&gt;1),0,MATCH(I125,U$11:U$139,0))+IF(OR(TYPE(I125)&gt;1,TYPE(MATCH(I125,AA$11:AA$139,0))&gt;1),0,MATCH(I125,AA$11:AA$139,0))</f>
        <v>0</v>
      </c>
      <c r="AO125" s="319">
        <f ca="1">IF(OR(TYPE(O125)&gt;1,TYPE(MATCH(O125,I$11:I$139,0))&gt;1),0,MATCH(O125,I$11:I$139,0))+IF(OR(TYPE(O125)&gt;1,TYPE(MATCH(O125,O126:O$139,0))&gt;1),0,MATCH(O125,O126:O$139,0))+IF(OR(TYPE(O125)&gt;1,TYPE(MATCH(O125,U$11:U$139,0))&gt;1),0,MATCH(O125,U$11:U$139,0))+IF(OR(TYPE(O125)&gt;1,TYPE(MATCH(O125,AA$11:AA$139,0))&gt;1),0,MATCH(O125,AA$11:AA$139,0))</f>
        <v>0</v>
      </c>
      <c r="AP125" s="319">
        <f ca="1">IF(OR(TYPE(U125)&gt;1,TYPE(MATCH(U125,I$11:I$139,0))&gt;1),0,MATCH(U125,I$11:I$139,0))+IF(OR(TYPE(U125)&gt;1,TYPE(MATCH(U125,O$11:O$139,0))&gt;1),0,MATCH(U125,O$11:O$139,0))+IF(OR(TYPE(U125)&gt;1,TYPE(MATCH(U125,U126:U$139,0))&gt;1),0,MATCH(U125,U126:U$139,0))+IF(OR(TYPE(U125)&gt;1,TYPE(MATCH(U125,AA$11:AA$139,0))&gt;1),0,MATCH(U125,AA$11:AA$139,0))</f>
        <v>0</v>
      </c>
      <c r="AQ125" s="319">
        <f ca="1">IF(OR(TYPE(AA125)&gt;1,TYPE(MATCH(AA125,I$11:I$139,0))&gt;1),0,MATCH(AA125,I$11:I$139,0))+IF(OR(TYPE(AA125)&gt;1,TYPE(MATCH(AA125,O$11:O$139,0))&gt;1),0,MATCH(AA125,O$11:O$139,0))+IF(OR(TYPE(AA125)&gt;1,TYPE(MATCH(AA125,U$11:U$139,0))&gt;1),0,MATCH(U125,U$11:U$139,0))+IF(OR(TYPE(AA125)&gt;1,TYPE(MATCH(AA125,AA126:AA$139,0))&gt;1),0,MATCH(AA125,AA126:AA$139,0))</f>
        <v>0</v>
      </c>
      <c r="AR125" s="319">
        <f t="shared" ca="1" si="36"/>
        <v>0</v>
      </c>
      <c r="AT125" s="318">
        <f t="shared" ca="1" si="34"/>
        <v>0</v>
      </c>
      <c r="AU125" s="318">
        <f ca="1">IF(AND(N(I125)&gt;0,TYPE(VLOOKUP(I125,Hraci!$A$5:$A$800,1,0))&gt;3),1,0) + IF(AND(N(O125)&gt;0,TYPE(VLOOKUP(O125,Hraci!$A$5:$A$800,1,0))&gt;3),1,0) + IF(AND(N(U125)&gt;0,TYPE(VLOOKUP(U125,Hraci!$A$5:$A$800,1,0))&gt;3),1,0)</f>
        <v>0</v>
      </c>
      <c r="BF125" s="319">
        <f t="shared" si="35"/>
        <v>115</v>
      </c>
    </row>
    <row r="126" spans="1:58" ht="12.9" x14ac:dyDescent="0.45">
      <c r="A126" s="302">
        <f t="shared" ca="1" si="20"/>
        <v>0</v>
      </c>
      <c r="B126" s="302">
        <f t="shared" ca="1" si="21"/>
        <v>0</v>
      </c>
      <c r="C126" s="302">
        <f t="shared" ca="1" si="22"/>
        <v>0</v>
      </c>
      <c r="D126" s="302">
        <f t="shared" ca="1" si="23"/>
        <v>99999</v>
      </c>
      <c r="E126" s="302">
        <f t="shared" ca="1" si="24"/>
        <v>9999</v>
      </c>
      <c r="F126" s="343" t="str">
        <f t="shared" ca="1" si="25"/>
        <v>00000000000000000000681179</v>
      </c>
      <c r="G126" s="381" t="b">
        <f t="shared" ca="1" si="26"/>
        <v>1</v>
      </c>
      <c r="H126" s="382">
        <f t="shared" si="27"/>
        <v>116</v>
      </c>
      <c r="I126" s="383" t="str">
        <f t="shared" ca="1" si="28"/>
        <v/>
      </c>
      <c r="J126" s="384" t="str">
        <f ca="1">IF(N(I126)&gt;0,VLOOKUP(I126,Hraci!$A$1:$I$1500,2,0),IF(TYPE(INDIRECT(ADDRESS(ROW() + $A$9-9 + (ROW()-11)*4,2,1,1,"Internet")))&gt;1,INDIRECT(ADDRESS(ROW() + $A$9-9 + (ROW()-11)*4,2,1,1,"Internet"))," "))</f>
        <v xml:space="preserve"> </v>
      </c>
      <c r="K126" s="385" t="str">
        <f ca="1">IF(N(I126)&gt;0,VLOOKUP(I126,Hraci!$A$1:$I$1500,3,0)," ")</f>
        <v xml:space="preserve"> </v>
      </c>
      <c r="L126" s="385" t="str">
        <f ca="1">IF(N(I126)&gt;0,VLOOKUP(I126,Hraci!$A$1:$I$1500,5,0),IF(TYPE(INDIRECT(ADDRESS(ROW() + $A$9-9 + (ROW()-11)*4,3,1,1,"Internet")))&gt;1,INDIRECT(ADDRESS(ROW() + $A$9-9 + (ROW()-11)*4,3,1,1,"Internet"))," "))</f>
        <v xml:space="preserve"> </v>
      </c>
      <c r="M126" s="319">
        <f ca="1">IF(N(I126)=0,9999,VLOOKUP(I126,Hraci!$A$1:$I$1500,8,0))</f>
        <v>9999</v>
      </c>
      <c r="N126" s="386">
        <f ca="1">IF(N(I126)=0,0,VLOOKUP(I126,Hraci!$A$1:$I$1500,9,0))</f>
        <v>0</v>
      </c>
      <c r="O126" s="383" t="str">
        <f t="shared" ca="1" si="29"/>
        <v/>
      </c>
      <c r="P126" s="384" t="str">
        <f ca="1">IF(N(O126)&gt;0,VLOOKUP(O126,Hraci!$A$1:$I$1500,2,0),IF(TYPE(INDIRECT(ADDRESS(ROW() + $A$9-8 + (ROW()-11)*4,2,1,1,"Internet")))&gt;1,INDIRECT(ADDRESS(ROW() + $A$9-8 + (ROW()-11)*4,2,1,1,"Internet"))," "))</f>
        <v xml:space="preserve"> </v>
      </c>
      <c r="Q126" s="385" t="str">
        <f ca="1">IF(N(O126)&gt;0,VLOOKUP(O126,Hraci!$A$1:$I$1500,3,0)," ")</f>
        <v xml:space="preserve"> </v>
      </c>
      <c r="R126" s="385" t="str">
        <f ca="1">IF(N(O126)&gt;0,VLOOKUP(O126,Hraci!$A$1:$I$1500,5,0),IF(TYPE(INDIRECT(ADDRESS(ROW() + $A$9-8 + (ROW()-11)*4,3,1,1,"Internet")))&gt;1,INDIRECT(ADDRESS(ROW() + $A$9-8 + (ROW()-11)*4,3,1,1,"Internet"))," "))</f>
        <v xml:space="preserve"> </v>
      </c>
      <c r="S126" s="319">
        <f ca="1">IF(N(O126)=0,9999,VLOOKUP(O126,Hraci!$A$1:$I$1500,8,0))</f>
        <v>9999</v>
      </c>
      <c r="T126" s="386">
        <f ca="1">IF(N(O126)=0,0,VLOOKUP(O126,Hraci!$A$1:$I$1500,9,0))</f>
        <v>0</v>
      </c>
      <c r="U126" s="383" t="str">
        <f t="shared" ca="1" si="30"/>
        <v/>
      </c>
      <c r="V126" s="384" t="str">
        <f ca="1">IF(N(U126)&gt;0,VLOOKUP(U126,Hraci!$A$1:$I$1500,2,0),IF(TYPE(INDIRECT(ADDRESS(ROW() + $A$9-7 + (ROW()-11)*4,2,1,1,"Internet")))&gt;1,INDIRECT(ADDRESS(ROW() + $A$9-7 + (ROW()-11)*4,2,1,1,"Internet"))," "))</f>
        <v xml:space="preserve"> </v>
      </c>
      <c r="W126" s="385" t="str">
        <f ca="1">IF(N(U126)&gt;0,VLOOKUP(U126,Hraci!$A$1:$I$1500,3,0)," ")</f>
        <v xml:space="preserve"> </v>
      </c>
      <c r="X126" s="385" t="str">
        <f ca="1">IF(N(U126)&gt;0,VLOOKUP(U126,Hraci!$A$1:$I$1500,5,0),IF(TYPE(INDIRECT(ADDRESS(ROW() + $A$9-7 + (ROW()-11)*4,3,1,1,"Internet")))&gt;1,INDIRECT(ADDRESS(ROW() + $A$9-7 + (ROW()-11)*4,3,1,1,"Internet"))," "))</f>
        <v xml:space="preserve"> </v>
      </c>
      <c r="Y126" s="319">
        <f ca="1">IF(N(U126)=0,9999,VLOOKUP(U126,Hraci!$A$1:$I$1500,8,0))</f>
        <v>9999</v>
      </c>
      <c r="Z126" s="386">
        <f ca="1">IF(N(U126)=0,0,VLOOKUP(U126,Hraci!$A$1:$I$1500,9,0))</f>
        <v>0</v>
      </c>
      <c r="AA126" s="383" t="str">
        <f t="shared" ca="1" si="31"/>
        <v/>
      </c>
      <c r="AB126" s="384" t="str">
        <f ca="1">IF(N(AA126)&gt;0,VLOOKUP(AA126,Hraci!$A$1:$I$1500,2,0)," ")</f>
        <v xml:space="preserve"> </v>
      </c>
      <c r="AC126" s="385" t="str">
        <f ca="1">IF(N(AA126)&gt;0,VLOOKUP(AA126,Hraci!$A$1:$I$1500,3,0)," ")</f>
        <v xml:space="preserve"> </v>
      </c>
      <c r="AD126" s="385" t="str">
        <f ca="1">IF(N(AA126)&gt;0,VLOOKUP(AA126,Hraci!$A$1:$I$1500,5,0)," ")</f>
        <v xml:space="preserve"> </v>
      </c>
      <c r="AE126" s="319">
        <f ca="1">IF(N(AA126)=0,9999,VLOOKUP(AA126,Hraci!$A$1:$I$1500,8,0))</f>
        <v>9999</v>
      </c>
      <c r="AF126" s="386">
        <f ca="1">IF(N(AA126)=0,0,VLOOKUP(AA126,Hraci!$A$1:$I$1500,9,0))</f>
        <v>0</v>
      </c>
      <c r="AG126" s="391"/>
      <c r="AH126" s="427">
        <f ca="1">IF(TYPE(VLOOKUP(H126,Centrum!$A$3:$E$130,5,0))&lt;4,VLOOKUP(H126,Centrum!$A$3:$E$130,5,0),0)</f>
        <v>0</v>
      </c>
      <c r="AI126" s="387" t="str">
        <f ca="1">IF(N($AH126)&gt;0,VLOOKUP($AH126,Body!$A$4:$F$259,5,0),"")</f>
        <v/>
      </c>
      <c r="AJ126" s="388" t="str">
        <f ca="1">IF(N($AH126)&gt;0,VLOOKUP($AH126,Body!$A$4:$F$259,6,0),"")</f>
        <v/>
      </c>
      <c r="AK126" s="387" t="str">
        <f ca="1">IF(N($AH126)&gt;0,VLOOKUP($AH126,Body!$A$4:$F$259,2,0),"")</f>
        <v/>
      </c>
      <c r="AL126" s="389" t="str">
        <f t="shared" ca="1" si="37"/>
        <v/>
      </c>
      <c r="AM126" s="390">
        <f t="shared" ca="1" si="33"/>
        <v>0</v>
      </c>
      <c r="AN126" s="319">
        <f ca="1">IF(OR(TYPE(I126)&gt;1,TYPE(MATCH(I126,I127:I$139,0))&gt;1),0,MATCH(I126,I127:I$139,0))+IF(OR(TYPE(I126)&gt;1,TYPE(MATCH(I126,O$11:O$139,0))&gt;1),0,MATCH(I126,O$11:O$139,0))+IF(OR(TYPE(I126)&gt;1,TYPE(MATCH(I126,U$11:U$139,0))&gt;1),0,MATCH(I126,U$11:U$139,0))+IF(OR(TYPE(I126)&gt;1,TYPE(MATCH(I126,AA$11:AA$139,0))&gt;1),0,MATCH(I126,AA$11:AA$139,0))</f>
        <v>0</v>
      </c>
      <c r="AO126" s="319">
        <f ca="1">IF(OR(TYPE(O126)&gt;1,TYPE(MATCH(O126,I$11:I$139,0))&gt;1),0,MATCH(O126,I$11:I$139,0))+IF(OR(TYPE(O126)&gt;1,TYPE(MATCH(O126,O127:O$139,0))&gt;1),0,MATCH(O126,O127:O$139,0))+IF(OR(TYPE(O126)&gt;1,TYPE(MATCH(O126,U$11:U$139,0))&gt;1),0,MATCH(O126,U$11:U$139,0))+IF(OR(TYPE(O126)&gt;1,TYPE(MATCH(O126,AA$11:AA$139,0))&gt;1),0,MATCH(O126,AA$11:AA$139,0))</f>
        <v>0</v>
      </c>
      <c r="AP126" s="319">
        <f ca="1">IF(OR(TYPE(U126)&gt;1,TYPE(MATCH(U126,I$11:I$139,0))&gt;1),0,MATCH(U126,I$11:I$139,0))+IF(OR(TYPE(U126)&gt;1,TYPE(MATCH(U126,O$11:O$139,0))&gt;1),0,MATCH(U126,O$11:O$139,0))+IF(OR(TYPE(U126)&gt;1,TYPE(MATCH(U126,U127:U$139,0))&gt;1),0,MATCH(U126,U127:U$139,0))+IF(OR(TYPE(U126)&gt;1,TYPE(MATCH(U126,AA$11:AA$139,0))&gt;1),0,MATCH(U126,AA$11:AA$139,0))</f>
        <v>0</v>
      </c>
      <c r="AQ126" s="319">
        <f ca="1">IF(OR(TYPE(AA126)&gt;1,TYPE(MATCH(AA126,I$11:I$139,0))&gt;1),0,MATCH(AA126,I$11:I$139,0))+IF(OR(TYPE(AA126)&gt;1,TYPE(MATCH(AA126,O$11:O$139,0))&gt;1),0,MATCH(AA126,O$11:O$139,0))+IF(OR(TYPE(AA126)&gt;1,TYPE(MATCH(AA126,U$11:U$139,0))&gt;1),0,MATCH(U126,U$11:U$139,0))+IF(OR(TYPE(AA126)&gt;1,TYPE(MATCH(AA126,AA127:AA$139,0))&gt;1),0,MATCH(AA126,AA127:AA$139,0))</f>
        <v>0</v>
      </c>
      <c r="AR126" s="319">
        <f t="shared" ca="1" si="36"/>
        <v>0</v>
      </c>
      <c r="AT126" s="318">
        <f t="shared" ca="1" si="34"/>
        <v>0</v>
      </c>
      <c r="AU126" s="318">
        <f ca="1">IF(AND(N(I126)&gt;0,TYPE(VLOOKUP(I126,Hraci!$A$5:$A$800,1,0))&gt;3),1,0) + IF(AND(N(O126)&gt;0,TYPE(VLOOKUP(O126,Hraci!$A$5:$A$800,1,0))&gt;3),1,0) + IF(AND(N(U126)&gt;0,TYPE(VLOOKUP(U126,Hraci!$A$5:$A$800,1,0))&gt;3),1,0)</f>
        <v>0</v>
      </c>
      <c r="BF126" s="319">
        <f t="shared" si="35"/>
        <v>116</v>
      </c>
    </row>
    <row r="127" spans="1:58" ht="12.9" x14ac:dyDescent="0.45">
      <c r="A127" s="302">
        <f t="shared" ca="1" si="20"/>
        <v>0</v>
      </c>
      <c r="B127" s="302">
        <f t="shared" ca="1" si="21"/>
        <v>0</v>
      </c>
      <c r="C127" s="302">
        <f t="shared" ca="1" si="22"/>
        <v>0</v>
      </c>
      <c r="D127" s="302">
        <f t="shared" ca="1" si="23"/>
        <v>99999</v>
      </c>
      <c r="E127" s="302">
        <f t="shared" ca="1" si="24"/>
        <v>9999</v>
      </c>
      <c r="F127" s="343" t="str">
        <f t="shared" ca="1" si="25"/>
        <v>00000000000000000000141462</v>
      </c>
      <c r="G127" s="381" t="b">
        <f t="shared" ca="1" si="26"/>
        <v>1</v>
      </c>
      <c r="H127" s="382">
        <f t="shared" si="27"/>
        <v>117</v>
      </c>
      <c r="I127" s="383" t="str">
        <f t="shared" ca="1" si="28"/>
        <v/>
      </c>
      <c r="J127" s="384" t="str">
        <f ca="1">IF(N(I127)&gt;0,VLOOKUP(I127,Hraci!$A$1:$I$1500,2,0),IF(TYPE(INDIRECT(ADDRESS(ROW() + $A$9-9 + (ROW()-11)*4,2,1,1,"Internet")))&gt;1,INDIRECT(ADDRESS(ROW() + $A$9-9 + (ROW()-11)*4,2,1,1,"Internet"))," "))</f>
        <v xml:space="preserve"> </v>
      </c>
      <c r="K127" s="385" t="str">
        <f ca="1">IF(N(I127)&gt;0,VLOOKUP(I127,Hraci!$A$1:$I$1500,3,0)," ")</f>
        <v xml:space="preserve"> </v>
      </c>
      <c r="L127" s="385" t="str">
        <f ca="1">IF(N(I127)&gt;0,VLOOKUP(I127,Hraci!$A$1:$I$1500,5,0),IF(TYPE(INDIRECT(ADDRESS(ROW() + $A$9-9 + (ROW()-11)*4,3,1,1,"Internet")))&gt;1,INDIRECT(ADDRESS(ROW() + $A$9-9 + (ROW()-11)*4,3,1,1,"Internet"))," "))</f>
        <v xml:space="preserve"> </v>
      </c>
      <c r="M127" s="319">
        <f ca="1">IF(N(I127)=0,9999,VLOOKUP(I127,Hraci!$A$1:$I$1500,8,0))</f>
        <v>9999</v>
      </c>
      <c r="N127" s="386">
        <f ca="1">IF(N(I127)=0,0,VLOOKUP(I127,Hraci!$A$1:$I$1500,9,0))</f>
        <v>0</v>
      </c>
      <c r="O127" s="383" t="str">
        <f t="shared" ca="1" si="29"/>
        <v/>
      </c>
      <c r="P127" s="384" t="str">
        <f ca="1">IF(N(O127)&gt;0,VLOOKUP(O127,Hraci!$A$1:$I$1500,2,0),IF(TYPE(INDIRECT(ADDRESS(ROW() + $A$9-8 + (ROW()-11)*4,2,1,1,"Internet")))&gt;1,INDIRECT(ADDRESS(ROW() + $A$9-8 + (ROW()-11)*4,2,1,1,"Internet"))," "))</f>
        <v xml:space="preserve"> </v>
      </c>
      <c r="Q127" s="385" t="str">
        <f ca="1">IF(N(O127)&gt;0,VLOOKUP(O127,Hraci!$A$1:$I$1500,3,0)," ")</f>
        <v xml:space="preserve"> </v>
      </c>
      <c r="R127" s="385" t="str">
        <f ca="1">IF(N(O127)&gt;0,VLOOKUP(O127,Hraci!$A$1:$I$1500,5,0),IF(TYPE(INDIRECT(ADDRESS(ROW() + $A$9-8 + (ROW()-11)*4,3,1,1,"Internet")))&gt;1,INDIRECT(ADDRESS(ROW() + $A$9-8 + (ROW()-11)*4,3,1,1,"Internet"))," "))</f>
        <v xml:space="preserve"> </v>
      </c>
      <c r="S127" s="319">
        <f ca="1">IF(N(O127)=0,9999,VLOOKUP(O127,Hraci!$A$1:$I$1500,8,0))</f>
        <v>9999</v>
      </c>
      <c r="T127" s="386">
        <f ca="1">IF(N(O127)=0,0,VLOOKUP(O127,Hraci!$A$1:$I$1500,9,0))</f>
        <v>0</v>
      </c>
      <c r="U127" s="383" t="str">
        <f t="shared" ca="1" si="30"/>
        <v/>
      </c>
      <c r="V127" s="384" t="str">
        <f ca="1">IF(N(U127)&gt;0,VLOOKUP(U127,Hraci!$A$1:$I$1500,2,0),IF(TYPE(INDIRECT(ADDRESS(ROW() + $A$9-7 + (ROW()-11)*4,2,1,1,"Internet")))&gt;1,INDIRECT(ADDRESS(ROW() + $A$9-7 + (ROW()-11)*4,2,1,1,"Internet"))," "))</f>
        <v xml:space="preserve"> </v>
      </c>
      <c r="W127" s="385" t="str">
        <f ca="1">IF(N(U127)&gt;0,VLOOKUP(U127,Hraci!$A$1:$I$1500,3,0)," ")</f>
        <v xml:space="preserve"> </v>
      </c>
      <c r="X127" s="385" t="str">
        <f ca="1">IF(N(U127)&gt;0,VLOOKUP(U127,Hraci!$A$1:$I$1500,5,0),IF(TYPE(INDIRECT(ADDRESS(ROW() + $A$9-7 + (ROW()-11)*4,3,1,1,"Internet")))&gt;1,INDIRECT(ADDRESS(ROW() + $A$9-7 + (ROW()-11)*4,3,1,1,"Internet"))," "))</f>
        <v xml:space="preserve"> </v>
      </c>
      <c r="Y127" s="319">
        <f ca="1">IF(N(U127)=0,9999,VLOOKUP(U127,Hraci!$A$1:$I$1500,8,0))</f>
        <v>9999</v>
      </c>
      <c r="Z127" s="386">
        <f ca="1">IF(N(U127)=0,0,VLOOKUP(U127,Hraci!$A$1:$I$1500,9,0))</f>
        <v>0</v>
      </c>
      <c r="AA127" s="383" t="str">
        <f t="shared" ca="1" si="31"/>
        <v/>
      </c>
      <c r="AB127" s="384" t="str">
        <f ca="1">IF(N(AA127)&gt;0,VLOOKUP(AA127,Hraci!$A$1:$I$1500,2,0)," ")</f>
        <v xml:space="preserve"> </v>
      </c>
      <c r="AC127" s="385" t="str">
        <f ca="1">IF(N(AA127)&gt;0,VLOOKUP(AA127,Hraci!$A$1:$I$1500,3,0)," ")</f>
        <v xml:space="preserve"> </v>
      </c>
      <c r="AD127" s="385" t="str">
        <f ca="1">IF(N(AA127)&gt;0,VLOOKUP(AA127,Hraci!$A$1:$I$1500,5,0)," ")</f>
        <v xml:space="preserve"> </v>
      </c>
      <c r="AE127" s="319">
        <f ca="1">IF(N(AA127)=0,9999,VLOOKUP(AA127,Hraci!$A$1:$I$1500,8,0))</f>
        <v>9999</v>
      </c>
      <c r="AF127" s="386">
        <f ca="1">IF(N(AA127)=0,0,VLOOKUP(AA127,Hraci!$A$1:$I$1500,9,0))</f>
        <v>0</v>
      </c>
      <c r="AG127" s="391"/>
      <c r="AH127" s="427">
        <f ca="1">IF(TYPE(VLOOKUP(H127,Centrum!$A$3:$E$130,5,0))&lt;4,VLOOKUP(H127,Centrum!$A$3:$E$130,5,0),0)</f>
        <v>0</v>
      </c>
      <c r="AI127" s="387" t="str">
        <f ca="1">IF(N($AH127)&gt;0,VLOOKUP($AH127,Body!$A$4:$F$259,5,0),"")</f>
        <v/>
      </c>
      <c r="AJ127" s="388" t="str">
        <f ca="1">IF(N($AH127)&gt;0,VLOOKUP($AH127,Body!$A$4:$F$259,6,0),"")</f>
        <v/>
      </c>
      <c r="AK127" s="387" t="str">
        <f ca="1">IF(N($AH127)&gt;0,VLOOKUP($AH127,Body!$A$4:$F$259,2,0),"")</f>
        <v/>
      </c>
      <c r="AL127" s="389" t="str">
        <f t="shared" ca="1" si="37"/>
        <v/>
      </c>
      <c r="AM127" s="390">
        <f t="shared" ca="1" si="33"/>
        <v>0</v>
      </c>
      <c r="AN127" s="319">
        <f ca="1">IF(OR(TYPE(I127)&gt;1,TYPE(MATCH(I127,I128:I$139,0))&gt;1),0,MATCH(I127,I128:I$139,0))+IF(OR(TYPE(I127)&gt;1,TYPE(MATCH(I127,O$11:O$139,0))&gt;1),0,MATCH(I127,O$11:O$139,0))+IF(OR(TYPE(I127)&gt;1,TYPE(MATCH(I127,U$11:U$139,0))&gt;1),0,MATCH(I127,U$11:U$139,0))+IF(OR(TYPE(I127)&gt;1,TYPE(MATCH(I127,AA$11:AA$139,0))&gt;1),0,MATCH(I127,AA$11:AA$139,0))</f>
        <v>0</v>
      </c>
      <c r="AO127" s="319">
        <f ca="1">IF(OR(TYPE(O127)&gt;1,TYPE(MATCH(O127,I$11:I$139,0))&gt;1),0,MATCH(O127,I$11:I$139,0))+IF(OR(TYPE(O127)&gt;1,TYPE(MATCH(O127,O128:O$139,0))&gt;1),0,MATCH(O127,O128:O$139,0))+IF(OR(TYPE(O127)&gt;1,TYPE(MATCH(O127,U$11:U$139,0))&gt;1),0,MATCH(O127,U$11:U$139,0))+IF(OR(TYPE(O127)&gt;1,TYPE(MATCH(O127,AA$11:AA$139,0))&gt;1),0,MATCH(O127,AA$11:AA$139,0))</f>
        <v>0</v>
      </c>
      <c r="AP127" s="319">
        <f ca="1">IF(OR(TYPE(U127)&gt;1,TYPE(MATCH(U127,I$11:I$139,0))&gt;1),0,MATCH(U127,I$11:I$139,0))+IF(OR(TYPE(U127)&gt;1,TYPE(MATCH(U127,O$11:O$139,0))&gt;1),0,MATCH(U127,O$11:O$139,0))+IF(OR(TYPE(U127)&gt;1,TYPE(MATCH(U127,U128:U$139,0))&gt;1),0,MATCH(U127,U128:U$139,0))+IF(OR(TYPE(U127)&gt;1,TYPE(MATCH(U127,AA$11:AA$139,0))&gt;1),0,MATCH(U127,AA$11:AA$139,0))</f>
        <v>0</v>
      </c>
      <c r="AQ127" s="319">
        <f ca="1">IF(OR(TYPE(AA127)&gt;1,TYPE(MATCH(AA127,I$11:I$139,0))&gt;1),0,MATCH(AA127,I$11:I$139,0))+IF(OR(TYPE(AA127)&gt;1,TYPE(MATCH(AA127,O$11:O$139,0))&gt;1),0,MATCH(AA127,O$11:O$139,0))+IF(OR(TYPE(AA127)&gt;1,TYPE(MATCH(AA127,U$11:U$139,0))&gt;1),0,MATCH(U127,U$11:U$139,0))+IF(OR(TYPE(AA127)&gt;1,TYPE(MATCH(AA127,AA128:AA$139,0))&gt;1),0,MATCH(AA127,AA128:AA$139,0))</f>
        <v>0</v>
      </c>
      <c r="AR127" s="319">
        <f t="shared" ca="1" si="36"/>
        <v>0</v>
      </c>
      <c r="AT127" s="318">
        <f t="shared" ca="1" si="34"/>
        <v>0</v>
      </c>
      <c r="AU127" s="318">
        <f ca="1">IF(AND(N(I127)&gt;0,TYPE(VLOOKUP(I127,Hraci!$A$5:$A$800,1,0))&gt;3),1,0) + IF(AND(N(O127)&gt;0,TYPE(VLOOKUP(O127,Hraci!$A$5:$A$800,1,0))&gt;3),1,0) + IF(AND(N(U127)&gt;0,TYPE(VLOOKUP(U127,Hraci!$A$5:$A$800,1,0))&gt;3),1,0)</f>
        <v>0</v>
      </c>
      <c r="BF127" s="319">
        <f t="shared" si="35"/>
        <v>117</v>
      </c>
    </row>
    <row r="128" spans="1:58" ht="12.9" x14ac:dyDescent="0.45">
      <c r="A128" s="302">
        <f t="shared" ca="1" si="20"/>
        <v>0</v>
      </c>
      <c r="B128" s="302">
        <f t="shared" ca="1" si="21"/>
        <v>0</v>
      </c>
      <c r="C128" s="302">
        <f t="shared" ca="1" si="22"/>
        <v>0</v>
      </c>
      <c r="D128" s="302">
        <f t="shared" ca="1" si="23"/>
        <v>99999</v>
      </c>
      <c r="E128" s="302">
        <f t="shared" ca="1" si="24"/>
        <v>9999</v>
      </c>
      <c r="F128" s="343" t="str">
        <f t="shared" ca="1" si="25"/>
        <v>00000000000000000000295347</v>
      </c>
      <c r="G128" s="381" t="b">
        <f t="shared" ca="1" si="26"/>
        <v>1</v>
      </c>
      <c r="H128" s="382">
        <f t="shared" si="27"/>
        <v>118</v>
      </c>
      <c r="I128" s="383" t="str">
        <f t="shared" ca="1" si="28"/>
        <v/>
      </c>
      <c r="J128" s="384" t="str">
        <f ca="1">IF(N(I128)&gt;0,VLOOKUP(I128,Hraci!$A$1:$I$1500,2,0),IF(TYPE(INDIRECT(ADDRESS(ROW() + $A$9-9 + (ROW()-11)*4,2,1,1,"Internet")))&gt;1,INDIRECT(ADDRESS(ROW() + $A$9-9 + (ROW()-11)*4,2,1,1,"Internet"))," "))</f>
        <v xml:space="preserve"> </v>
      </c>
      <c r="K128" s="385" t="str">
        <f ca="1">IF(N(I128)&gt;0,VLOOKUP(I128,Hraci!$A$1:$I$1500,3,0)," ")</f>
        <v xml:space="preserve"> </v>
      </c>
      <c r="L128" s="385" t="str">
        <f ca="1">IF(N(I128)&gt;0,VLOOKUP(I128,Hraci!$A$1:$I$1500,5,0),IF(TYPE(INDIRECT(ADDRESS(ROW() + $A$9-9 + (ROW()-11)*4,3,1,1,"Internet")))&gt;1,INDIRECT(ADDRESS(ROW() + $A$9-9 + (ROW()-11)*4,3,1,1,"Internet"))," "))</f>
        <v xml:space="preserve"> </v>
      </c>
      <c r="M128" s="319">
        <f ca="1">IF(N(I128)=0,9999,VLOOKUP(I128,Hraci!$A$1:$I$1500,8,0))</f>
        <v>9999</v>
      </c>
      <c r="N128" s="386">
        <f ca="1">IF(N(I128)=0,0,VLOOKUP(I128,Hraci!$A$1:$I$1500,9,0))</f>
        <v>0</v>
      </c>
      <c r="O128" s="383" t="str">
        <f t="shared" ca="1" si="29"/>
        <v/>
      </c>
      <c r="P128" s="384" t="str">
        <f ca="1">IF(N(O128)&gt;0,VLOOKUP(O128,Hraci!$A$1:$I$1500,2,0),IF(TYPE(INDIRECT(ADDRESS(ROW() + $A$9-8 + (ROW()-11)*4,2,1,1,"Internet")))&gt;1,INDIRECT(ADDRESS(ROW() + $A$9-8 + (ROW()-11)*4,2,1,1,"Internet"))," "))</f>
        <v xml:space="preserve"> </v>
      </c>
      <c r="Q128" s="385" t="str">
        <f ca="1">IF(N(O128)&gt;0,VLOOKUP(O128,Hraci!$A$1:$I$1500,3,0)," ")</f>
        <v xml:space="preserve"> </v>
      </c>
      <c r="R128" s="385" t="str">
        <f ca="1">IF(N(O128)&gt;0,VLOOKUP(O128,Hraci!$A$1:$I$1500,5,0),IF(TYPE(INDIRECT(ADDRESS(ROW() + $A$9-8 + (ROW()-11)*4,3,1,1,"Internet")))&gt;1,INDIRECT(ADDRESS(ROW() + $A$9-8 + (ROW()-11)*4,3,1,1,"Internet"))," "))</f>
        <v xml:space="preserve"> </v>
      </c>
      <c r="S128" s="319">
        <f ca="1">IF(N(O128)=0,9999,VLOOKUP(O128,Hraci!$A$1:$I$1500,8,0))</f>
        <v>9999</v>
      </c>
      <c r="T128" s="386">
        <f ca="1">IF(N(O128)=0,0,VLOOKUP(O128,Hraci!$A$1:$I$1500,9,0))</f>
        <v>0</v>
      </c>
      <c r="U128" s="383" t="str">
        <f t="shared" ca="1" si="30"/>
        <v/>
      </c>
      <c r="V128" s="384" t="str">
        <f ca="1">IF(N(U128)&gt;0,VLOOKUP(U128,Hraci!$A$1:$I$1500,2,0),IF(TYPE(INDIRECT(ADDRESS(ROW() + $A$9-7 + (ROW()-11)*4,2,1,1,"Internet")))&gt;1,INDIRECT(ADDRESS(ROW() + $A$9-7 + (ROW()-11)*4,2,1,1,"Internet"))," "))</f>
        <v xml:space="preserve"> </v>
      </c>
      <c r="W128" s="385" t="str">
        <f ca="1">IF(N(U128)&gt;0,VLOOKUP(U128,Hraci!$A$1:$I$1500,3,0)," ")</f>
        <v xml:space="preserve"> </v>
      </c>
      <c r="X128" s="385" t="str">
        <f ca="1">IF(N(U128)&gt;0,VLOOKUP(U128,Hraci!$A$1:$I$1500,5,0),IF(TYPE(INDIRECT(ADDRESS(ROW() + $A$9-7 + (ROW()-11)*4,3,1,1,"Internet")))&gt;1,INDIRECT(ADDRESS(ROW() + $A$9-7 + (ROW()-11)*4,3,1,1,"Internet"))," "))</f>
        <v xml:space="preserve"> </v>
      </c>
      <c r="Y128" s="319">
        <f ca="1">IF(N(U128)=0,9999,VLOOKUP(U128,Hraci!$A$1:$I$1500,8,0))</f>
        <v>9999</v>
      </c>
      <c r="Z128" s="386">
        <f ca="1">IF(N(U128)=0,0,VLOOKUP(U128,Hraci!$A$1:$I$1500,9,0))</f>
        <v>0</v>
      </c>
      <c r="AA128" s="383" t="str">
        <f t="shared" ca="1" si="31"/>
        <v/>
      </c>
      <c r="AB128" s="384" t="str">
        <f ca="1">IF(N(AA128)&gt;0,VLOOKUP(AA128,Hraci!$A$1:$I$1500,2,0)," ")</f>
        <v xml:space="preserve"> </v>
      </c>
      <c r="AC128" s="385" t="str">
        <f ca="1">IF(N(AA128)&gt;0,VLOOKUP(AA128,Hraci!$A$1:$I$1500,3,0)," ")</f>
        <v xml:space="preserve"> </v>
      </c>
      <c r="AD128" s="385" t="str">
        <f ca="1">IF(N(AA128)&gt;0,VLOOKUP(AA128,Hraci!$A$1:$I$1500,5,0)," ")</f>
        <v xml:space="preserve"> </v>
      </c>
      <c r="AE128" s="319">
        <f ca="1">IF(N(AA128)=0,9999,VLOOKUP(AA128,Hraci!$A$1:$I$1500,8,0))</f>
        <v>9999</v>
      </c>
      <c r="AF128" s="386">
        <f ca="1">IF(N(AA128)=0,0,VLOOKUP(AA128,Hraci!$A$1:$I$1500,9,0))</f>
        <v>0</v>
      </c>
      <c r="AG128" s="391"/>
      <c r="AH128" s="427">
        <f ca="1">IF(TYPE(VLOOKUP(H128,Centrum!$A$3:$E$130,5,0))&lt;4,VLOOKUP(H128,Centrum!$A$3:$E$130,5,0),0)</f>
        <v>0</v>
      </c>
      <c r="AI128" s="387" t="str">
        <f ca="1">IF(N($AH128)&gt;0,VLOOKUP($AH128,Body!$A$4:$F$259,5,0),"")</f>
        <v/>
      </c>
      <c r="AJ128" s="388" t="str">
        <f ca="1">IF(N($AH128)&gt;0,VLOOKUP($AH128,Body!$A$4:$F$259,6,0),"")</f>
        <v/>
      </c>
      <c r="AK128" s="387" t="str">
        <f ca="1">IF(N($AH128)&gt;0,VLOOKUP($AH128,Body!$A$4:$F$259,2,0),"")</f>
        <v/>
      </c>
      <c r="AL128" s="389" t="str">
        <f t="shared" ca="1" si="37"/>
        <v/>
      </c>
      <c r="AM128" s="390">
        <f t="shared" ca="1" si="33"/>
        <v>0</v>
      </c>
      <c r="AN128" s="319">
        <f ca="1">IF(OR(TYPE(I128)&gt;1,TYPE(MATCH(I128,I129:I$139,0))&gt;1),0,MATCH(I128,I129:I$139,0))+IF(OR(TYPE(I128)&gt;1,TYPE(MATCH(I128,O$11:O$139,0))&gt;1),0,MATCH(I128,O$11:O$139,0))+IF(OR(TYPE(I128)&gt;1,TYPE(MATCH(I128,U$11:U$139,0))&gt;1),0,MATCH(I128,U$11:U$139,0))+IF(OR(TYPE(I128)&gt;1,TYPE(MATCH(I128,AA$11:AA$139,0))&gt;1),0,MATCH(I128,AA$11:AA$139,0))</f>
        <v>0</v>
      </c>
      <c r="AO128" s="319">
        <f ca="1">IF(OR(TYPE(O128)&gt;1,TYPE(MATCH(O128,I$11:I$139,0))&gt;1),0,MATCH(O128,I$11:I$139,0))+IF(OR(TYPE(O128)&gt;1,TYPE(MATCH(O128,O129:O$139,0))&gt;1),0,MATCH(O128,O129:O$139,0))+IF(OR(TYPE(O128)&gt;1,TYPE(MATCH(O128,U$11:U$139,0))&gt;1),0,MATCH(O128,U$11:U$139,0))+IF(OR(TYPE(O128)&gt;1,TYPE(MATCH(O128,AA$11:AA$139,0))&gt;1),0,MATCH(O128,AA$11:AA$139,0))</f>
        <v>0</v>
      </c>
      <c r="AP128" s="319">
        <f ca="1">IF(OR(TYPE(U128)&gt;1,TYPE(MATCH(U128,I$11:I$139,0))&gt;1),0,MATCH(U128,I$11:I$139,0))+IF(OR(TYPE(U128)&gt;1,TYPE(MATCH(U128,O$11:O$139,0))&gt;1),0,MATCH(U128,O$11:O$139,0))+IF(OR(TYPE(U128)&gt;1,TYPE(MATCH(U128,U129:U$139,0))&gt;1),0,MATCH(U128,U129:U$139,0))+IF(OR(TYPE(U128)&gt;1,TYPE(MATCH(U128,AA$11:AA$139,0))&gt;1),0,MATCH(U128,AA$11:AA$139,0))</f>
        <v>0</v>
      </c>
      <c r="AQ128" s="319">
        <f ca="1">IF(OR(TYPE(AA128)&gt;1,TYPE(MATCH(AA128,I$11:I$139,0))&gt;1),0,MATCH(AA128,I$11:I$139,0))+IF(OR(TYPE(AA128)&gt;1,TYPE(MATCH(AA128,O$11:O$139,0))&gt;1),0,MATCH(AA128,O$11:O$139,0))+IF(OR(TYPE(AA128)&gt;1,TYPE(MATCH(AA128,U$11:U$139,0))&gt;1),0,MATCH(U128,U$11:U$139,0))+IF(OR(TYPE(AA128)&gt;1,TYPE(MATCH(AA128,AA129:AA$139,0))&gt;1),0,MATCH(AA128,AA129:AA$139,0))</f>
        <v>0</v>
      </c>
      <c r="AR128" s="319">
        <f t="shared" ca="1" si="36"/>
        <v>0</v>
      </c>
      <c r="AT128" s="318">
        <f t="shared" ca="1" si="34"/>
        <v>0</v>
      </c>
      <c r="AU128" s="318">
        <f ca="1">IF(AND(N(I128)&gt;0,TYPE(VLOOKUP(I128,Hraci!$A$5:$A$800,1,0))&gt;3),1,0) + IF(AND(N(O128)&gt;0,TYPE(VLOOKUP(O128,Hraci!$A$5:$A$800,1,0))&gt;3),1,0) + IF(AND(N(U128)&gt;0,TYPE(VLOOKUP(U128,Hraci!$A$5:$A$800,1,0))&gt;3),1,0)</f>
        <v>0</v>
      </c>
      <c r="BF128" s="319">
        <f t="shared" si="35"/>
        <v>118</v>
      </c>
    </row>
    <row r="129" spans="1:58" ht="12.9" x14ac:dyDescent="0.45">
      <c r="A129" s="302">
        <f t="shared" ca="1" si="20"/>
        <v>0</v>
      </c>
      <c r="B129" s="302">
        <f t="shared" ca="1" si="21"/>
        <v>0</v>
      </c>
      <c r="C129" s="302">
        <f t="shared" ca="1" si="22"/>
        <v>0</v>
      </c>
      <c r="D129" s="302">
        <f t="shared" ca="1" si="23"/>
        <v>99999</v>
      </c>
      <c r="E129" s="302">
        <f t="shared" ca="1" si="24"/>
        <v>9999</v>
      </c>
      <c r="F129" s="343" t="str">
        <f t="shared" ca="1" si="25"/>
        <v>00000000000000000000501756</v>
      </c>
      <c r="G129" s="381" t="b">
        <f t="shared" ca="1" si="26"/>
        <v>1</v>
      </c>
      <c r="H129" s="382">
        <f t="shared" si="27"/>
        <v>119</v>
      </c>
      <c r="I129" s="383" t="str">
        <f t="shared" ca="1" si="28"/>
        <v/>
      </c>
      <c r="J129" s="384" t="str">
        <f ca="1">IF(N(I129)&gt;0,VLOOKUP(I129,Hraci!$A$1:$I$1500,2,0),IF(TYPE(INDIRECT(ADDRESS(ROW() + $A$9-9 + (ROW()-11)*4,2,1,1,"Internet")))&gt;1,INDIRECT(ADDRESS(ROW() + $A$9-9 + (ROW()-11)*4,2,1,1,"Internet"))," "))</f>
        <v xml:space="preserve"> </v>
      </c>
      <c r="K129" s="385" t="str">
        <f ca="1">IF(N(I129)&gt;0,VLOOKUP(I129,Hraci!$A$1:$I$1500,3,0)," ")</f>
        <v xml:space="preserve"> </v>
      </c>
      <c r="L129" s="385" t="str">
        <f ca="1">IF(N(I129)&gt;0,VLOOKUP(I129,Hraci!$A$1:$I$1500,5,0),IF(TYPE(INDIRECT(ADDRESS(ROW() + $A$9-9 + (ROW()-11)*4,3,1,1,"Internet")))&gt;1,INDIRECT(ADDRESS(ROW() + $A$9-9 + (ROW()-11)*4,3,1,1,"Internet"))," "))</f>
        <v xml:space="preserve"> </v>
      </c>
      <c r="M129" s="319">
        <f ca="1">IF(N(I129)=0,9999,VLOOKUP(I129,Hraci!$A$1:$I$1500,8,0))</f>
        <v>9999</v>
      </c>
      <c r="N129" s="386">
        <f ca="1">IF(N(I129)=0,0,VLOOKUP(I129,Hraci!$A$1:$I$1500,9,0))</f>
        <v>0</v>
      </c>
      <c r="O129" s="383" t="str">
        <f t="shared" ca="1" si="29"/>
        <v/>
      </c>
      <c r="P129" s="384" t="str">
        <f ca="1">IF(N(O129)&gt;0,VLOOKUP(O129,Hraci!$A$1:$I$1500,2,0),IF(TYPE(INDIRECT(ADDRESS(ROW() + $A$9-8 + (ROW()-11)*4,2,1,1,"Internet")))&gt;1,INDIRECT(ADDRESS(ROW() + $A$9-8 + (ROW()-11)*4,2,1,1,"Internet"))," "))</f>
        <v xml:space="preserve"> </v>
      </c>
      <c r="Q129" s="385" t="str">
        <f ca="1">IF(N(O129)&gt;0,VLOOKUP(O129,Hraci!$A$1:$I$1500,3,0)," ")</f>
        <v xml:space="preserve"> </v>
      </c>
      <c r="R129" s="385" t="str">
        <f ca="1">IF(N(O129)&gt;0,VLOOKUP(O129,Hraci!$A$1:$I$1500,5,0),IF(TYPE(INDIRECT(ADDRESS(ROW() + $A$9-8 + (ROW()-11)*4,3,1,1,"Internet")))&gt;1,INDIRECT(ADDRESS(ROW() + $A$9-8 + (ROW()-11)*4,3,1,1,"Internet"))," "))</f>
        <v xml:space="preserve"> </v>
      </c>
      <c r="S129" s="319">
        <f ca="1">IF(N(O129)=0,9999,VLOOKUP(O129,Hraci!$A$1:$I$1500,8,0))</f>
        <v>9999</v>
      </c>
      <c r="T129" s="386">
        <f ca="1">IF(N(O129)=0,0,VLOOKUP(O129,Hraci!$A$1:$I$1500,9,0))</f>
        <v>0</v>
      </c>
      <c r="U129" s="383" t="str">
        <f t="shared" ca="1" si="30"/>
        <v/>
      </c>
      <c r="V129" s="384" t="str">
        <f ca="1">IF(N(U129)&gt;0,VLOOKUP(U129,Hraci!$A$1:$I$1500,2,0),IF(TYPE(INDIRECT(ADDRESS(ROW() + $A$9-7 + (ROW()-11)*4,2,1,1,"Internet")))&gt;1,INDIRECT(ADDRESS(ROW() + $A$9-7 + (ROW()-11)*4,2,1,1,"Internet"))," "))</f>
        <v xml:space="preserve"> </v>
      </c>
      <c r="W129" s="385" t="str">
        <f ca="1">IF(N(U129)&gt;0,VLOOKUP(U129,Hraci!$A$1:$I$1500,3,0)," ")</f>
        <v xml:space="preserve"> </v>
      </c>
      <c r="X129" s="385" t="str">
        <f ca="1">IF(N(U129)&gt;0,VLOOKUP(U129,Hraci!$A$1:$I$1500,5,0),IF(TYPE(INDIRECT(ADDRESS(ROW() + $A$9-7 + (ROW()-11)*4,3,1,1,"Internet")))&gt;1,INDIRECT(ADDRESS(ROW() + $A$9-7 + (ROW()-11)*4,3,1,1,"Internet"))," "))</f>
        <v xml:space="preserve"> </v>
      </c>
      <c r="Y129" s="319">
        <f ca="1">IF(N(U129)=0,9999,VLOOKUP(U129,Hraci!$A$1:$I$1500,8,0))</f>
        <v>9999</v>
      </c>
      <c r="Z129" s="386">
        <f ca="1">IF(N(U129)=0,0,VLOOKUP(U129,Hraci!$A$1:$I$1500,9,0))</f>
        <v>0</v>
      </c>
      <c r="AA129" s="383" t="str">
        <f t="shared" ca="1" si="31"/>
        <v/>
      </c>
      <c r="AB129" s="384" t="str">
        <f ca="1">IF(N(AA129)&gt;0,VLOOKUP(AA129,Hraci!$A$1:$I$1500,2,0)," ")</f>
        <v xml:space="preserve"> </v>
      </c>
      <c r="AC129" s="385" t="str">
        <f ca="1">IF(N(AA129)&gt;0,VLOOKUP(AA129,Hraci!$A$1:$I$1500,3,0)," ")</f>
        <v xml:space="preserve"> </v>
      </c>
      <c r="AD129" s="385" t="str">
        <f ca="1">IF(N(AA129)&gt;0,VLOOKUP(AA129,Hraci!$A$1:$I$1500,5,0)," ")</f>
        <v xml:space="preserve"> </v>
      </c>
      <c r="AE129" s="319">
        <f ca="1">IF(N(AA129)=0,9999,VLOOKUP(AA129,Hraci!$A$1:$I$1500,8,0))</f>
        <v>9999</v>
      </c>
      <c r="AF129" s="386">
        <f ca="1">IF(N(AA129)=0,0,VLOOKUP(AA129,Hraci!$A$1:$I$1500,9,0))</f>
        <v>0</v>
      </c>
      <c r="AG129" s="391"/>
      <c r="AH129" s="427">
        <f ca="1">IF(TYPE(VLOOKUP(H129,Centrum!$A$3:$E$130,5,0))&lt;4,VLOOKUP(H129,Centrum!$A$3:$E$130,5,0),0)</f>
        <v>0</v>
      </c>
      <c r="AI129" s="387" t="str">
        <f ca="1">IF(N($AH129)&gt;0,VLOOKUP($AH129,Body!$A$4:$F$259,5,0),"")</f>
        <v/>
      </c>
      <c r="AJ129" s="388" t="str">
        <f ca="1">IF(N($AH129)&gt;0,VLOOKUP($AH129,Body!$A$4:$F$259,6,0),"")</f>
        <v/>
      </c>
      <c r="AK129" s="387" t="str">
        <f ca="1">IF(N($AH129)&gt;0,VLOOKUP($AH129,Body!$A$4:$F$259,2,0),"")</f>
        <v/>
      </c>
      <c r="AL129" s="389" t="str">
        <f t="shared" ca="1" si="37"/>
        <v/>
      </c>
      <c r="AM129" s="390">
        <f t="shared" ca="1" si="33"/>
        <v>0</v>
      </c>
      <c r="AN129" s="319">
        <f ca="1">IF(OR(TYPE(I129)&gt;1,TYPE(MATCH(I129,I130:I$139,0))&gt;1),0,MATCH(I129,I130:I$139,0))+IF(OR(TYPE(I129)&gt;1,TYPE(MATCH(I129,O$11:O$139,0))&gt;1),0,MATCH(I129,O$11:O$139,0))+IF(OR(TYPE(I129)&gt;1,TYPE(MATCH(I129,U$11:U$139,0))&gt;1),0,MATCH(I129,U$11:U$139,0))+IF(OR(TYPE(I129)&gt;1,TYPE(MATCH(I129,AA$11:AA$139,0))&gt;1),0,MATCH(I129,AA$11:AA$139,0))</f>
        <v>0</v>
      </c>
      <c r="AO129" s="319">
        <f ca="1">IF(OR(TYPE(O129)&gt;1,TYPE(MATCH(O129,I$11:I$139,0))&gt;1),0,MATCH(O129,I$11:I$139,0))+IF(OR(TYPE(O129)&gt;1,TYPE(MATCH(O129,O130:O$139,0))&gt;1),0,MATCH(O129,O130:O$139,0))+IF(OR(TYPE(O129)&gt;1,TYPE(MATCH(O129,U$11:U$139,0))&gt;1),0,MATCH(O129,U$11:U$139,0))+IF(OR(TYPE(O129)&gt;1,TYPE(MATCH(O129,AA$11:AA$139,0))&gt;1),0,MATCH(O129,AA$11:AA$139,0))</f>
        <v>0</v>
      </c>
      <c r="AP129" s="319">
        <f ca="1">IF(OR(TYPE(U129)&gt;1,TYPE(MATCH(U129,I$11:I$139,0))&gt;1),0,MATCH(U129,I$11:I$139,0))+IF(OR(TYPE(U129)&gt;1,TYPE(MATCH(U129,O$11:O$139,0))&gt;1),0,MATCH(U129,O$11:O$139,0))+IF(OR(TYPE(U129)&gt;1,TYPE(MATCH(U129,U130:U$139,0))&gt;1),0,MATCH(U129,U130:U$139,0))+IF(OR(TYPE(U129)&gt;1,TYPE(MATCH(U129,AA$11:AA$139,0))&gt;1),0,MATCH(U129,AA$11:AA$139,0))</f>
        <v>0</v>
      </c>
      <c r="AQ129" s="319">
        <f ca="1">IF(OR(TYPE(AA129)&gt;1,TYPE(MATCH(AA129,I$11:I$139,0))&gt;1),0,MATCH(AA129,I$11:I$139,0))+IF(OR(TYPE(AA129)&gt;1,TYPE(MATCH(AA129,O$11:O$139,0))&gt;1),0,MATCH(AA129,O$11:O$139,0))+IF(OR(TYPE(AA129)&gt;1,TYPE(MATCH(AA129,U$11:U$139,0))&gt;1),0,MATCH(U129,U$11:U$139,0))+IF(OR(TYPE(AA129)&gt;1,TYPE(MATCH(AA129,AA130:AA$139,0))&gt;1),0,MATCH(AA129,AA130:AA$139,0))</f>
        <v>0</v>
      </c>
      <c r="AR129" s="319">
        <f t="shared" ca="1" si="36"/>
        <v>0</v>
      </c>
      <c r="AT129" s="318">
        <f t="shared" ca="1" si="34"/>
        <v>0</v>
      </c>
      <c r="AU129" s="318">
        <f ca="1">IF(AND(N(I129)&gt;0,TYPE(VLOOKUP(I129,Hraci!$A$5:$A$800,1,0))&gt;3),1,0) + IF(AND(N(O129)&gt;0,TYPE(VLOOKUP(O129,Hraci!$A$5:$A$800,1,0))&gt;3),1,0) + IF(AND(N(U129)&gt;0,TYPE(VLOOKUP(U129,Hraci!$A$5:$A$800,1,0))&gt;3),1,0)</f>
        <v>0</v>
      </c>
      <c r="BF129" s="319">
        <f t="shared" si="35"/>
        <v>119</v>
      </c>
    </row>
    <row r="130" spans="1:58" ht="12.9" x14ac:dyDescent="0.45">
      <c r="A130" s="302">
        <f t="shared" ca="1" si="20"/>
        <v>0</v>
      </c>
      <c r="B130" s="302">
        <f t="shared" ca="1" si="21"/>
        <v>0</v>
      </c>
      <c r="C130" s="302">
        <f t="shared" ca="1" si="22"/>
        <v>0</v>
      </c>
      <c r="D130" s="302">
        <f t="shared" ca="1" si="23"/>
        <v>99999</v>
      </c>
      <c r="E130" s="302">
        <f t="shared" ca="1" si="24"/>
        <v>9999</v>
      </c>
      <c r="F130" s="343" t="str">
        <f t="shared" ca="1" si="25"/>
        <v>00000000000000000000682916</v>
      </c>
      <c r="G130" s="381" t="b">
        <f t="shared" ca="1" si="26"/>
        <v>1</v>
      </c>
      <c r="H130" s="382">
        <f t="shared" si="27"/>
        <v>120</v>
      </c>
      <c r="I130" s="383" t="str">
        <f t="shared" ca="1" si="28"/>
        <v/>
      </c>
      <c r="J130" s="384" t="str">
        <f ca="1">IF(N(I130)&gt;0,VLOOKUP(I130,Hraci!$A$1:$I$1500,2,0),IF(TYPE(INDIRECT(ADDRESS(ROW() + $A$9-9 + (ROW()-11)*4,2,1,1,"Internet")))&gt;1,INDIRECT(ADDRESS(ROW() + $A$9-9 + (ROW()-11)*4,2,1,1,"Internet"))," "))</f>
        <v xml:space="preserve"> </v>
      </c>
      <c r="K130" s="385" t="str">
        <f ca="1">IF(N(I130)&gt;0,VLOOKUP(I130,Hraci!$A$1:$I$1500,3,0)," ")</f>
        <v xml:space="preserve"> </v>
      </c>
      <c r="L130" s="385" t="str">
        <f ca="1">IF(N(I130)&gt;0,VLOOKUP(I130,Hraci!$A$1:$I$1500,5,0),IF(TYPE(INDIRECT(ADDRESS(ROW() + $A$9-9 + (ROW()-11)*4,3,1,1,"Internet")))&gt;1,INDIRECT(ADDRESS(ROW() + $A$9-9 + (ROW()-11)*4,3,1,1,"Internet"))," "))</f>
        <v xml:space="preserve"> </v>
      </c>
      <c r="M130" s="319">
        <f ca="1">IF(N(I130)=0,9999,VLOOKUP(I130,Hraci!$A$1:$I$1500,8,0))</f>
        <v>9999</v>
      </c>
      <c r="N130" s="386">
        <f ca="1">IF(N(I130)=0,0,VLOOKUP(I130,Hraci!$A$1:$I$1500,9,0))</f>
        <v>0</v>
      </c>
      <c r="O130" s="383" t="str">
        <f t="shared" ca="1" si="29"/>
        <v/>
      </c>
      <c r="P130" s="384" t="str">
        <f ca="1">IF(N(O130)&gt;0,VLOOKUP(O130,Hraci!$A$1:$I$1500,2,0),IF(TYPE(INDIRECT(ADDRESS(ROW() + $A$9-8 + (ROW()-11)*4,2,1,1,"Internet")))&gt;1,INDIRECT(ADDRESS(ROW() + $A$9-8 + (ROW()-11)*4,2,1,1,"Internet"))," "))</f>
        <v xml:space="preserve"> </v>
      </c>
      <c r="Q130" s="385" t="str">
        <f ca="1">IF(N(O130)&gt;0,VLOOKUP(O130,Hraci!$A$1:$I$1500,3,0)," ")</f>
        <v xml:space="preserve"> </v>
      </c>
      <c r="R130" s="385" t="str">
        <f ca="1">IF(N(O130)&gt;0,VLOOKUP(O130,Hraci!$A$1:$I$1500,5,0),IF(TYPE(INDIRECT(ADDRESS(ROW() + $A$9-8 + (ROW()-11)*4,3,1,1,"Internet")))&gt;1,INDIRECT(ADDRESS(ROW() + $A$9-8 + (ROW()-11)*4,3,1,1,"Internet"))," "))</f>
        <v xml:space="preserve"> </v>
      </c>
      <c r="S130" s="319">
        <f ca="1">IF(N(O130)=0,9999,VLOOKUP(O130,Hraci!$A$1:$I$1500,8,0))</f>
        <v>9999</v>
      </c>
      <c r="T130" s="386">
        <f ca="1">IF(N(O130)=0,0,VLOOKUP(O130,Hraci!$A$1:$I$1500,9,0))</f>
        <v>0</v>
      </c>
      <c r="U130" s="383" t="str">
        <f t="shared" ca="1" si="30"/>
        <v/>
      </c>
      <c r="V130" s="384" t="str">
        <f ca="1">IF(N(U130)&gt;0,VLOOKUP(U130,Hraci!$A$1:$I$1500,2,0),IF(TYPE(INDIRECT(ADDRESS(ROW() + $A$9-7 + (ROW()-11)*4,2,1,1,"Internet")))&gt;1,INDIRECT(ADDRESS(ROW() + $A$9-7 + (ROW()-11)*4,2,1,1,"Internet"))," "))</f>
        <v xml:space="preserve"> </v>
      </c>
      <c r="W130" s="385" t="str">
        <f ca="1">IF(N(U130)&gt;0,VLOOKUP(U130,Hraci!$A$1:$I$1500,3,0)," ")</f>
        <v xml:space="preserve"> </v>
      </c>
      <c r="X130" s="385" t="str">
        <f ca="1">IF(N(U130)&gt;0,VLOOKUP(U130,Hraci!$A$1:$I$1500,5,0),IF(TYPE(INDIRECT(ADDRESS(ROW() + $A$9-7 + (ROW()-11)*4,3,1,1,"Internet")))&gt;1,INDIRECT(ADDRESS(ROW() + $A$9-7 + (ROW()-11)*4,3,1,1,"Internet"))," "))</f>
        <v xml:space="preserve"> </v>
      </c>
      <c r="Y130" s="319">
        <f ca="1">IF(N(U130)=0,9999,VLOOKUP(U130,Hraci!$A$1:$I$1500,8,0))</f>
        <v>9999</v>
      </c>
      <c r="Z130" s="386">
        <f ca="1">IF(N(U130)=0,0,VLOOKUP(U130,Hraci!$A$1:$I$1500,9,0))</f>
        <v>0</v>
      </c>
      <c r="AA130" s="383" t="str">
        <f t="shared" ca="1" si="31"/>
        <v/>
      </c>
      <c r="AB130" s="384" t="str">
        <f ca="1">IF(N(AA130)&gt;0,VLOOKUP(AA130,Hraci!$A$1:$I$1500,2,0)," ")</f>
        <v xml:space="preserve"> </v>
      </c>
      <c r="AC130" s="385" t="str">
        <f ca="1">IF(N(AA130)&gt;0,VLOOKUP(AA130,Hraci!$A$1:$I$1500,3,0)," ")</f>
        <v xml:space="preserve"> </v>
      </c>
      <c r="AD130" s="385" t="str">
        <f ca="1">IF(N(AA130)&gt;0,VLOOKUP(AA130,Hraci!$A$1:$I$1500,5,0)," ")</f>
        <v xml:space="preserve"> </v>
      </c>
      <c r="AE130" s="319">
        <f ca="1">IF(N(AA130)=0,9999,VLOOKUP(AA130,Hraci!$A$1:$I$1500,8,0))</f>
        <v>9999</v>
      </c>
      <c r="AF130" s="386">
        <f ca="1">IF(N(AA130)=0,0,VLOOKUP(AA130,Hraci!$A$1:$I$1500,9,0))</f>
        <v>0</v>
      </c>
      <c r="AG130" s="391"/>
      <c r="AH130" s="427">
        <f ca="1">IF(TYPE(VLOOKUP(H130,Centrum!$A$3:$E$130,5,0))&lt;4,VLOOKUP(H130,Centrum!$A$3:$E$130,5,0),0)</f>
        <v>0</v>
      </c>
      <c r="AI130" s="387" t="str">
        <f ca="1">IF(N($AH130)&gt;0,VLOOKUP($AH130,Body!$A$4:$F$259,5,0),"")</f>
        <v/>
      </c>
      <c r="AJ130" s="388" t="str">
        <f ca="1">IF(N($AH130)&gt;0,VLOOKUP($AH130,Body!$A$4:$F$259,6,0),"")</f>
        <v/>
      </c>
      <c r="AK130" s="387" t="str">
        <f ca="1">IF(N($AH130)&gt;0,VLOOKUP($AH130,Body!$A$4:$F$259,2,0),"")</f>
        <v/>
      </c>
      <c r="AL130" s="389" t="str">
        <f t="shared" ca="1" si="37"/>
        <v/>
      </c>
      <c r="AM130" s="390">
        <f t="shared" ca="1" si="33"/>
        <v>0</v>
      </c>
      <c r="AN130" s="319">
        <f ca="1">IF(OR(TYPE(I130)&gt;1,TYPE(MATCH(I130,I131:I$139,0))&gt;1),0,MATCH(I130,I131:I$139,0))+IF(OR(TYPE(I130)&gt;1,TYPE(MATCH(I130,O$11:O$139,0))&gt;1),0,MATCH(I130,O$11:O$139,0))+IF(OR(TYPE(I130)&gt;1,TYPE(MATCH(I130,U$11:U$139,0))&gt;1),0,MATCH(I130,U$11:U$139,0))+IF(OR(TYPE(I130)&gt;1,TYPE(MATCH(I130,AA$11:AA$139,0))&gt;1),0,MATCH(I130,AA$11:AA$139,0))</f>
        <v>0</v>
      </c>
      <c r="AO130" s="319">
        <f ca="1">IF(OR(TYPE(O130)&gt;1,TYPE(MATCH(O130,I$11:I$139,0))&gt;1),0,MATCH(O130,I$11:I$139,0))+IF(OR(TYPE(O130)&gt;1,TYPE(MATCH(O130,O131:O$139,0))&gt;1),0,MATCH(O130,O131:O$139,0))+IF(OR(TYPE(O130)&gt;1,TYPE(MATCH(O130,U$11:U$139,0))&gt;1),0,MATCH(O130,U$11:U$139,0))+IF(OR(TYPE(O130)&gt;1,TYPE(MATCH(O130,AA$11:AA$139,0))&gt;1),0,MATCH(O130,AA$11:AA$139,0))</f>
        <v>0</v>
      </c>
      <c r="AP130" s="319">
        <f ca="1">IF(OR(TYPE(U130)&gt;1,TYPE(MATCH(U130,I$11:I$139,0))&gt;1),0,MATCH(U130,I$11:I$139,0))+IF(OR(TYPE(U130)&gt;1,TYPE(MATCH(U130,O$11:O$139,0))&gt;1),0,MATCH(U130,O$11:O$139,0))+IF(OR(TYPE(U130)&gt;1,TYPE(MATCH(U130,U131:U$139,0))&gt;1),0,MATCH(U130,U131:U$139,0))+IF(OR(TYPE(U130)&gt;1,TYPE(MATCH(U130,AA$11:AA$139,0))&gt;1),0,MATCH(U130,AA$11:AA$139,0))</f>
        <v>0</v>
      </c>
      <c r="AQ130" s="319">
        <f ca="1">IF(OR(TYPE(AA130)&gt;1,TYPE(MATCH(AA130,I$11:I$139,0))&gt;1),0,MATCH(AA130,I$11:I$139,0))+IF(OR(TYPE(AA130)&gt;1,TYPE(MATCH(AA130,O$11:O$139,0))&gt;1),0,MATCH(AA130,O$11:O$139,0))+IF(OR(TYPE(AA130)&gt;1,TYPE(MATCH(AA130,U$11:U$139,0))&gt;1),0,MATCH(U130,U$11:U$139,0))+IF(OR(TYPE(AA130)&gt;1,TYPE(MATCH(AA130,AA131:AA$139,0))&gt;1),0,MATCH(AA130,AA131:AA$139,0))</f>
        <v>0</v>
      </c>
      <c r="AR130" s="319">
        <f t="shared" ca="1" si="36"/>
        <v>0</v>
      </c>
      <c r="AT130" s="318">
        <f t="shared" ca="1" si="34"/>
        <v>0</v>
      </c>
      <c r="AU130" s="318">
        <f ca="1">IF(AND(N(I130)&gt;0,TYPE(VLOOKUP(I130,Hraci!$A$5:$A$800,1,0))&gt;3),1,0) + IF(AND(N(O130)&gt;0,TYPE(VLOOKUP(O130,Hraci!$A$5:$A$800,1,0))&gt;3),1,0) + IF(AND(N(U130)&gt;0,TYPE(VLOOKUP(U130,Hraci!$A$5:$A$800,1,0))&gt;3),1,0)</f>
        <v>0</v>
      </c>
      <c r="BF130" s="319">
        <f t="shared" si="35"/>
        <v>120</v>
      </c>
    </row>
    <row r="131" spans="1:58" ht="12.9" x14ac:dyDescent="0.45">
      <c r="A131" s="302">
        <f t="shared" ca="1" si="20"/>
        <v>0</v>
      </c>
      <c r="B131" s="302">
        <f t="shared" ca="1" si="21"/>
        <v>0</v>
      </c>
      <c r="C131" s="302">
        <f t="shared" ca="1" si="22"/>
        <v>0</v>
      </c>
      <c r="D131" s="302">
        <f t="shared" ca="1" si="23"/>
        <v>99999</v>
      </c>
      <c r="E131" s="302">
        <f t="shared" ca="1" si="24"/>
        <v>9999</v>
      </c>
      <c r="F131" s="343" t="str">
        <f t="shared" ca="1" si="25"/>
        <v>00000000000000000000933775</v>
      </c>
      <c r="G131" s="381" t="b">
        <f t="shared" ca="1" si="26"/>
        <v>1</v>
      </c>
      <c r="H131" s="382">
        <f t="shared" si="27"/>
        <v>121</v>
      </c>
      <c r="I131" s="383" t="str">
        <f t="shared" ca="1" si="28"/>
        <v/>
      </c>
      <c r="J131" s="384" t="str">
        <f ca="1">IF(N(I131)&gt;0,VLOOKUP(I131,Hraci!$A$1:$I$1500,2,0),IF(TYPE(INDIRECT(ADDRESS(ROW() + $A$9-9 + (ROW()-11)*4,2,1,1,"Internet")))&gt;1,INDIRECT(ADDRESS(ROW() + $A$9-9 + (ROW()-11)*4,2,1,1,"Internet"))," "))</f>
        <v xml:space="preserve"> </v>
      </c>
      <c r="K131" s="385" t="str">
        <f ca="1">IF(N(I131)&gt;0,VLOOKUP(I131,Hraci!$A$1:$I$1500,3,0)," ")</f>
        <v xml:space="preserve"> </v>
      </c>
      <c r="L131" s="385" t="str">
        <f ca="1">IF(N(I131)&gt;0,VLOOKUP(I131,Hraci!$A$1:$I$1500,5,0),IF(TYPE(INDIRECT(ADDRESS(ROW() + $A$9-9 + (ROW()-11)*4,3,1,1,"Internet")))&gt;1,INDIRECT(ADDRESS(ROW() + $A$9-9 + (ROW()-11)*4,3,1,1,"Internet"))," "))</f>
        <v xml:space="preserve"> </v>
      </c>
      <c r="M131" s="319">
        <f ca="1">IF(N(I131)=0,9999,VLOOKUP(I131,Hraci!$A$1:$I$1500,8,0))</f>
        <v>9999</v>
      </c>
      <c r="N131" s="386">
        <f ca="1">IF(N(I131)=0,0,VLOOKUP(I131,Hraci!$A$1:$I$1500,9,0))</f>
        <v>0</v>
      </c>
      <c r="O131" s="383" t="str">
        <f t="shared" ca="1" si="29"/>
        <v/>
      </c>
      <c r="P131" s="384" t="str">
        <f ca="1">IF(N(O131)&gt;0,VLOOKUP(O131,Hraci!$A$1:$I$1500,2,0),IF(TYPE(INDIRECT(ADDRESS(ROW() + $A$9-8 + (ROW()-11)*4,2,1,1,"Internet")))&gt;1,INDIRECT(ADDRESS(ROW() + $A$9-8 + (ROW()-11)*4,2,1,1,"Internet"))," "))</f>
        <v xml:space="preserve"> </v>
      </c>
      <c r="Q131" s="385" t="str">
        <f ca="1">IF(N(O131)&gt;0,VLOOKUP(O131,Hraci!$A$1:$I$1500,3,0)," ")</f>
        <v xml:space="preserve"> </v>
      </c>
      <c r="R131" s="385" t="str">
        <f ca="1">IF(N(O131)&gt;0,VLOOKUP(O131,Hraci!$A$1:$I$1500,5,0),IF(TYPE(INDIRECT(ADDRESS(ROW() + $A$9-8 + (ROW()-11)*4,3,1,1,"Internet")))&gt;1,INDIRECT(ADDRESS(ROW() + $A$9-8 + (ROW()-11)*4,3,1,1,"Internet"))," "))</f>
        <v xml:space="preserve"> </v>
      </c>
      <c r="S131" s="319">
        <f ca="1">IF(N(O131)=0,9999,VLOOKUP(O131,Hraci!$A$1:$I$1500,8,0))</f>
        <v>9999</v>
      </c>
      <c r="T131" s="386">
        <f ca="1">IF(N(O131)=0,0,VLOOKUP(O131,Hraci!$A$1:$I$1500,9,0))</f>
        <v>0</v>
      </c>
      <c r="U131" s="383" t="str">
        <f t="shared" ca="1" si="30"/>
        <v/>
      </c>
      <c r="V131" s="384" t="str">
        <f ca="1">IF(N(U131)&gt;0,VLOOKUP(U131,Hraci!$A$1:$I$1500,2,0),IF(TYPE(INDIRECT(ADDRESS(ROW() + $A$9-7 + (ROW()-11)*4,2,1,1,"Internet")))&gt;1,INDIRECT(ADDRESS(ROW() + $A$9-7 + (ROW()-11)*4,2,1,1,"Internet"))," "))</f>
        <v xml:space="preserve"> </v>
      </c>
      <c r="W131" s="385" t="str">
        <f ca="1">IF(N(U131)&gt;0,VLOOKUP(U131,Hraci!$A$1:$I$1500,3,0)," ")</f>
        <v xml:space="preserve"> </v>
      </c>
      <c r="X131" s="385" t="str">
        <f ca="1">IF(N(U131)&gt;0,VLOOKUP(U131,Hraci!$A$1:$I$1500,5,0),IF(TYPE(INDIRECT(ADDRESS(ROW() + $A$9-7 + (ROW()-11)*4,3,1,1,"Internet")))&gt;1,INDIRECT(ADDRESS(ROW() + $A$9-7 + (ROW()-11)*4,3,1,1,"Internet"))," "))</f>
        <v xml:space="preserve"> </v>
      </c>
      <c r="Y131" s="319">
        <f ca="1">IF(N(U131)=0,9999,VLOOKUP(U131,Hraci!$A$1:$I$1500,8,0))</f>
        <v>9999</v>
      </c>
      <c r="Z131" s="386">
        <f ca="1">IF(N(U131)=0,0,VLOOKUP(U131,Hraci!$A$1:$I$1500,9,0))</f>
        <v>0</v>
      </c>
      <c r="AA131" s="383" t="str">
        <f t="shared" ca="1" si="31"/>
        <v/>
      </c>
      <c r="AB131" s="384" t="str">
        <f ca="1">IF(N(AA131)&gt;0,VLOOKUP(AA131,Hraci!$A$1:$I$1500,2,0)," ")</f>
        <v xml:space="preserve"> </v>
      </c>
      <c r="AC131" s="385" t="str">
        <f ca="1">IF(N(AA131)&gt;0,VLOOKUP(AA131,Hraci!$A$1:$I$1500,3,0)," ")</f>
        <v xml:space="preserve"> </v>
      </c>
      <c r="AD131" s="385" t="str">
        <f ca="1">IF(N(AA131)&gt;0,VLOOKUP(AA131,Hraci!$A$1:$I$1500,5,0)," ")</f>
        <v xml:space="preserve"> </v>
      </c>
      <c r="AE131" s="319">
        <f ca="1">IF(N(AA131)=0,9999,VLOOKUP(AA131,Hraci!$A$1:$I$1500,8,0))</f>
        <v>9999</v>
      </c>
      <c r="AF131" s="386">
        <f ca="1">IF(N(AA131)=0,0,VLOOKUP(AA131,Hraci!$A$1:$I$1500,9,0))</f>
        <v>0</v>
      </c>
      <c r="AG131" s="391"/>
      <c r="AH131" s="427">
        <f ca="1">IF(TYPE(VLOOKUP(H131,Centrum!$A$3:$E$130,5,0))&lt;4,VLOOKUP(H131,Centrum!$A$3:$E$130,5,0),0)</f>
        <v>0</v>
      </c>
      <c r="AI131" s="387" t="str">
        <f ca="1">IF(N($AH131)&gt;0,VLOOKUP($AH131,Body!$A$4:$F$259,5,0),"")</f>
        <v/>
      </c>
      <c r="AJ131" s="388" t="str">
        <f ca="1">IF(N($AH131)&gt;0,VLOOKUP($AH131,Body!$A$4:$F$259,6,0),"")</f>
        <v/>
      </c>
      <c r="AK131" s="387" t="str">
        <f ca="1">IF(N($AH131)&gt;0,VLOOKUP($AH131,Body!$A$4:$F$259,2,0),"")</f>
        <v/>
      </c>
      <c r="AL131" s="389" t="str">
        <f t="shared" ca="1" si="37"/>
        <v/>
      </c>
      <c r="AM131" s="390">
        <f t="shared" ca="1" si="33"/>
        <v>0</v>
      </c>
      <c r="AN131" s="319">
        <f ca="1">IF(OR(TYPE(I131)&gt;1,TYPE(MATCH(I131,I132:I$139,0))&gt;1),0,MATCH(I131,I132:I$139,0))+IF(OR(TYPE(I131)&gt;1,TYPE(MATCH(I131,O$11:O$139,0))&gt;1),0,MATCH(I131,O$11:O$139,0))+IF(OR(TYPE(I131)&gt;1,TYPE(MATCH(I131,U$11:U$139,0))&gt;1),0,MATCH(I131,U$11:U$139,0))+IF(OR(TYPE(I131)&gt;1,TYPE(MATCH(I131,AA$11:AA$139,0))&gt;1),0,MATCH(I131,AA$11:AA$139,0))</f>
        <v>0</v>
      </c>
      <c r="AO131" s="319">
        <f ca="1">IF(OR(TYPE(O131)&gt;1,TYPE(MATCH(O131,I$11:I$139,0))&gt;1),0,MATCH(O131,I$11:I$139,0))+IF(OR(TYPE(O131)&gt;1,TYPE(MATCH(O131,O132:O$139,0))&gt;1),0,MATCH(O131,O132:O$139,0))+IF(OR(TYPE(O131)&gt;1,TYPE(MATCH(O131,U$11:U$139,0))&gt;1),0,MATCH(O131,U$11:U$139,0))+IF(OR(TYPE(O131)&gt;1,TYPE(MATCH(O131,AA$11:AA$139,0))&gt;1),0,MATCH(O131,AA$11:AA$139,0))</f>
        <v>0</v>
      </c>
      <c r="AP131" s="319">
        <f ca="1">IF(OR(TYPE(U131)&gt;1,TYPE(MATCH(U131,I$11:I$139,0))&gt;1),0,MATCH(U131,I$11:I$139,0))+IF(OR(TYPE(U131)&gt;1,TYPE(MATCH(U131,O$11:O$139,0))&gt;1),0,MATCH(U131,O$11:O$139,0))+IF(OR(TYPE(U131)&gt;1,TYPE(MATCH(U131,U132:U$139,0))&gt;1),0,MATCH(U131,U132:U$139,0))+IF(OR(TYPE(U131)&gt;1,TYPE(MATCH(U131,AA$11:AA$139,0))&gt;1),0,MATCH(U131,AA$11:AA$139,0))</f>
        <v>0</v>
      </c>
      <c r="AQ131" s="319">
        <f ca="1">IF(OR(TYPE(AA131)&gt;1,TYPE(MATCH(AA131,I$11:I$139,0))&gt;1),0,MATCH(AA131,I$11:I$139,0))+IF(OR(TYPE(AA131)&gt;1,TYPE(MATCH(AA131,O$11:O$139,0))&gt;1),0,MATCH(AA131,O$11:O$139,0))+IF(OR(TYPE(AA131)&gt;1,TYPE(MATCH(AA131,U$11:U$139,0))&gt;1),0,MATCH(U131,U$11:U$139,0))+IF(OR(TYPE(AA131)&gt;1,TYPE(MATCH(AA131,AA132:AA$139,0))&gt;1),0,MATCH(AA131,AA132:AA$139,0))</f>
        <v>0</v>
      </c>
      <c r="AR131" s="319">
        <f t="shared" ca="1" si="36"/>
        <v>0</v>
      </c>
      <c r="AT131" s="318">
        <f t="shared" ca="1" si="34"/>
        <v>0</v>
      </c>
      <c r="AU131" s="318">
        <f ca="1">IF(AND(N(I131)&gt;0,TYPE(VLOOKUP(I131,Hraci!$A$5:$A$800,1,0))&gt;3),1,0) + IF(AND(N(O131)&gt;0,TYPE(VLOOKUP(O131,Hraci!$A$5:$A$800,1,0))&gt;3),1,0) + IF(AND(N(U131)&gt;0,TYPE(VLOOKUP(U131,Hraci!$A$5:$A$800,1,0))&gt;3),1,0)</f>
        <v>0</v>
      </c>
      <c r="BF131" s="319">
        <f t="shared" si="35"/>
        <v>121</v>
      </c>
    </row>
    <row r="132" spans="1:58" ht="12.9" x14ac:dyDescent="0.45">
      <c r="A132" s="302">
        <f t="shared" ca="1" si="20"/>
        <v>0</v>
      </c>
      <c r="B132" s="302">
        <f t="shared" ca="1" si="21"/>
        <v>0</v>
      </c>
      <c r="C132" s="302">
        <f t="shared" ca="1" si="22"/>
        <v>0</v>
      </c>
      <c r="D132" s="302">
        <f t="shared" ca="1" si="23"/>
        <v>99999</v>
      </c>
      <c r="E132" s="302">
        <f t="shared" ca="1" si="24"/>
        <v>9999</v>
      </c>
      <c r="F132" s="343" t="str">
        <f t="shared" ca="1" si="25"/>
        <v>00000000000000000000600313</v>
      </c>
      <c r="G132" s="381" t="b">
        <f t="shared" ca="1" si="26"/>
        <v>1</v>
      </c>
      <c r="H132" s="382">
        <f t="shared" si="27"/>
        <v>122</v>
      </c>
      <c r="I132" s="383" t="str">
        <f t="shared" ca="1" si="28"/>
        <v/>
      </c>
      <c r="J132" s="384" t="str">
        <f ca="1">IF(N(I132)&gt;0,VLOOKUP(I132,Hraci!$A$1:$I$1500,2,0),IF(TYPE(INDIRECT(ADDRESS(ROW() + $A$9-9 + (ROW()-11)*4,2,1,1,"Internet")))&gt;1,INDIRECT(ADDRESS(ROW() + $A$9-9 + (ROW()-11)*4,2,1,1,"Internet"))," "))</f>
        <v xml:space="preserve"> </v>
      </c>
      <c r="K132" s="385" t="str">
        <f ca="1">IF(N(I132)&gt;0,VLOOKUP(I132,Hraci!$A$1:$I$1500,3,0)," ")</f>
        <v xml:space="preserve"> </v>
      </c>
      <c r="L132" s="385" t="str">
        <f ca="1">IF(N(I132)&gt;0,VLOOKUP(I132,Hraci!$A$1:$I$1500,5,0),IF(TYPE(INDIRECT(ADDRESS(ROW() + $A$9-9 + (ROW()-11)*4,3,1,1,"Internet")))&gt;1,INDIRECT(ADDRESS(ROW() + $A$9-9 + (ROW()-11)*4,3,1,1,"Internet"))," "))</f>
        <v xml:space="preserve"> </v>
      </c>
      <c r="M132" s="319">
        <f ca="1">IF(N(I132)=0,9999,VLOOKUP(I132,Hraci!$A$1:$I$1500,8,0))</f>
        <v>9999</v>
      </c>
      <c r="N132" s="386">
        <f ca="1">IF(N(I132)=0,0,VLOOKUP(I132,Hraci!$A$1:$I$1500,9,0))</f>
        <v>0</v>
      </c>
      <c r="O132" s="383" t="str">
        <f t="shared" ca="1" si="29"/>
        <v/>
      </c>
      <c r="P132" s="384" t="str">
        <f ca="1">IF(N(O132)&gt;0,VLOOKUP(O132,Hraci!$A$1:$I$1500,2,0),IF(TYPE(INDIRECT(ADDRESS(ROW() + $A$9-8 + (ROW()-11)*4,2,1,1,"Internet")))&gt;1,INDIRECT(ADDRESS(ROW() + $A$9-8 + (ROW()-11)*4,2,1,1,"Internet"))," "))</f>
        <v xml:space="preserve"> </v>
      </c>
      <c r="Q132" s="385" t="str">
        <f ca="1">IF(N(O132)&gt;0,VLOOKUP(O132,Hraci!$A$1:$I$1500,3,0)," ")</f>
        <v xml:space="preserve"> </v>
      </c>
      <c r="R132" s="385" t="str">
        <f ca="1">IF(N(O132)&gt;0,VLOOKUP(O132,Hraci!$A$1:$I$1500,5,0),IF(TYPE(INDIRECT(ADDRESS(ROW() + $A$9-8 + (ROW()-11)*4,3,1,1,"Internet")))&gt;1,INDIRECT(ADDRESS(ROW() + $A$9-8 + (ROW()-11)*4,3,1,1,"Internet"))," "))</f>
        <v xml:space="preserve"> </v>
      </c>
      <c r="S132" s="319">
        <f ca="1">IF(N(O132)=0,9999,VLOOKUP(O132,Hraci!$A$1:$I$1500,8,0))</f>
        <v>9999</v>
      </c>
      <c r="T132" s="386">
        <f ca="1">IF(N(O132)=0,0,VLOOKUP(O132,Hraci!$A$1:$I$1500,9,0))</f>
        <v>0</v>
      </c>
      <c r="U132" s="383" t="str">
        <f t="shared" ca="1" si="30"/>
        <v/>
      </c>
      <c r="V132" s="384" t="str">
        <f ca="1">IF(N(U132)&gt;0,VLOOKUP(U132,Hraci!$A$1:$I$1500,2,0),IF(TYPE(INDIRECT(ADDRESS(ROW() + $A$9-7 + (ROW()-11)*4,2,1,1,"Internet")))&gt;1,INDIRECT(ADDRESS(ROW() + $A$9-7 + (ROW()-11)*4,2,1,1,"Internet"))," "))</f>
        <v xml:space="preserve"> </v>
      </c>
      <c r="W132" s="385" t="str">
        <f ca="1">IF(N(U132)&gt;0,VLOOKUP(U132,Hraci!$A$1:$I$1500,3,0)," ")</f>
        <v xml:space="preserve"> </v>
      </c>
      <c r="X132" s="385" t="str">
        <f ca="1">IF(N(U132)&gt;0,VLOOKUP(U132,Hraci!$A$1:$I$1500,5,0),IF(TYPE(INDIRECT(ADDRESS(ROW() + $A$9-7 + (ROW()-11)*4,3,1,1,"Internet")))&gt;1,INDIRECT(ADDRESS(ROW() + $A$9-7 + (ROW()-11)*4,3,1,1,"Internet"))," "))</f>
        <v xml:space="preserve"> </v>
      </c>
      <c r="Y132" s="319">
        <f ca="1">IF(N(U132)=0,9999,VLOOKUP(U132,Hraci!$A$1:$I$1500,8,0))</f>
        <v>9999</v>
      </c>
      <c r="Z132" s="386">
        <f ca="1">IF(N(U132)=0,0,VLOOKUP(U132,Hraci!$A$1:$I$1500,9,0))</f>
        <v>0</v>
      </c>
      <c r="AA132" s="383" t="str">
        <f t="shared" ca="1" si="31"/>
        <v/>
      </c>
      <c r="AB132" s="384" t="str">
        <f ca="1">IF(N(AA132)&gt;0,VLOOKUP(AA132,Hraci!$A$1:$I$1500,2,0)," ")</f>
        <v xml:space="preserve"> </v>
      </c>
      <c r="AC132" s="385" t="str">
        <f ca="1">IF(N(AA132)&gt;0,VLOOKUP(AA132,Hraci!$A$1:$I$1500,3,0)," ")</f>
        <v xml:space="preserve"> </v>
      </c>
      <c r="AD132" s="385" t="str">
        <f ca="1">IF(N(AA132)&gt;0,VLOOKUP(AA132,Hraci!$A$1:$I$1500,5,0)," ")</f>
        <v xml:space="preserve"> </v>
      </c>
      <c r="AE132" s="319">
        <f ca="1">IF(N(AA132)=0,9999,VLOOKUP(AA132,Hraci!$A$1:$I$1500,8,0))</f>
        <v>9999</v>
      </c>
      <c r="AF132" s="386">
        <f ca="1">IF(N(AA132)=0,0,VLOOKUP(AA132,Hraci!$A$1:$I$1500,9,0))</f>
        <v>0</v>
      </c>
      <c r="AG132" s="391"/>
      <c r="AH132" s="427">
        <f ca="1">IF(TYPE(VLOOKUP(H132,Centrum!$A$3:$E$130,5,0))&lt;4,VLOOKUP(H132,Centrum!$A$3:$E$130,5,0),0)</f>
        <v>0</v>
      </c>
      <c r="AI132" s="387" t="str">
        <f ca="1">IF(N($AH132)&gt;0,VLOOKUP($AH132,Body!$A$4:$F$259,5,0),"")</f>
        <v/>
      </c>
      <c r="AJ132" s="388" t="str">
        <f ca="1">IF(N($AH132)&gt;0,VLOOKUP($AH132,Body!$A$4:$F$259,6,0),"")</f>
        <v/>
      </c>
      <c r="AK132" s="387" t="str">
        <f ca="1">IF(N($AH132)&gt;0,VLOOKUP($AH132,Body!$A$4:$F$259,2,0),"")</f>
        <v/>
      </c>
      <c r="AL132" s="389" t="str">
        <f t="shared" ca="1" si="37"/>
        <v/>
      </c>
      <c r="AM132" s="390">
        <f t="shared" ca="1" si="33"/>
        <v>0</v>
      </c>
      <c r="AN132" s="319">
        <f ca="1">IF(OR(TYPE(I132)&gt;1,TYPE(MATCH(I132,I133:I$139,0))&gt;1),0,MATCH(I132,I133:I$139,0))+IF(OR(TYPE(I132)&gt;1,TYPE(MATCH(I132,O$11:O$139,0))&gt;1),0,MATCH(I132,O$11:O$139,0))+IF(OR(TYPE(I132)&gt;1,TYPE(MATCH(I132,U$11:U$139,0))&gt;1),0,MATCH(I132,U$11:U$139,0))+IF(OR(TYPE(I132)&gt;1,TYPE(MATCH(I132,AA$11:AA$139,0))&gt;1),0,MATCH(I132,AA$11:AA$139,0))</f>
        <v>0</v>
      </c>
      <c r="AO132" s="319">
        <f ca="1">IF(OR(TYPE(O132)&gt;1,TYPE(MATCH(O132,I$11:I$139,0))&gt;1),0,MATCH(O132,I$11:I$139,0))+IF(OR(TYPE(O132)&gt;1,TYPE(MATCH(O132,O133:O$139,0))&gt;1),0,MATCH(O132,O133:O$139,0))+IF(OR(TYPE(O132)&gt;1,TYPE(MATCH(O132,U$11:U$139,0))&gt;1),0,MATCH(O132,U$11:U$139,0))+IF(OR(TYPE(O132)&gt;1,TYPE(MATCH(O132,AA$11:AA$139,0))&gt;1),0,MATCH(O132,AA$11:AA$139,0))</f>
        <v>0</v>
      </c>
      <c r="AP132" s="319">
        <f ca="1">IF(OR(TYPE(U132)&gt;1,TYPE(MATCH(U132,I$11:I$139,0))&gt;1),0,MATCH(U132,I$11:I$139,0))+IF(OR(TYPE(U132)&gt;1,TYPE(MATCH(U132,O$11:O$139,0))&gt;1),0,MATCH(U132,O$11:O$139,0))+IF(OR(TYPE(U132)&gt;1,TYPE(MATCH(U132,U133:U$139,0))&gt;1),0,MATCH(U132,U133:U$139,0))+IF(OR(TYPE(U132)&gt;1,TYPE(MATCH(U132,AA$11:AA$139,0))&gt;1),0,MATCH(U132,AA$11:AA$139,0))</f>
        <v>0</v>
      </c>
      <c r="AQ132" s="319">
        <f ca="1">IF(OR(TYPE(AA132)&gt;1,TYPE(MATCH(AA132,I$11:I$139,0))&gt;1),0,MATCH(AA132,I$11:I$139,0))+IF(OR(TYPE(AA132)&gt;1,TYPE(MATCH(AA132,O$11:O$139,0))&gt;1),0,MATCH(AA132,O$11:O$139,0))+IF(OR(TYPE(AA132)&gt;1,TYPE(MATCH(AA132,U$11:U$139,0))&gt;1),0,MATCH(U132,U$11:U$139,0))+IF(OR(TYPE(AA132)&gt;1,TYPE(MATCH(AA132,AA133:AA$139,0))&gt;1),0,MATCH(AA132,AA133:AA$139,0))</f>
        <v>0</v>
      </c>
      <c r="AR132" s="319">
        <f t="shared" ca="1" si="36"/>
        <v>0</v>
      </c>
      <c r="AT132" s="318">
        <f t="shared" ca="1" si="34"/>
        <v>0</v>
      </c>
      <c r="AU132" s="318">
        <f ca="1">IF(AND(N(I132)&gt;0,TYPE(VLOOKUP(I132,Hraci!$A$5:$A$800,1,0))&gt;3),1,0) + IF(AND(N(O132)&gt;0,TYPE(VLOOKUP(O132,Hraci!$A$5:$A$800,1,0))&gt;3),1,0) + IF(AND(N(U132)&gt;0,TYPE(VLOOKUP(U132,Hraci!$A$5:$A$800,1,0))&gt;3),1,0)</f>
        <v>0</v>
      </c>
      <c r="BF132" s="319">
        <f t="shared" si="35"/>
        <v>122</v>
      </c>
    </row>
    <row r="133" spans="1:58" ht="12.9" x14ac:dyDescent="0.45">
      <c r="A133" s="302">
        <f t="shared" ca="1" si="20"/>
        <v>0</v>
      </c>
      <c r="B133" s="302">
        <f t="shared" ca="1" si="21"/>
        <v>0</v>
      </c>
      <c r="C133" s="302">
        <f t="shared" ca="1" si="22"/>
        <v>0</v>
      </c>
      <c r="D133" s="302">
        <f t="shared" ca="1" si="23"/>
        <v>99999</v>
      </c>
      <c r="E133" s="302">
        <f t="shared" ca="1" si="24"/>
        <v>9999</v>
      </c>
      <c r="F133" s="343" t="str">
        <f t="shared" ca="1" si="25"/>
        <v>00000000000000000000971695</v>
      </c>
      <c r="G133" s="381" t="b">
        <f t="shared" ca="1" si="26"/>
        <v>1</v>
      </c>
      <c r="H133" s="382">
        <f t="shared" si="27"/>
        <v>123</v>
      </c>
      <c r="I133" s="383" t="str">
        <f t="shared" ca="1" si="28"/>
        <v/>
      </c>
      <c r="J133" s="384" t="str">
        <f ca="1">IF(N(I133)&gt;0,VLOOKUP(I133,Hraci!$A$1:$I$1500,2,0),IF(TYPE(INDIRECT(ADDRESS(ROW() + $A$9-9 + (ROW()-11)*4,2,1,1,"Internet")))&gt;1,INDIRECT(ADDRESS(ROW() + $A$9-9 + (ROW()-11)*4,2,1,1,"Internet"))," "))</f>
        <v xml:space="preserve"> </v>
      </c>
      <c r="K133" s="385" t="str">
        <f ca="1">IF(N(I133)&gt;0,VLOOKUP(I133,Hraci!$A$1:$I$1500,3,0)," ")</f>
        <v xml:space="preserve"> </v>
      </c>
      <c r="L133" s="385" t="str">
        <f ca="1">IF(N(I133)&gt;0,VLOOKUP(I133,Hraci!$A$1:$I$1500,5,0),IF(TYPE(INDIRECT(ADDRESS(ROW() + $A$9-9 + (ROW()-11)*4,3,1,1,"Internet")))&gt;1,INDIRECT(ADDRESS(ROW() + $A$9-9 + (ROW()-11)*4,3,1,1,"Internet"))," "))</f>
        <v xml:space="preserve"> </v>
      </c>
      <c r="M133" s="319">
        <f ca="1">IF(N(I133)=0,9999,VLOOKUP(I133,Hraci!$A$1:$I$1500,8,0))</f>
        <v>9999</v>
      </c>
      <c r="N133" s="386">
        <f ca="1">IF(N(I133)=0,0,VLOOKUP(I133,Hraci!$A$1:$I$1500,9,0))</f>
        <v>0</v>
      </c>
      <c r="O133" s="383" t="str">
        <f t="shared" ca="1" si="29"/>
        <v/>
      </c>
      <c r="P133" s="384" t="str">
        <f ca="1">IF(N(O133)&gt;0,VLOOKUP(O133,Hraci!$A$1:$I$1500,2,0),IF(TYPE(INDIRECT(ADDRESS(ROW() + $A$9-8 + (ROW()-11)*4,2,1,1,"Internet")))&gt;1,INDIRECT(ADDRESS(ROW() + $A$9-8 + (ROW()-11)*4,2,1,1,"Internet"))," "))</f>
        <v xml:space="preserve"> </v>
      </c>
      <c r="Q133" s="385" t="str">
        <f ca="1">IF(N(O133)&gt;0,VLOOKUP(O133,Hraci!$A$1:$I$1500,3,0)," ")</f>
        <v xml:space="preserve"> </v>
      </c>
      <c r="R133" s="385" t="str">
        <f ca="1">IF(N(O133)&gt;0,VLOOKUP(O133,Hraci!$A$1:$I$1500,5,0),IF(TYPE(INDIRECT(ADDRESS(ROW() + $A$9-8 + (ROW()-11)*4,3,1,1,"Internet")))&gt;1,INDIRECT(ADDRESS(ROW() + $A$9-8 + (ROW()-11)*4,3,1,1,"Internet"))," "))</f>
        <v xml:space="preserve"> </v>
      </c>
      <c r="S133" s="319">
        <f ca="1">IF(N(O133)=0,9999,VLOOKUP(O133,Hraci!$A$1:$I$1500,8,0))</f>
        <v>9999</v>
      </c>
      <c r="T133" s="386">
        <f ca="1">IF(N(O133)=0,0,VLOOKUP(O133,Hraci!$A$1:$I$1500,9,0))</f>
        <v>0</v>
      </c>
      <c r="U133" s="383" t="str">
        <f t="shared" ca="1" si="30"/>
        <v/>
      </c>
      <c r="V133" s="384" t="str">
        <f ca="1">IF(N(U133)&gt;0,VLOOKUP(U133,Hraci!$A$1:$I$1500,2,0),IF(TYPE(INDIRECT(ADDRESS(ROW() + $A$9-7 + (ROW()-11)*4,2,1,1,"Internet")))&gt;1,INDIRECT(ADDRESS(ROW() + $A$9-7 + (ROW()-11)*4,2,1,1,"Internet"))," "))</f>
        <v xml:space="preserve"> </v>
      </c>
      <c r="W133" s="385" t="str">
        <f ca="1">IF(N(U133)&gt;0,VLOOKUP(U133,Hraci!$A$1:$I$1500,3,0)," ")</f>
        <v xml:space="preserve"> </v>
      </c>
      <c r="X133" s="385" t="str">
        <f ca="1">IF(N(U133)&gt;0,VLOOKUP(U133,Hraci!$A$1:$I$1500,5,0),IF(TYPE(INDIRECT(ADDRESS(ROW() + $A$9-7 + (ROW()-11)*4,3,1,1,"Internet")))&gt;1,INDIRECT(ADDRESS(ROW() + $A$9-7 + (ROW()-11)*4,3,1,1,"Internet"))," "))</f>
        <v xml:space="preserve"> </v>
      </c>
      <c r="Y133" s="319">
        <f ca="1">IF(N(U133)=0,9999,VLOOKUP(U133,Hraci!$A$1:$I$1500,8,0))</f>
        <v>9999</v>
      </c>
      <c r="Z133" s="386">
        <f ca="1">IF(N(U133)=0,0,VLOOKUP(U133,Hraci!$A$1:$I$1500,9,0))</f>
        <v>0</v>
      </c>
      <c r="AA133" s="383" t="str">
        <f t="shared" ca="1" si="31"/>
        <v/>
      </c>
      <c r="AB133" s="384" t="str">
        <f ca="1">IF(N(AA133)&gt;0,VLOOKUP(AA133,Hraci!$A$1:$I$1500,2,0)," ")</f>
        <v xml:space="preserve"> </v>
      </c>
      <c r="AC133" s="385" t="str">
        <f ca="1">IF(N(AA133)&gt;0,VLOOKUP(AA133,Hraci!$A$1:$I$1500,3,0)," ")</f>
        <v xml:space="preserve"> </v>
      </c>
      <c r="AD133" s="385" t="str">
        <f ca="1">IF(N(AA133)&gt;0,VLOOKUP(AA133,Hraci!$A$1:$I$1500,5,0)," ")</f>
        <v xml:space="preserve"> </v>
      </c>
      <c r="AE133" s="319">
        <f ca="1">IF(N(AA133)=0,9999,VLOOKUP(AA133,Hraci!$A$1:$I$1500,8,0))</f>
        <v>9999</v>
      </c>
      <c r="AF133" s="386">
        <f ca="1">IF(N(AA133)=0,0,VLOOKUP(AA133,Hraci!$A$1:$I$1500,9,0))</f>
        <v>0</v>
      </c>
      <c r="AG133" s="391"/>
      <c r="AH133" s="427">
        <f ca="1">IF(TYPE(VLOOKUP(H133,Centrum!$A$3:$E$130,5,0))&lt;4,VLOOKUP(H133,Centrum!$A$3:$E$130,5,0),0)</f>
        <v>0</v>
      </c>
      <c r="AI133" s="387" t="str">
        <f ca="1">IF(N($AH133)&gt;0,VLOOKUP($AH133,Body!$A$4:$F$259,5,0),"")</f>
        <v/>
      </c>
      <c r="AJ133" s="388" t="str">
        <f ca="1">IF(N($AH133)&gt;0,VLOOKUP($AH133,Body!$A$4:$F$259,6,0),"")</f>
        <v/>
      </c>
      <c r="AK133" s="387" t="str">
        <f ca="1">IF(N($AH133)&gt;0,VLOOKUP($AH133,Body!$A$4:$F$259,2,0),"")</f>
        <v/>
      </c>
      <c r="AL133" s="389" t="str">
        <f t="shared" ca="1" si="37"/>
        <v/>
      </c>
      <c r="AM133" s="390">
        <f t="shared" ca="1" si="33"/>
        <v>0</v>
      </c>
      <c r="AN133" s="319">
        <f ca="1">IF(OR(TYPE(I133)&gt;1,TYPE(MATCH(I133,I134:I$139,0))&gt;1),0,MATCH(I133,I134:I$139,0))+IF(OR(TYPE(I133)&gt;1,TYPE(MATCH(I133,O$11:O$139,0))&gt;1),0,MATCH(I133,O$11:O$139,0))+IF(OR(TYPE(I133)&gt;1,TYPE(MATCH(I133,U$11:U$139,0))&gt;1),0,MATCH(I133,U$11:U$139,0))+IF(OR(TYPE(I133)&gt;1,TYPE(MATCH(I133,AA$11:AA$139,0))&gt;1),0,MATCH(I133,AA$11:AA$139,0))</f>
        <v>0</v>
      </c>
      <c r="AO133" s="319">
        <f ca="1">IF(OR(TYPE(O133)&gt;1,TYPE(MATCH(O133,I$11:I$139,0))&gt;1),0,MATCH(O133,I$11:I$139,0))+IF(OR(TYPE(O133)&gt;1,TYPE(MATCH(O133,O134:O$139,0))&gt;1),0,MATCH(O133,O134:O$139,0))+IF(OR(TYPE(O133)&gt;1,TYPE(MATCH(O133,U$11:U$139,0))&gt;1),0,MATCH(O133,U$11:U$139,0))+IF(OR(TYPE(O133)&gt;1,TYPE(MATCH(O133,AA$11:AA$139,0))&gt;1),0,MATCH(O133,AA$11:AA$139,0))</f>
        <v>0</v>
      </c>
      <c r="AP133" s="319">
        <f ca="1">IF(OR(TYPE(U133)&gt;1,TYPE(MATCH(U133,I$11:I$139,0))&gt;1),0,MATCH(U133,I$11:I$139,0))+IF(OR(TYPE(U133)&gt;1,TYPE(MATCH(U133,O$11:O$139,0))&gt;1),0,MATCH(U133,O$11:O$139,0))+IF(OR(TYPE(U133)&gt;1,TYPE(MATCH(U133,U134:U$139,0))&gt;1),0,MATCH(U133,U134:U$139,0))+IF(OR(TYPE(U133)&gt;1,TYPE(MATCH(U133,AA$11:AA$139,0))&gt;1),0,MATCH(U133,AA$11:AA$139,0))</f>
        <v>0</v>
      </c>
      <c r="AQ133" s="319">
        <f ca="1">IF(OR(TYPE(AA133)&gt;1,TYPE(MATCH(AA133,I$11:I$139,0))&gt;1),0,MATCH(AA133,I$11:I$139,0))+IF(OR(TYPE(AA133)&gt;1,TYPE(MATCH(AA133,O$11:O$139,0))&gt;1),0,MATCH(AA133,O$11:O$139,0))+IF(OR(TYPE(AA133)&gt;1,TYPE(MATCH(AA133,U$11:U$139,0))&gt;1),0,MATCH(U133,U$11:U$139,0))+IF(OR(TYPE(AA133)&gt;1,TYPE(MATCH(AA133,AA134:AA$139,0))&gt;1),0,MATCH(AA133,AA134:AA$139,0))</f>
        <v>0</v>
      </c>
      <c r="AR133" s="319">
        <f t="shared" ca="1" si="36"/>
        <v>0</v>
      </c>
      <c r="AT133" s="318">
        <f t="shared" ca="1" si="34"/>
        <v>0</v>
      </c>
      <c r="AU133" s="318">
        <f ca="1">IF(AND(N(I133)&gt;0,TYPE(VLOOKUP(I133,Hraci!$A$5:$A$800,1,0))&gt;3),1,0) + IF(AND(N(O133)&gt;0,TYPE(VLOOKUP(O133,Hraci!$A$5:$A$800,1,0))&gt;3),1,0) + IF(AND(N(U133)&gt;0,TYPE(VLOOKUP(U133,Hraci!$A$5:$A$800,1,0))&gt;3),1,0)</f>
        <v>0</v>
      </c>
      <c r="BF133" s="319">
        <f t="shared" si="35"/>
        <v>123</v>
      </c>
    </row>
    <row r="134" spans="1:58" ht="12.9" x14ac:dyDescent="0.45">
      <c r="A134" s="302">
        <f t="shared" ca="1" si="20"/>
        <v>0</v>
      </c>
      <c r="B134" s="302">
        <f t="shared" ca="1" si="21"/>
        <v>0</v>
      </c>
      <c r="C134" s="302">
        <f t="shared" ca="1" si="22"/>
        <v>0</v>
      </c>
      <c r="D134" s="302">
        <f t="shared" ca="1" si="23"/>
        <v>99999</v>
      </c>
      <c r="E134" s="302">
        <f t="shared" ca="1" si="24"/>
        <v>9999</v>
      </c>
      <c r="F134" s="343" t="str">
        <f t="shared" ca="1" si="25"/>
        <v>00000000000000000000825696</v>
      </c>
      <c r="G134" s="381" t="b">
        <f t="shared" ca="1" si="26"/>
        <v>1</v>
      </c>
      <c r="H134" s="382">
        <f t="shared" si="27"/>
        <v>124</v>
      </c>
      <c r="I134" s="383" t="str">
        <f t="shared" ca="1" si="28"/>
        <v/>
      </c>
      <c r="J134" s="384" t="str">
        <f ca="1">IF(N(I134)&gt;0,VLOOKUP(I134,Hraci!$A$1:$I$1500,2,0),IF(TYPE(INDIRECT(ADDRESS(ROW() + $A$9-9 + (ROW()-11)*4,2,1,1,"Internet")))&gt;1,INDIRECT(ADDRESS(ROW() + $A$9-9 + (ROW()-11)*4,2,1,1,"Internet"))," "))</f>
        <v xml:space="preserve"> </v>
      </c>
      <c r="K134" s="385" t="str">
        <f ca="1">IF(N(I134)&gt;0,VLOOKUP(I134,Hraci!$A$1:$I$1500,3,0)," ")</f>
        <v xml:space="preserve"> </v>
      </c>
      <c r="L134" s="385" t="str">
        <f ca="1">IF(N(I134)&gt;0,VLOOKUP(I134,Hraci!$A$1:$I$1500,5,0),IF(TYPE(INDIRECT(ADDRESS(ROW() + $A$9-9 + (ROW()-11)*4,3,1,1,"Internet")))&gt;1,INDIRECT(ADDRESS(ROW() + $A$9-9 + (ROW()-11)*4,3,1,1,"Internet"))," "))</f>
        <v xml:space="preserve"> </v>
      </c>
      <c r="M134" s="319">
        <f ca="1">IF(N(I134)=0,9999,VLOOKUP(I134,Hraci!$A$1:$I$1500,8,0))</f>
        <v>9999</v>
      </c>
      <c r="N134" s="386">
        <f ca="1">IF(N(I134)=0,0,VLOOKUP(I134,Hraci!$A$1:$I$1500,9,0))</f>
        <v>0</v>
      </c>
      <c r="O134" s="383" t="str">
        <f t="shared" ca="1" si="29"/>
        <v/>
      </c>
      <c r="P134" s="384" t="str">
        <f ca="1">IF(N(O134)&gt;0,VLOOKUP(O134,Hraci!$A$1:$I$1500,2,0),IF(TYPE(INDIRECT(ADDRESS(ROW() + $A$9-8 + (ROW()-11)*4,2,1,1,"Internet")))&gt;1,INDIRECT(ADDRESS(ROW() + $A$9-8 + (ROW()-11)*4,2,1,1,"Internet"))," "))</f>
        <v xml:space="preserve"> </v>
      </c>
      <c r="Q134" s="385" t="str">
        <f ca="1">IF(N(O134)&gt;0,VLOOKUP(O134,Hraci!$A$1:$I$1500,3,0)," ")</f>
        <v xml:space="preserve"> </v>
      </c>
      <c r="R134" s="385" t="str">
        <f ca="1">IF(N(O134)&gt;0,VLOOKUP(O134,Hraci!$A$1:$I$1500,5,0),IF(TYPE(INDIRECT(ADDRESS(ROW() + $A$9-8 + (ROW()-11)*4,3,1,1,"Internet")))&gt;1,INDIRECT(ADDRESS(ROW() + $A$9-8 + (ROW()-11)*4,3,1,1,"Internet"))," "))</f>
        <v xml:space="preserve"> </v>
      </c>
      <c r="S134" s="319">
        <f ca="1">IF(N(O134)=0,9999,VLOOKUP(O134,Hraci!$A$1:$I$1500,8,0))</f>
        <v>9999</v>
      </c>
      <c r="T134" s="386">
        <f ca="1">IF(N(O134)=0,0,VLOOKUP(O134,Hraci!$A$1:$I$1500,9,0))</f>
        <v>0</v>
      </c>
      <c r="U134" s="383" t="str">
        <f t="shared" ca="1" si="30"/>
        <v/>
      </c>
      <c r="V134" s="384" t="str">
        <f ca="1">IF(N(U134)&gt;0,VLOOKUP(U134,Hraci!$A$1:$I$1500,2,0),IF(TYPE(INDIRECT(ADDRESS(ROW() + $A$9-7 + (ROW()-11)*4,2,1,1,"Internet")))&gt;1,INDIRECT(ADDRESS(ROW() + $A$9-7 + (ROW()-11)*4,2,1,1,"Internet"))," "))</f>
        <v xml:space="preserve"> </v>
      </c>
      <c r="W134" s="385" t="str">
        <f ca="1">IF(N(U134)&gt;0,VLOOKUP(U134,Hraci!$A$1:$I$1500,3,0)," ")</f>
        <v xml:space="preserve"> </v>
      </c>
      <c r="X134" s="385" t="str">
        <f ca="1">IF(N(U134)&gt;0,VLOOKUP(U134,Hraci!$A$1:$I$1500,5,0),IF(TYPE(INDIRECT(ADDRESS(ROW() + $A$9-7 + (ROW()-11)*4,3,1,1,"Internet")))&gt;1,INDIRECT(ADDRESS(ROW() + $A$9-7 + (ROW()-11)*4,3,1,1,"Internet"))," "))</f>
        <v xml:space="preserve"> </v>
      </c>
      <c r="Y134" s="319">
        <f ca="1">IF(N(U134)=0,9999,VLOOKUP(U134,Hraci!$A$1:$I$1500,8,0))</f>
        <v>9999</v>
      </c>
      <c r="Z134" s="386">
        <f ca="1">IF(N(U134)=0,0,VLOOKUP(U134,Hraci!$A$1:$I$1500,9,0))</f>
        <v>0</v>
      </c>
      <c r="AA134" s="383" t="str">
        <f t="shared" ca="1" si="31"/>
        <v/>
      </c>
      <c r="AB134" s="384" t="str">
        <f ca="1">IF(N(AA134)&gt;0,VLOOKUP(AA134,Hraci!$A$1:$I$1500,2,0)," ")</f>
        <v xml:space="preserve"> </v>
      </c>
      <c r="AC134" s="385" t="str">
        <f ca="1">IF(N(AA134)&gt;0,VLOOKUP(AA134,Hraci!$A$1:$I$1500,3,0)," ")</f>
        <v xml:space="preserve"> </v>
      </c>
      <c r="AD134" s="385" t="str">
        <f ca="1">IF(N(AA134)&gt;0,VLOOKUP(AA134,Hraci!$A$1:$I$1500,5,0)," ")</f>
        <v xml:space="preserve"> </v>
      </c>
      <c r="AE134" s="319">
        <f ca="1">IF(N(AA134)=0,9999,VLOOKUP(AA134,Hraci!$A$1:$I$1500,8,0))</f>
        <v>9999</v>
      </c>
      <c r="AF134" s="386">
        <f ca="1">IF(N(AA134)=0,0,VLOOKUP(AA134,Hraci!$A$1:$I$1500,9,0))</f>
        <v>0</v>
      </c>
      <c r="AG134" s="391"/>
      <c r="AH134" s="427">
        <f ca="1">IF(TYPE(VLOOKUP(H134,Centrum!$A$3:$E$130,5,0))&lt;4,VLOOKUP(H134,Centrum!$A$3:$E$130,5,0),0)</f>
        <v>0</v>
      </c>
      <c r="AI134" s="387" t="str">
        <f ca="1">IF(N($AH134)&gt;0,VLOOKUP($AH134,Body!$A$4:$F$259,5,0),"")</f>
        <v/>
      </c>
      <c r="AJ134" s="388" t="str">
        <f ca="1">IF(N($AH134)&gt;0,VLOOKUP($AH134,Body!$A$4:$F$259,6,0),"")</f>
        <v/>
      </c>
      <c r="AK134" s="387" t="str">
        <f ca="1">IF(N($AH134)&gt;0,VLOOKUP($AH134,Body!$A$4:$F$259,2,0),"")</f>
        <v/>
      </c>
      <c r="AL134" s="389" t="str">
        <f t="shared" ca="1" si="37"/>
        <v/>
      </c>
      <c r="AM134" s="390">
        <f t="shared" ca="1" si="33"/>
        <v>0</v>
      </c>
      <c r="AN134" s="319">
        <f ca="1">IF(OR(TYPE(I134)&gt;1,TYPE(MATCH(I134,I135:I$139,0))&gt;1),0,MATCH(I134,I135:I$139,0))+IF(OR(TYPE(I134)&gt;1,TYPE(MATCH(I134,O$11:O$139,0))&gt;1),0,MATCH(I134,O$11:O$139,0))+IF(OR(TYPE(I134)&gt;1,TYPE(MATCH(I134,U$11:U$139,0))&gt;1),0,MATCH(I134,U$11:U$139,0))+IF(OR(TYPE(I134)&gt;1,TYPE(MATCH(I134,AA$11:AA$139,0))&gt;1),0,MATCH(I134,AA$11:AA$139,0))</f>
        <v>0</v>
      </c>
      <c r="AO134" s="319">
        <f ca="1">IF(OR(TYPE(O134)&gt;1,TYPE(MATCH(O134,I$11:I$139,0))&gt;1),0,MATCH(O134,I$11:I$139,0))+IF(OR(TYPE(O134)&gt;1,TYPE(MATCH(O134,O135:O$139,0))&gt;1),0,MATCH(O134,O135:O$139,0))+IF(OR(TYPE(O134)&gt;1,TYPE(MATCH(O134,U$11:U$139,0))&gt;1),0,MATCH(O134,U$11:U$139,0))+IF(OR(TYPE(O134)&gt;1,TYPE(MATCH(O134,AA$11:AA$139,0))&gt;1),0,MATCH(O134,AA$11:AA$139,0))</f>
        <v>0</v>
      </c>
      <c r="AP134" s="319">
        <f ca="1">IF(OR(TYPE(U134)&gt;1,TYPE(MATCH(U134,I$11:I$139,0))&gt;1),0,MATCH(U134,I$11:I$139,0))+IF(OR(TYPE(U134)&gt;1,TYPE(MATCH(U134,O$11:O$139,0))&gt;1),0,MATCH(U134,O$11:O$139,0))+IF(OR(TYPE(U134)&gt;1,TYPE(MATCH(U134,U135:U$139,0))&gt;1),0,MATCH(U134,U135:U$139,0))+IF(OR(TYPE(U134)&gt;1,TYPE(MATCH(U134,AA$11:AA$139,0))&gt;1),0,MATCH(U134,AA$11:AA$139,0))</f>
        <v>0</v>
      </c>
      <c r="AQ134" s="319">
        <f ca="1">IF(OR(TYPE(AA134)&gt;1,TYPE(MATCH(AA134,I$11:I$139,0))&gt;1),0,MATCH(AA134,I$11:I$139,0))+IF(OR(TYPE(AA134)&gt;1,TYPE(MATCH(AA134,O$11:O$139,0))&gt;1),0,MATCH(AA134,O$11:O$139,0))+IF(OR(TYPE(AA134)&gt;1,TYPE(MATCH(AA134,U$11:U$139,0))&gt;1),0,MATCH(U134,U$11:U$139,0))+IF(OR(TYPE(AA134)&gt;1,TYPE(MATCH(AA134,AA135:AA$139,0))&gt;1),0,MATCH(AA134,AA135:AA$139,0))</f>
        <v>0</v>
      </c>
      <c r="AR134" s="319">
        <f t="shared" ca="1" si="36"/>
        <v>0</v>
      </c>
      <c r="AT134" s="318">
        <f t="shared" ca="1" si="34"/>
        <v>0</v>
      </c>
      <c r="AU134" s="318">
        <f ca="1">IF(AND(N(I134)&gt;0,TYPE(VLOOKUP(I134,Hraci!$A$5:$A$800,1,0))&gt;3),1,0) + IF(AND(N(O134)&gt;0,TYPE(VLOOKUP(O134,Hraci!$A$5:$A$800,1,0))&gt;3),1,0) + IF(AND(N(U134)&gt;0,TYPE(VLOOKUP(U134,Hraci!$A$5:$A$800,1,0))&gt;3),1,0)</f>
        <v>0</v>
      </c>
      <c r="BF134" s="319">
        <f t="shared" si="35"/>
        <v>124</v>
      </c>
    </row>
    <row r="135" spans="1:58" ht="12.9" x14ac:dyDescent="0.45">
      <c r="A135" s="302">
        <f t="shared" ca="1" si="20"/>
        <v>0</v>
      </c>
      <c r="B135" s="302">
        <f t="shared" ca="1" si="21"/>
        <v>0</v>
      </c>
      <c r="C135" s="302">
        <f t="shared" ca="1" si="22"/>
        <v>0</v>
      </c>
      <c r="D135" s="302">
        <f t="shared" ca="1" si="23"/>
        <v>99999</v>
      </c>
      <c r="E135" s="302">
        <f t="shared" ca="1" si="24"/>
        <v>9999</v>
      </c>
      <c r="F135" s="343" t="str">
        <f t="shared" ca="1" si="25"/>
        <v>00000000000000000000371808</v>
      </c>
      <c r="G135" s="381" t="b">
        <f t="shared" ca="1" si="26"/>
        <v>1</v>
      </c>
      <c r="H135" s="382">
        <f t="shared" si="27"/>
        <v>125</v>
      </c>
      <c r="I135" s="383" t="str">
        <f t="shared" ca="1" si="28"/>
        <v/>
      </c>
      <c r="J135" s="384" t="str">
        <f ca="1">IF(N(I135)&gt;0,VLOOKUP(I135,Hraci!$A$1:$I$1500,2,0),IF(TYPE(INDIRECT(ADDRESS(ROW() + $A$9-9 + (ROW()-11)*4,2,1,1,"Internet")))&gt;1,INDIRECT(ADDRESS(ROW() + $A$9-9 + (ROW()-11)*4,2,1,1,"Internet"))," "))</f>
        <v xml:space="preserve"> </v>
      </c>
      <c r="K135" s="385" t="str">
        <f ca="1">IF(N(I135)&gt;0,VLOOKUP(I135,Hraci!$A$1:$I$1500,3,0)," ")</f>
        <v xml:space="preserve"> </v>
      </c>
      <c r="L135" s="385" t="str">
        <f ca="1">IF(N(I135)&gt;0,VLOOKUP(I135,Hraci!$A$1:$I$1500,5,0),IF(TYPE(INDIRECT(ADDRESS(ROW() + $A$9-9 + (ROW()-11)*4,3,1,1,"Internet")))&gt;1,INDIRECT(ADDRESS(ROW() + $A$9-9 + (ROW()-11)*4,3,1,1,"Internet"))," "))</f>
        <v xml:space="preserve"> </v>
      </c>
      <c r="M135" s="319">
        <f ca="1">IF(N(I135)=0,9999,VLOOKUP(I135,Hraci!$A$1:$I$1500,8,0))</f>
        <v>9999</v>
      </c>
      <c r="N135" s="386">
        <f ca="1">IF(N(I135)=0,0,VLOOKUP(I135,Hraci!$A$1:$I$1500,9,0))</f>
        <v>0</v>
      </c>
      <c r="O135" s="383" t="str">
        <f t="shared" ca="1" si="29"/>
        <v/>
      </c>
      <c r="P135" s="384" t="str">
        <f ca="1">IF(N(O135)&gt;0,VLOOKUP(O135,Hraci!$A$1:$I$1500,2,0),IF(TYPE(INDIRECT(ADDRESS(ROW() + $A$9-8 + (ROW()-11)*4,2,1,1,"Internet")))&gt;1,INDIRECT(ADDRESS(ROW() + $A$9-8 + (ROW()-11)*4,2,1,1,"Internet"))," "))</f>
        <v xml:space="preserve"> </v>
      </c>
      <c r="Q135" s="385" t="str">
        <f ca="1">IF(N(O135)&gt;0,VLOOKUP(O135,Hraci!$A$1:$I$1500,3,0)," ")</f>
        <v xml:space="preserve"> </v>
      </c>
      <c r="R135" s="385" t="str">
        <f ca="1">IF(N(O135)&gt;0,VLOOKUP(O135,Hraci!$A$1:$I$1500,5,0),IF(TYPE(INDIRECT(ADDRESS(ROW() + $A$9-8 + (ROW()-11)*4,3,1,1,"Internet")))&gt;1,INDIRECT(ADDRESS(ROW() + $A$9-8 + (ROW()-11)*4,3,1,1,"Internet"))," "))</f>
        <v xml:space="preserve"> </v>
      </c>
      <c r="S135" s="319">
        <f ca="1">IF(N(O135)=0,9999,VLOOKUP(O135,Hraci!$A$1:$I$1500,8,0))</f>
        <v>9999</v>
      </c>
      <c r="T135" s="386">
        <f ca="1">IF(N(O135)=0,0,VLOOKUP(O135,Hraci!$A$1:$I$1500,9,0))</f>
        <v>0</v>
      </c>
      <c r="U135" s="383" t="str">
        <f t="shared" ca="1" si="30"/>
        <v/>
      </c>
      <c r="V135" s="384" t="str">
        <f ca="1">IF(N(U135)&gt;0,VLOOKUP(U135,Hraci!$A$1:$I$1500,2,0),IF(TYPE(INDIRECT(ADDRESS(ROW() + $A$9-7 + (ROW()-11)*4,2,1,1,"Internet")))&gt;1,INDIRECT(ADDRESS(ROW() + $A$9-7 + (ROW()-11)*4,2,1,1,"Internet"))," "))</f>
        <v xml:space="preserve"> </v>
      </c>
      <c r="W135" s="385" t="str">
        <f ca="1">IF(N(U135)&gt;0,VLOOKUP(U135,Hraci!$A$1:$I$1500,3,0)," ")</f>
        <v xml:space="preserve"> </v>
      </c>
      <c r="X135" s="385" t="str">
        <f ca="1">IF(N(U135)&gt;0,VLOOKUP(U135,Hraci!$A$1:$I$1500,5,0),IF(TYPE(INDIRECT(ADDRESS(ROW() + $A$9-7 + (ROW()-11)*4,3,1,1,"Internet")))&gt;1,INDIRECT(ADDRESS(ROW() + $A$9-7 + (ROW()-11)*4,3,1,1,"Internet"))," "))</f>
        <v xml:space="preserve"> </v>
      </c>
      <c r="Y135" s="319">
        <f ca="1">IF(N(U135)=0,9999,VLOOKUP(U135,Hraci!$A$1:$I$1500,8,0))</f>
        <v>9999</v>
      </c>
      <c r="Z135" s="386">
        <f ca="1">IF(N(U135)=0,0,VLOOKUP(U135,Hraci!$A$1:$I$1500,9,0))</f>
        <v>0</v>
      </c>
      <c r="AA135" s="383" t="str">
        <f t="shared" ca="1" si="31"/>
        <v/>
      </c>
      <c r="AB135" s="384" t="str">
        <f ca="1">IF(N(AA135)&gt;0,VLOOKUP(AA135,Hraci!$A$1:$I$1500,2,0)," ")</f>
        <v xml:space="preserve"> </v>
      </c>
      <c r="AC135" s="385" t="str">
        <f ca="1">IF(N(AA135)&gt;0,VLOOKUP(AA135,Hraci!$A$1:$I$1500,3,0)," ")</f>
        <v xml:space="preserve"> </v>
      </c>
      <c r="AD135" s="385" t="str">
        <f ca="1">IF(N(AA135)&gt;0,VLOOKUP(AA135,Hraci!$A$1:$I$1500,5,0)," ")</f>
        <v xml:space="preserve"> </v>
      </c>
      <c r="AE135" s="319">
        <f ca="1">IF(N(AA135)=0,9999,VLOOKUP(AA135,Hraci!$A$1:$I$1500,8,0))</f>
        <v>9999</v>
      </c>
      <c r="AF135" s="386">
        <f ca="1">IF(N(AA135)=0,0,VLOOKUP(AA135,Hraci!$A$1:$I$1500,9,0))</f>
        <v>0</v>
      </c>
      <c r="AG135" s="391"/>
      <c r="AH135" s="427">
        <f ca="1">IF(TYPE(VLOOKUP(H135,Centrum!$A$3:$E$130,5,0))&lt;4,VLOOKUP(H135,Centrum!$A$3:$E$130,5,0),0)</f>
        <v>0</v>
      </c>
      <c r="AI135" s="387" t="str">
        <f ca="1">IF(N($AH135)&gt;0,VLOOKUP($AH135,Body!$A$4:$F$259,5,0),"")</f>
        <v/>
      </c>
      <c r="AJ135" s="388" t="str">
        <f ca="1">IF(N($AH135)&gt;0,VLOOKUP($AH135,Body!$A$4:$F$259,6,0),"")</f>
        <v/>
      </c>
      <c r="AK135" s="387" t="str">
        <f ca="1">IF(N($AH135)&gt;0,VLOOKUP($AH135,Body!$A$4:$F$259,2,0),"")</f>
        <v/>
      </c>
      <c r="AL135" s="389" t="str">
        <f t="shared" ca="1" si="37"/>
        <v/>
      </c>
      <c r="AM135" s="390">
        <f t="shared" ca="1" si="33"/>
        <v>0</v>
      </c>
      <c r="AN135" s="319">
        <f ca="1">IF(OR(TYPE(I135)&gt;1,TYPE(MATCH(I135,I136:I$139,0))&gt;1),0,MATCH(I135,I136:I$139,0))+IF(OR(TYPE(I135)&gt;1,TYPE(MATCH(I135,O$11:O$139,0))&gt;1),0,MATCH(I135,O$11:O$139,0))+IF(OR(TYPE(I135)&gt;1,TYPE(MATCH(I135,U$11:U$139,0))&gt;1),0,MATCH(I135,U$11:U$139,0))+IF(OR(TYPE(I135)&gt;1,TYPE(MATCH(I135,AA$11:AA$139,0))&gt;1),0,MATCH(I135,AA$11:AA$139,0))</f>
        <v>0</v>
      </c>
      <c r="AO135" s="319">
        <f ca="1">IF(OR(TYPE(O135)&gt;1,TYPE(MATCH(O135,I$11:I$139,0))&gt;1),0,MATCH(O135,I$11:I$139,0))+IF(OR(TYPE(O135)&gt;1,TYPE(MATCH(O135,O136:O$139,0))&gt;1),0,MATCH(O135,O136:O$139,0))+IF(OR(TYPE(O135)&gt;1,TYPE(MATCH(O135,U$11:U$139,0))&gt;1),0,MATCH(O135,U$11:U$139,0))+IF(OR(TYPE(O135)&gt;1,TYPE(MATCH(O135,AA$11:AA$139,0))&gt;1),0,MATCH(O135,AA$11:AA$139,0))</f>
        <v>0</v>
      </c>
      <c r="AP135" s="319">
        <f ca="1">IF(OR(TYPE(U135)&gt;1,TYPE(MATCH(U135,I$11:I$139,0))&gt;1),0,MATCH(U135,I$11:I$139,0))+IF(OR(TYPE(U135)&gt;1,TYPE(MATCH(U135,O$11:O$139,0))&gt;1),0,MATCH(U135,O$11:O$139,0))+IF(OR(TYPE(U135)&gt;1,TYPE(MATCH(U135,U136:U$139,0))&gt;1),0,MATCH(U135,U136:U$139,0))+IF(OR(TYPE(U135)&gt;1,TYPE(MATCH(U135,AA$11:AA$139,0))&gt;1),0,MATCH(U135,AA$11:AA$139,0))</f>
        <v>0</v>
      </c>
      <c r="AQ135" s="319">
        <f ca="1">IF(OR(TYPE(AA135)&gt;1,TYPE(MATCH(AA135,I$11:I$139,0))&gt;1),0,MATCH(AA135,I$11:I$139,0))+IF(OR(TYPE(AA135)&gt;1,TYPE(MATCH(AA135,O$11:O$139,0))&gt;1),0,MATCH(AA135,O$11:O$139,0))+IF(OR(TYPE(AA135)&gt;1,TYPE(MATCH(AA135,U$11:U$139,0))&gt;1),0,MATCH(U135,U$11:U$139,0))+IF(OR(TYPE(AA135)&gt;1,TYPE(MATCH(AA135,AA136:AA$139,0))&gt;1),0,MATCH(AA135,AA136:AA$139,0))</f>
        <v>0</v>
      </c>
      <c r="AR135" s="319">
        <f t="shared" ca="1" si="36"/>
        <v>0</v>
      </c>
      <c r="AT135" s="318">
        <f t="shared" ca="1" si="34"/>
        <v>0</v>
      </c>
      <c r="AU135" s="318">
        <f ca="1">IF(AND(N(I135)&gt;0,TYPE(VLOOKUP(I135,Hraci!$A$5:$A$800,1,0))&gt;3),1,0) + IF(AND(N(O135)&gt;0,TYPE(VLOOKUP(O135,Hraci!$A$5:$A$800,1,0))&gt;3),1,0) + IF(AND(N(U135)&gt;0,TYPE(VLOOKUP(U135,Hraci!$A$5:$A$800,1,0))&gt;3),1,0)</f>
        <v>0</v>
      </c>
      <c r="BF135" s="319">
        <f t="shared" si="35"/>
        <v>125</v>
      </c>
    </row>
    <row r="136" spans="1:58" ht="12.9" x14ac:dyDescent="0.45">
      <c r="A136" s="302">
        <f t="shared" ca="1" si="20"/>
        <v>0</v>
      </c>
      <c r="B136" s="302">
        <f t="shared" ca="1" si="21"/>
        <v>0</v>
      </c>
      <c r="C136" s="302">
        <f t="shared" ca="1" si="22"/>
        <v>0</v>
      </c>
      <c r="D136" s="302">
        <f t="shared" ca="1" si="23"/>
        <v>99999</v>
      </c>
      <c r="E136" s="302">
        <f t="shared" ca="1" si="24"/>
        <v>9999</v>
      </c>
      <c r="F136" s="343" t="str">
        <f t="shared" ca="1" si="25"/>
        <v>00000000000000000000104299</v>
      </c>
      <c r="G136" s="381" t="b">
        <f t="shared" ca="1" si="26"/>
        <v>1</v>
      </c>
      <c r="H136" s="382">
        <f t="shared" si="27"/>
        <v>126</v>
      </c>
      <c r="I136" s="383" t="str">
        <f t="shared" ca="1" si="28"/>
        <v/>
      </c>
      <c r="J136" s="384" t="str">
        <f ca="1">IF(N(I136)&gt;0,VLOOKUP(I136,Hraci!$A$1:$I$1500,2,0),IF(TYPE(INDIRECT(ADDRESS(ROW() + $A$9-9 + (ROW()-11)*4,2,1,1,"Internet")))&gt;1,INDIRECT(ADDRESS(ROW() + $A$9-9 + (ROW()-11)*4,2,1,1,"Internet"))," "))</f>
        <v xml:space="preserve"> </v>
      </c>
      <c r="K136" s="385" t="str">
        <f ca="1">IF(N(I136)&gt;0,VLOOKUP(I136,Hraci!$A$1:$I$1500,3,0)," ")</f>
        <v xml:space="preserve"> </v>
      </c>
      <c r="L136" s="385" t="str">
        <f ca="1">IF(N(I136)&gt;0,VLOOKUP(I136,Hraci!$A$1:$I$1500,5,0),IF(TYPE(INDIRECT(ADDRESS(ROW() + $A$9-9 + (ROW()-11)*4,3,1,1,"Internet")))&gt;1,INDIRECT(ADDRESS(ROW() + $A$9-9 + (ROW()-11)*4,3,1,1,"Internet"))," "))</f>
        <v xml:space="preserve"> </v>
      </c>
      <c r="M136" s="319">
        <f ca="1">IF(N(I136)=0,9999,VLOOKUP(I136,Hraci!$A$1:$I$1500,8,0))</f>
        <v>9999</v>
      </c>
      <c r="N136" s="386">
        <f ca="1">IF(N(I136)=0,0,VLOOKUP(I136,Hraci!$A$1:$I$1500,9,0))</f>
        <v>0</v>
      </c>
      <c r="O136" s="383" t="str">
        <f t="shared" ca="1" si="29"/>
        <v/>
      </c>
      <c r="P136" s="384" t="str">
        <f ca="1">IF(N(O136)&gt;0,VLOOKUP(O136,Hraci!$A$1:$I$1500,2,0),IF(TYPE(INDIRECT(ADDRESS(ROW() + $A$9-8 + (ROW()-11)*4,2,1,1,"Internet")))&gt;1,INDIRECT(ADDRESS(ROW() + $A$9-8 + (ROW()-11)*4,2,1,1,"Internet"))," "))</f>
        <v xml:space="preserve"> </v>
      </c>
      <c r="Q136" s="385" t="str">
        <f ca="1">IF(N(O136)&gt;0,VLOOKUP(O136,Hraci!$A$1:$I$1500,3,0)," ")</f>
        <v xml:space="preserve"> </v>
      </c>
      <c r="R136" s="385" t="str">
        <f ca="1">IF(N(O136)&gt;0,VLOOKUP(O136,Hraci!$A$1:$I$1500,5,0),IF(TYPE(INDIRECT(ADDRESS(ROW() + $A$9-8 + (ROW()-11)*4,3,1,1,"Internet")))&gt;1,INDIRECT(ADDRESS(ROW() + $A$9-8 + (ROW()-11)*4,3,1,1,"Internet"))," "))</f>
        <v xml:space="preserve"> </v>
      </c>
      <c r="S136" s="319">
        <f ca="1">IF(N(O136)=0,9999,VLOOKUP(O136,Hraci!$A$1:$I$1500,8,0))</f>
        <v>9999</v>
      </c>
      <c r="T136" s="386">
        <f ca="1">IF(N(O136)=0,0,VLOOKUP(O136,Hraci!$A$1:$I$1500,9,0))</f>
        <v>0</v>
      </c>
      <c r="U136" s="383" t="str">
        <f t="shared" ca="1" si="30"/>
        <v/>
      </c>
      <c r="V136" s="384" t="str">
        <f ca="1">IF(N(U136)&gt;0,VLOOKUP(U136,Hraci!$A$1:$I$1500,2,0),IF(TYPE(INDIRECT(ADDRESS(ROW() + $A$9-7 + (ROW()-11)*4,2,1,1,"Internet")))&gt;1,INDIRECT(ADDRESS(ROW() + $A$9-7 + (ROW()-11)*4,2,1,1,"Internet"))," "))</f>
        <v xml:space="preserve"> </v>
      </c>
      <c r="W136" s="385" t="str">
        <f ca="1">IF(N(U136)&gt;0,VLOOKUP(U136,Hraci!$A$1:$I$1500,3,0)," ")</f>
        <v xml:space="preserve"> </v>
      </c>
      <c r="X136" s="385" t="str">
        <f ca="1">IF(N(U136)&gt;0,VLOOKUP(U136,Hraci!$A$1:$I$1500,5,0),IF(TYPE(INDIRECT(ADDRESS(ROW() + $A$9-7 + (ROW()-11)*4,3,1,1,"Internet")))&gt;1,INDIRECT(ADDRESS(ROW() + $A$9-7 + (ROW()-11)*4,3,1,1,"Internet"))," "))</f>
        <v xml:space="preserve"> </v>
      </c>
      <c r="Y136" s="319">
        <f ca="1">IF(N(U136)=0,9999,VLOOKUP(U136,Hraci!$A$1:$I$1500,8,0))</f>
        <v>9999</v>
      </c>
      <c r="Z136" s="386">
        <f ca="1">IF(N(U136)=0,0,VLOOKUP(U136,Hraci!$A$1:$I$1500,9,0))</f>
        <v>0</v>
      </c>
      <c r="AA136" s="383" t="str">
        <f t="shared" ca="1" si="31"/>
        <v/>
      </c>
      <c r="AB136" s="384" t="str">
        <f ca="1">IF(N(AA136)&gt;0,VLOOKUP(AA136,Hraci!$A$1:$I$1500,2,0)," ")</f>
        <v xml:space="preserve"> </v>
      </c>
      <c r="AC136" s="385" t="str">
        <f ca="1">IF(N(AA136)&gt;0,VLOOKUP(AA136,Hraci!$A$1:$I$1500,3,0)," ")</f>
        <v xml:space="preserve"> </v>
      </c>
      <c r="AD136" s="385" t="str">
        <f ca="1">IF(N(AA136)&gt;0,VLOOKUP(AA136,Hraci!$A$1:$I$1500,5,0)," ")</f>
        <v xml:space="preserve"> </v>
      </c>
      <c r="AE136" s="319">
        <f ca="1">IF(N(AA136)=0,9999,VLOOKUP(AA136,Hraci!$A$1:$I$1500,8,0))</f>
        <v>9999</v>
      </c>
      <c r="AF136" s="386">
        <f ca="1">IF(N(AA136)=0,0,VLOOKUP(AA136,Hraci!$A$1:$I$1500,9,0))</f>
        <v>0</v>
      </c>
      <c r="AG136" s="391"/>
      <c r="AH136" s="427">
        <f ca="1">IF(TYPE(VLOOKUP(H136,Centrum!$A$3:$E$130,5,0))&lt;4,VLOOKUP(H136,Centrum!$A$3:$E$130,5,0),0)</f>
        <v>0</v>
      </c>
      <c r="AI136" s="387" t="str">
        <f ca="1">IF(N($AH136)&gt;0,VLOOKUP($AH136,Body!$A$4:$F$259,5,0),"")</f>
        <v/>
      </c>
      <c r="AJ136" s="388" t="str">
        <f ca="1">IF(N($AH136)&gt;0,VLOOKUP($AH136,Body!$A$4:$F$259,6,0),"")</f>
        <v/>
      </c>
      <c r="AK136" s="387" t="str">
        <f ca="1">IF(N($AH136)&gt;0,VLOOKUP($AH136,Body!$A$4:$F$259,2,0),"")</f>
        <v/>
      </c>
      <c r="AL136" s="389" t="str">
        <f t="shared" ca="1" si="37"/>
        <v/>
      </c>
      <c r="AM136" s="390">
        <f t="shared" ca="1" si="33"/>
        <v>0</v>
      </c>
      <c r="AN136" s="319">
        <f ca="1">IF(OR(TYPE(I136)&gt;1,TYPE(MATCH(I136,I137:I$139,0))&gt;1),0,MATCH(I136,I137:I$139,0))+IF(OR(TYPE(I136)&gt;1,TYPE(MATCH(I136,O$11:O$139,0))&gt;1),0,MATCH(I136,O$11:O$139,0))+IF(OR(TYPE(I136)&gt;1,TYPE(MATCH(I136,U$11:U$139,0))&gt;1),0,MATCH(I136,U$11:U$139,0))+IF(OR(TYPE(I136)&gt;1,TYPE(MATCH(I136,AA$11:AA$139,0))&gt;1),0,MATCH(I136,AA$11:AA$139,0))</f>
        <v>0</v>
      </c>
      <c r="AO136" s="319">
        <f ca="1">IF(OR(TYPE(O136)&gt;1,TYPE(MATCH(O136,I$11:I$139,0))&gt;1),0,MATCH(O136,I$11:I$139,0))+IF(OR(TYPE(O136)&gt;1,TYPE(MATCH(O136,O137:O$139,0))&gt;1),0,MATCH(O136,O137:O$139,0))+IF(OR(TYPE(O136)&gt;1,TYPE(MATCH(O136,U$11:U$139,0))&gt;1),0,MATCH(O136,U$11:U$139,0))+IF(OR(TYPE(O136)&gt;1,TYPE(MATCH(O136,AA$11:AA$139,0))&gt;1),0,MATCH(O136,AA$11:AA$139,0))</f>
        <v>0</v>
      </c>
      <c r="AP136" s="319">
        <f ca="1">IF(OR(TYPE(U136)&gt;1,TYPE(MATCH(U136,I$11:I$139,0))&gt;1),0,MATCH(U136,I$11:I$139,0))+IF(OR(TYPE(U136)&gt;1,TYPE(MATCH(U136,O$11:O$139,0))&gt;1),0,MATCH(U136,O$11:O$139,0))+IF(OR(TYPE(U136)&gt;1,TYPE(MATCH(U136,U137:U$139,0))&gt;1),0,MATCH(U136,U137:U$139,0))+IF(OR(TYPE(U136)&gt;1,TYPE(MATCH(U136,AA$11:AA$139,0))&gt;1),0,MATCH(U136,AA$11:AA$139,0))</f>
        <v>0</v>
      </c>
      <c r="AQ136" s="319">
        <f ca="1">IF(OR(TYPE(AA136)&gt;1,TYPE(MATCH(AA136,I$11:I$139,0))&gt;1),0,MATCH(AA136,I$11:I$139,0))+IF(OR(TYPE(AA136)&gt;1,TYPE(MATCH(AA136,O$11:O$139,0))&gt;1),0,MATCH(AA136,O$11:O$139,0))+IF(OR(TYPE(AA136)&gt;1,TYPE(MATCH(AA136,U$11:U$139,0))&gt;1),0,MATCH(U136,U$11:U$139,0))+IF(OR(TYPE(AA136)&gt;1,TYPE(MATCH(AA136,AA137:AA$139,0))&gt;1),0,MATCH(AA136,AA137:AA$139,0))</f>
        <v>0</v>
      </c>
      <c r="AR136" s="319">
        <f t="shared" ca="1" si="36"/>
        <v>0</v>
      </c>
      <c r="AT136" s="318">
        <f t="shared" ca="1" si="34"/>
        <v>0</v>
      </c>
      <c r="AU136" s="318">
        <f ca="1">IF(AND(N(I136)&gt;0,TYPE(VLOOKUP(I136,Hraci!$A$5:$A$800,1,0))&gt;3),1,0) + IF(AND(N(O136)&gt;0,TYPE(VLOOKUP(O136,Hraci!$A$5:$A$800,1,0))&gt;3),1,0) + IF(AND(N(U136)&gt;0,TYPE(VLOOKUP(U136,Hraci!$A$5:$A$800,1,0))&gt;3),1,0)</f>
        <v>0</v>
      </c>
      <c r="BF136" s="319">
        <f t="shared" si="35"/>
        <v>126</v>
      </c>
    </row>
    <row r="137" spans="1:58" ht="12.9" x14ac:dyDescent="0.45">
      <c r="A137" s="302">
        <f t="shared" ca="1" si="20"/>
        <v>0</v>
      </c>
      <c r="B137" s="302">
        <f t="shared" ca="1" si="21"/>
        <v>0</v>
      </c>
      <c r="C137" s="302">
        <f t="shared" ca="1" si="22"/>
        <v>0</v>
      </c>
      <c r="D137" s="302">
        <f t="shared" ca="1" si="23"/>
        <v>99999</v>
      </c>
      <c r="E137" s="302">
        <f t="shared" ca="1" si="24"/>
        <v>9999</v>
      </c>
      <c r="F137" s="343" t="str">
        <f t="shared" ca="1" si="25"/>
        <v>00000000000000000000713786</v>
      </c>
      <c r="G137" s="381" t="b">
        <f t="shared" ca="1" si="26"/>
        <v>1</v>
      </c>
      <c r="H137" s="382">
        <f t="shared" si="27"/>
        <v>127</v>
      </c>
      <c r="I137" s="383" t="str">
        <f t="shared" ca="1" si="28"/>
        <v/>
      </c>
      <c r="J137" s="384" t="str">
        <f ca="1">IF(N(I137)&gt;0,VLOOKUP(I137,Hraci!$A$1:$I$1500,2,0),IF(TYPE(INDIRECT(ADDRESS(ROW() + $A$9-9 + (ROW()-11)*4,2,1,1,"Internet")))&gt;1,INDIRECT(ADDRESS(ROW() + $A$9-9 + (ROW()-11)*4,2,1,1,"Internet"))," "))</f>
        <v xml:space="preserve"> </v>
      </c>
      <c r="K137" s="385" t="str">
        <f ca="1">IF(N(I137)&gt;0,VLOOKUP(I137,Hraci!$A$1:$I$1500,3,0)," ")</f>
        <v xml:space="preserve"> </v>
      </c>
      <c r="L137" s="385" t="str">
        <f ca="1">IF(N(I137)&gt;0,VLOOKUP(I137,Hraci!$A$1:$I$1500,5,0),IF(TYPE(INDIRECT(ADDRESS(ROW() + $A$9-9 + (ROW()-11)*4,3,1,1,"Internet")))&gt;1,INDIRECT(ADDRESS(ROW() + $A$9-9 + (ROW()-11)*4,3,1,1,"Internet"))," "))</f>
        <v xml:space="preserve"> </v>
      </c>
      <c r="M137" s="319">
        <f ca="1">IF(N(I137)=0,9999,VLOOKUP(I137,Hraci!$A$1:$I$1500,8,0))</f>
        <v>9999</v>
      </c>
      <c r="N137" s="386">
        <f ca="1">IF(N(I137)=0,0,VLOOKUP(I137,Hraci!$A$1:$I$1500,9,0))</f>
        <v>0</v>
      </c>
      <c r="O137" s="383" t="str">
        <f t="shared" ca="1" si="29"/>
        <v/>
      </c>
      <c r="P137" s="384" t="str">
        <f ca="1">IF(N(O137)&gt;0,VLOOKUP(O137,Hraci!$A$1:$I$1500,2,0),IF(TYPE(INDIRECT(ADDRESS(ROW() + $A$9-8 + (ROW()-11)*4,2,1,1,"Internet")))&gt;1,INDIRECT(ADDRESS(ROW() + $A$9-8 + (ROW()-11)*4,2,1,1,"Internet"))," "))</f>
        <v xml:space="preserve"> </v>
      </c>
      <c r="Q137" s="385" t="str">
        <f ca="1">IF(N(O137)&gt;0,VLOOKUP(O137,Hraci!$A$1:$I$1500,3,0)," ")</f>
        <v xml:space="preserve"> </v>
      </c>
      <c r="R137" s="385" t="str">
        <f ca="1">IF(N(O137)&gt;0,VLOOKUP(O137,Hraci!$A$1:$I$1500,5,0),IF(TYPE(INDIRECT(ADDRESS(ROW() + $A$9-8 + (ROW()-11)*4,3,1,1,"Internet")))&gt;1,INDIRECT(ADDRESS(ROW() + $A$9-8 + (ROW()-11)*4,3,1,1,"Internet"))," "))</f>
        <v xml:space="preserve"> </v>
      </c>
      <c r="S137" s="319">
        <f ca="1">IF(N(O137)=0,9999,VLOOKUP(O137,Hraci!$A$1:$I$1500,8,0))</f>
        <v>9999</v>
      </c>
      <c r="T137" s="386">
        <f ca="1">IF(N(O137)=0,0,VLOOKUP(O137,Hraci!$A$1:$I$1500,9,0))</f>
        <v>0</v>
      </c>
      <c r="U137" s="383" t="str">
        <f t="shared" ca="1" si="30"/>
        <v/>
      </c>
      <c r="V137" s="384" t="str">
        <f ca="1">IF(N(U137)&gt;0,VLOOKUP(U137,Hraci!$A$1:$I$1500,2,0),IF(TYPE(INDIRECT(ADDRESS(ROW() + $A$9-7 + (ROW()-11)*4,2,1,1,"Internet")))&gt;1,INDIRECT(ADDRESS(ROW() + $A$9-7 + (ROW()-11)*4,2,1,1,"Internet"))," "))</f>
        <v xml:space="preserve"> </v>
      </c>
      <c r="W137" s="385" t="str">
        <f ca="1">IF(N(U137)&gt;0,VLOOKUP(U137,Hraci!$A$1:$I$1500,3,0)," ")</f>
        <v xml:space="preserve"> </v>
      </c>
      <c r="X137" s="385" t="str">
        <f ca="1">IF(N(U137)&gt;0,VLOOKUP(U137,Hraci!$A$1:$I$1500,5,0),IF(TYPE(INDIRECT(ADDRESS(ROW() + $A$9-7 + (ROW()-11)*4,3,1,1,"Internet")))&gt;1,INDIRECT(ADDRESS(ROW() + $A$9-7 + (ROW()-11)*4,3,1,1,"Internet"))," "))</f>
        <v xml:space="preserve"> </v>
      </c>
      <c r="Y137" s="319">
        <f ca="1">IF(N(U137)=0,9999,VLOOKUP(U137,Hraci!$A$1:$I$1500,8,0))</f>
        <v>9999</v>
      </c>
      <c r="Z137" s="386">
        <f ca="1">IF(N(U137)=0,0,VLOOKUP(U137,Hraci!$A$1:$I$1500,9,0))</f>
        <v>0</v>
      </c>
      <c r="AA137" s="383" t="str">
        <f t="shared" ca="1" si="31"/>
        <v/>
      </c>
      <c r="AB137" s="384" t="str">
        <f ca="1">IF(N(AA137)&gt;0,VLOOKUP(AA137,Hraci!$A$1:$I$1500,2,0)," ")</f>
        <v xml:space="preserve"> </v>
      </c>
      <c r="AC137" s="385" t="str">
        <f ca="1">IF(N(AA137)&gt;0,VLOOKUP(AA137,Hraci!$A$1:$I$1500,3,0)," ")</f>
        <v xml:space="preserve"> </v>
      </c>
      <c r="AD137" s="385" t="str">
        <f ca="1">IF(N(AA137)&gt;0,VLOOKUP(AA137,Hraci!$A$1:$I$1500,5,0)," ")</f>
        <v xml:space="preserve"> </v>
      </c>
      <c r="AE137" s="319">
        <f ca="1">IF(N(AA137)=0,9999,VLOOKUP(AA137,Hraci!$A$1:$I$1500,8,0))</f>
        <v>9999</v>
      </c>
      <c r="AF137" s="386">
        <f ca="1">IF(N(AA137)=0,0,VLOOKUP(AA137,Hraci!$A$1:$I$1500,9,0))</f>
        <v>0</v>
      </c>
      <c r="AG137" s="391"/>
      <c r="AH137" s="427">
        <f ca="1">IF(TYPE(VLOOKUP(H137,Centrum!$A$3:$E$130,5,0))&lt;4,VLOOKUP(H137,Centrum!$A$3:$E$130,5,0),0)</f>
        <v>0</v>
      </c>
      <c r="AI137" s="387" t="str">
        <f ca="1">IF(N($AH137)&gt;0,VLOOKUP($AH137,Body!$A$4:$F$259,5,0),"")</f>
        <v/>
      </c>
      <c r="AJ137" s="388" t="str">
        <f ca="1">IF(N($AH137)&gt;0,VLOOKUP($AH137,Body!$A$4:$F$259,6,0),"")</f>
        <v/>
      </c>
      <c r="AK137" s="387" t="str">
        <f ca="1">IF(N($AH137)&gt;0,VLOOKUP($AH137,Body!$A$4:$F$259,2,0),"")</f>
        <v/>
      </c>
      <c r="AL137" s="389" t="str">
        <f t="shared" ca="1" si="37"/>
        <v/>
      </c>
      <c r="AM137" s="390">
        <f t="shared" ca="1" si="33"/>
        <v>0</v>
      </c>
      <c r="AN137" s="319">
        <f ca="1">IF(OR(TYPE(I137)&gt;1,TYPE(MATCH(I137,I138:I$139,0))&gt;1),0,MATCH(I137,I138:I$139,0))+IF(OR(TYPE(I137)&gt;1,TYPE(MATCH(I137,O$11:O$139,0))&gt;1),0,MATCH(I137,O$11:O$139,0))+IF(OR(TYPE(I137)&gt;1,TYPE(MATCH(I137,U$11:U$139,0))&gt;1),0,MATCH(I137,U$11:U$139,0))+IF(OR(TYPE(I137)&gt;1,TYPE(MATCH(I137,AA$11:AA$139,0))&gt;1),0,MATCH(I137,AA$11:AA$139,0))</f>
        <v>0</v>
      </c>
      <c r="AO137" s="319">
        <f ca="1">IF(OR(TYPE(O137)&gt;1,TYPE(MATCH(O137,I$11:I$139,0))&gt;1),0,MATCH(O137,I$11:I$139,0))+IF(OR(TYPE(O137)&gt;1,TYPE(MATCH(O137,O138:O$139,0))&gt;1),0,MATCH(O137,O138:O$139,0))+IF(OR(TYPE(O137)&gt;1,TYPE(MATCH(O137,U$11:U$139,0))&gt;1),0,MATCH(O137,U$11:U$139,0))+IF(OR(TYPE(O137)&gt;1,TYPE(MATCH(O137,AA$11:AA$139,0))&gt;1),0,MATCH(O137,AA$11:AA$139,0))</f>
        <v>0</v>
      </c>
      <c r="AP137" s="319">
        <f ca="1">IF(OR(TYPE(U137)&gt;1,TYPE(MATCH(U137,I$11:I$139,0))&gt;1),0,MATCH(U137,I$11:I$139,0))+IF(OR(TYPE(U137)&gt;1,TYPE(MATCH(U137,O$11:O$139,0))&gt;1),0,MATCH(U137,O$11:O$139,0))+IF(OR(TYPE(U137)&gt;1,TYPE(MATCH(U137,U138:U$139,0))&gt;1),0,MATCH(U137,U138:U$139,0))+IF(OR(TYPE(U137)&gt;1,TYPE(MATCH(U137,AA$11:AA$139,0))&gt;1),0,MATCH(U137,AA$11:AA$139,0))</f>
        <v>0</v>
      </c>
      <c r="AQ137" s="319">
        <f ca="1">IF(OR(TYPE(AA137)&gt;1,TYPE(MATCH(AA137,I$11:I$139,0))&gt;1),0,MATCH(AA137,I$11:I$139,0))+IF(OR(TYPE(AA137)&gt;1,TYPE(MATCH(AA137,O$11:O$139,0))&gt;1),0,MATCH(AA137,O$11:O$139,0))+IF(OR(TYPE(AA137)&gt;1,TYPE(MATCH(AA137,U$11:U$139,0))&gt;1),0,MATCH(U137,U$11:U$139,0))+IF(OR(TYPE(AA137)&gt;1,TYPE(MATCH(AA137,AA138:AA$139,0))&gt;1),0,MATCH(AA137,AA138:AA$139,0))</f>
        <v>0</v>
      </c>
      <c r="AR137" s="319">
        <f t="shared" ca="1" si="36"/>
        <v>0</v>
      </c>
      <c r="AT137" s="318">
        <f t="shared" ca="1" si="34"/>
        <v>0</v>
      </c>
      <c r="AU137" s="318">
        <f ca="1">IF(AND(N(I137)&gt;0,TYPE(VLOOKUP(I137,Hraci!$A$5:$A$800,1,0))&gt;3),1,0) + IF(AND(N(O137)&gt;0,TYPE(VLOOKUP(O137,Hraci!$A$5:$A$800,1,0))&gt;3),1,0) + IF(AND(N(U137)&gt;0,TYPE(VLOOKUP(U137,Hraci!$A$5:$A$800,1,0))&gt;3),1,0)</f>
        <v>0</v>
      </c>
      <c r="BF137" s="319">
        <f t="shared" si="35"/>
        <v>127</v>
      </c>
    </row>
    <row r="138" spans="1:58" ht="13.3" thickBot="1" x14ac:dyDescent="0.5">
      <c r="A138" s="302">
        <f t="shared" ca="1" si="20"/>
        <v>0</v>
      </c>
      <c r="B138" s="302">
        <f t="shared" ca="1" si="21"/>
        <v>0</v>
      </c>
      <c r="C138" s="302">
        <f t="shared" ca="1" si="22"/>
        <v>0</v>
      </c>
      <c r="D138" s="302">
        <f t="shared" ca="1" si="23"/>
        <v>99999</v>
      </c>
      <c r="E138" s="302">
        <f t="shared" ca="1" si="24"/>
        <v>9999</v>
      </c>
      <c r="F138" s="343" t="str">
        <f t="shared" ca="1" si="25"/>
        <v>00000000000000000000125887</v>
      </c>
      <c r="G138" s="381" t="b">
        <f t="shared" ca="1" si="26"/>
        <v>1</v>
      </c>
      <c r="H138" s="382">
        <f t="shared" si="27"/>
        <v>128</v>
      </c>
      <c r="I138" s="383" t="str">
        <f t="shared" ca="1" si="28"/>
        <v/>
      </c>
      <c r="J138" s="384" t="str">
        <f ca="1">IF(N(I138)&gt;0,VLOOKUP(I138,Hraci!$A$1:$I$1500,2,0),IF(TYPE(INDIRECT(ADDRESS(ROW() + $A$9-9 + (ROW()-11)*4,2,1,1,"Internet")))&gt;1,INDIRECT(ADDRESS(ROW() + $A$9-9 + (ROW()-11)*4,2,1,1,"Internet"))," "))</f>
        <v xml:space="preserve"> </v>
      </c>
      <c r="K138" s="385" t="str">
        <f ca="1">IF(N(I138)&gt;0,VLOOKUP(I138,Hraci!$A$1:$I$1500,3,0)," ")</f>
        <v xml:space="preserve"> </v>
      </c>
      <c r="L138" s="385" t="str">
        <f ca="1">IF(N(I138)&gt;0,VLOOKUP(I138,Hraci!$A$1:$I$1500,5,0),IF(TYPE(INDIRECT(ADDRESS(ROW() + $A$9-9 + (ROW()-11)*4,3,1,1,"Internet")))&gt;1,INDIRECT(ADDRESS(ROW() + $A$9-9 + (ROW()-11)*4,3,1,1,"Internet"))," "))</f>
        <v xml:space="preserve"> </v>
      </c>
      <c r="M138" s="319">
        <f ca="1">IF(N(I138)=0,9999,VLOOKUP(I138,Hraci!$A$1:$I$1500,8,0))</f>
        <v>9999</v>
      </c>
      <c r="N138" s="386">
        <f ca="1">IF(N(I138)=0,0,VLOOKUP(I138,Hraci!$A$1:$I$1500,9,0))</f>
        <v>0</v>
      </c>
      <c r="O138" s="383" t="str">
        <f t="shared" ca="1" si="29"/>
        <v/>
      </c>
      <c r="P138" s="384" t="str">
        <f ca="1">IF(N(O138)&gt;0,VLOOKUP(O138,Hraci!$A$1:$I$1500,2,0),IF(TYPE(INDIRECT(ADDRESS(ROW() + $A$9-8 + (ROW()-11)*4,2,1,1,"Internet")))&gt;1,INDIRECT(ADDRESS(ROW() + $A$9-8 + (ROW()-11)*4,2,1,1,"Internet"))," "))</f>
        <v xml:space="preserve"> </v>
      </c>
      <c r="Q138" s="385" t="str">
        <f ca="1">IF(N(O138)&gt;0,VLOOKUP(O138,Hraci!$A$1:$I$1500,3,0)," ")</f>
        <v xml:space="preserve"> </v>
      </c>
      <c r="R138" s="385" t="str">
        <f ca="1">IF(N(O138)&gt;0,VLOOKUP(O138,Hraci!$A$1:$I$1500,5,0),IF(TYPE(INDIRECT(ADDRESS(ROW() + $A$9-8 + (ROW()-11)*4,3,1,1,"Internet")))&gt;1,INDIRECT(ADDRESS(ROW() + $A$9-8 + (ROW()-11)*4,3,1,1,"Internet"))," "))</f>
        <v xml:space="preserve"> </v>
      </c>
      <c r="S138" s="319">
        <f ca="1">IF(N(O138)=0,9999,VLOOKUP(O138,Hraci!$A$1:$I$1500,8,0))</f>
        <v>9999</v>
      </c>
      <c r="T138" s="386">
        <f ca="1">IF(N(O138)=0,0,VLOOKUP(O138,Hraci!$A$1:$I$1500,9,0))</f>
        <v>0</v>
      </c>
      <c r="U138" s="383" t="str">
        <f t="shared" ca="1" si="30"/>
        <v/>
      </c>
      <c r="V138" s="384" t="str">
        <f ca="1">IF(N(U138)&gt;0,VLOOKUP(U138,Hraci!$A$1:$I$1500,2,0),IF(TYPE(INDIRECT(ADDRESS(ROW() + $A$9-7 + (ROW()-11)*4,2,1,1,"Internet")))&gt;1,INDIRECT(ADDRESS(ROW() + $A$9-7 + (ROW()-11)*4,2,1,1,"Internet"))," "))</f>
        <v xml:space="preserve"> </v>
      </c>
      <c r="W138" s="385" t="str">
        <f ca="1">IF(N(U138)&gt;0,VLOOKUP(U138,Hraci!$A$1:$I$1500,3,0)," ")</f>
        <v xml:space="preserve"> </v>
      </c>
      <c r="X138" s="385" t="str">
        <f ca="1">IF(N(U138)&gt;0,VLOOKUP(U138,Hraci!$A$1:$I$1500,5,0),IF(TYPE(INDIRECT(ADDRESS(ROW() + $A$9-7 + (ROW()-11)*4,3,1,1,"Internet")))&gt;1,INDIRECT(ADDRESS(ROW() + $A$9-7 + (ROW()-11)*4,3,1,1,"Internet"))," "))</f>
        <v xml:space="preserve"> </v>
      </c>
      <c r="Y138" s="319">
        <f ca="1">IF(N(U138)=0,9999,VLOOKUP(U138,Hraci!$A$1:$I$1500,8,0))</f>
        <v>9999</v>
      </c>
      <c r="Z138" s="386">
        <f ca="1">IF(N(U138)=0,0,VLOOKUP(U138,Hraci!$A$1:$I$1500,9,0))</f>
        <v>0</v>
      </c>
      <c r="AA138" s="383" t="str">
        <f ca="1">IF(N(INDIRECT(ADDRESS(ROW() + $A$9-6 + (ROW()-11)*4,1,1,1,"Internet")))&gt;0,INDIRECT(ADDRESS(ROW() + $A$9-6 + (ROW()-11)*4,1,1,1,"Internet")),"")</f>
        <v/>
      </c>
      <c r="AB138" s="384" t="str">
        <f ca="1">IF(N(AA138)&gt;0,VLOOKUP(AA138,Hraci!$A$1:$I$1500,2,0)," ")</f>
        <v xml:space="preserve"> </v>
      </c>
      <c r="AC138" s="385" t="str">
        <f ca="1">IF(N(AA138)&gt;0,VLOOKUP(AA138,Hraci!$A$1:$I$1500,3,0)," ")</f>
        <v xml:space="preserve"> </v>
      </c>
      <c r="AD138" s="385" t="str">
        <f ca="1">IF(N(AA138)&gt;0,VLOOKUP(AA138,Hraci!$A$1:$I$1500,5,0)," ")</f>
        <v xml:space="preserve"> </v>
      </c>
      <c r="AE138" s="319">
        <f ca="1">IF(N(AA138)=0,9999,VLOOKUP(AA138,Hraci!$A$1:$I$1500,8,0))</f>
        <v>9999</v>
      </c>
      <c r="AF138" s="386">
        <f ca="1">IF(N(AA138)=0,0,VLOOKUP(AA138,Hraci!$A$1:$I$1500,9,0))</f>
        <v>0</v>
      </c>
      <c r="AG138" s="392"/>
      <c r="AH138" s="427">
        <f ca="1">IF(TYPE(VLOOKUP(H138,Centrum!$A$3:$E$130,5,0))&lt;4,VLOOKUP(H138,Centrum!$A$3:$E$130,5,0),0)</f>
        <v>0</v>
      </c>
      <c r="AI138" s="387" t="str">
        <f ca="1">IF(N($AH138)&gt;0,VLOOKUP($AH138,Body!$A$4:$F$259,5,0),"")</f>
        <v/>
      </c>
      <c r="AJ138" s="388" t="str">
        <f ca="1">IF(N($AH138)&gt;0,VLOOKUP($AH138,Body!$A$4:$F$259,6,0),"")</f>
        <v/>
      </c>
      <c r="AK138" s="387" t="str">
        <f ca="1">IF(N($AH138)&gt;0,VLOOKUP($AH138,Body!$A$4:$F$259,2,0),"")</f>
        <v/>
      </c>
      <c r="AL138" s="389" t="str">
        <f t="shared" ca="1" si="37"/>
        <v/>
      </c>
      <c r="AM138" s="390">
        <f t="shared" ca="1" si="33"/>
        <v>0</v>
      </c>
      <c r="AN138" s="319">
        <f ca="1">IF(OR(TYPE(I138)&gt;1,TYPE(MATCH(I138,I139:I$139,0))&gt;1),0,MATCH(I138,I139:I$139,0))+IF(OR(TYPE(I138)&gt;1,TYPE(MATCH(I138,O$11:O$139,0))&gt;1),0,MATCH(I138,O$11:O$139,0))+IF(OR(TYPE(I138)&gt;1,TYPE(MATCH(I138,U$11:U$139,0))&gt;1),0,MATCH(I138,U$11:U$139,0))+IF(OR(TYPE(I138)&gt;1,TYPE(MATCH(I138,AA$11:AA$139,0))&gt;1),0,MATCH(I138,AA$11:AA$139,0))</f>
        <v>0</v>
      </c>
      <c r="AO138" s="319">
        <f ca="1">IF(OR(TYPE(O138)&gt;1,TYPE(MATCH(O138,I$11:I$139,0))&gt;1),0,MATCH(O138,I$11:I$139,0))+IF(OR(TYPE(O138)&gt;1,TYPE(MATCH(O138,O139:O$139,0))&gt;1),0,MATCH(O138,O139:O$139,0))+IF(OR(TYPE(O138)&gt;1,TYPE(MATCH(O138,U$11:U$139,0))&gt;1),0,MATCH(O138,U$11:U$139,0))+IF(OR(TYPE(O138)&gt;1,TYPE(MATCH(O138,AA$11:AA$139,0))&gt;1),0,MATCH(O138,AA$11:AA$139,0))</f>
        <v>0</v>
      </c>
      <c r="AP138" s="319">
        <f ca="1">IF(OR(TYPE(U138)&gt;1,TYPE(MATCH(U138,I$11:I$139,0))&gt;1),0,MATCH(U138,I$11:I$139,0))+IF(OR(TYPE(U138)&gt;1,TYPE(MATCH(U138,O$11:O$139,0))&gt;1),0,MATCH(U138,O$11:O$139,0))+IF(OR(TYPE(U138)&gt;1,TYPE(MATCH(U138,U139:U$139,0))&gt;1),0,MATCH(U138,U139:U$139,0))+IF(OR(TYPE(U138)&gt;1,TYPE(MATCH(U138,AA$11:AA$139,0))&gt;1),0,MATCH(U138,AA$11:AA$139,0))</f>
        <v>0</v>
      </c>
      <c r="AQ138" s="319">
        <f ca="1">IF(OR(TYPE(AA138)&gt;1,TYPE(MATCH(AA138,I$11:I$139,0))&gt;1),0,MATCH(AA138,I$11:I$139,0))+IF(OR(TYPE(AA138)&gt;1,TYPE(MATCH(AA138,O$11:O$139,0))&gt;1),0,MATCH(AA138,O$11:O$139,0))+IF(OR(TYPE(AA138)&gt;1,TYPE(MATCH(AA138,U$11:U$139,0))&gt;1),0,MATCH(U138,U$11:U$139,0))+IF(OR(TYPE(AA138)&gt;1,TYPE(MATCH(AA138,AA139:AA$139,0))&gt;1),0,MATCH(AA138,AA139:AA$139,0))</f>
        <v>0</v>
      </c>
      <c r="AR138" s="319">
        <f t="shared" ca="1" si="36"/>
        <v>0</v>
      </c>
      <c r="AT138" s="318">
        <f t="shared" ca="1" si="34"/>
        <v>0</v>
      </c>
      <c r="AU138" s="318">
        <f ca="1">IF(AND(N(I138)&gt;0,TYPE(VLOOKUP(I138,Hraci!$A$5:$A$800,1,0))&gt;3),1,0) + IF(AND(N(O138)&gt;0,TYPE(VLOOKUP(O138,Hraci!$A$5:$A$800,1,0))&gt;3),1,0) + IF(AND(N(U138)&gt;0,TYPE(VLOOKUP(U138,Hraci!$A$5:$A$800,1,0))&gt;3),1,0)</f>
        <v>0</v>
      </c>
      <c r="BF138" s="319">
        <f t="shared" si="35"/>
        <v>128</v>
      </c>
    </row>
    <row r="139" spans="1:58" ht="12.45" thickTop="1" x14ac:dyDescent="0.4"/>
  </sheetData>
  <sheetProtection password="CA1B" sheet="1" formatCells="0" formatColumns="0" formatRows="0"/>
  <phoneticPr fontId="0" type="noConversion"/>
  <conditionalFormatting sqref="G11:G138">
    <cfRule type="cellIs" dxfId="120" priority="1" stopIfTrue="1" operator="equal">
      <formula>FALSE</formula>
    </cfRule>
    <cfRule type="cellIs" dxfId="119" priority="2" stopIfTrue="1" operator="notEqual">
      <formula>FALSE</formula>
    </cfRule>
    <cfRule type="expression" dxfId="118" priority="3" stopIfTrue="1">
      <formula>IF(B11=0,TRUE,FALSE)</formula>
    </cfRule>
  </conditionalFormatting>
  <conditionalFormatting sqref="I11:I138">
    <cfRule type="expression" dxfId="117" priority="4" stopIfTrue="1">
      <formula>$AN11&gt;0</formula>
    </cfRule>
    <cfRule type="expression" dxfId="116" priority="5" stopIfTrue="1">
      <formula>IF(OR(LEFT(J11,1)=" ",ISBLANK(J11)),TRUE,FALSE)</formula>
    </cfRule>
  </conditionalFormatting>
  <conditionalFormatting sqref="O11:O138">
    <cfRule type="expression" dxfId="115" priority="6" stopIfTrue="1">
      <formula>$AO11&gt;0</formula>
    </cfRule>
    <cfRule type="expression" dxfId="114" priority="7" stopIfTrue="1">
      <formula>IF(OR(LEFT(P11,1)=" ",ISBLANK(P11)),TRUE,FALSE)</formula>
    </cfRule>
  </conditionalFormatting>
  <conditionalFormatting sqref="AA11:AA138 U11:U138">
    <cfRule type="expression" dxfId="113" priority="8" stopIfTrue="1">
      <formula>$AP11&gt;0</formula>
    </cfRule>
    <cfRule type="expression" dxfId="112" priority="9" stopIfTrue="1">
      <formula>IF(OR(LEFT(V11,1)=" ",ISBLANK(V11)),TRUE,FALSE)</formula>
    </cfRule>
  </conditionalFormatting>
  <conditionalFormatting sqref="AG11:AG138">
    <cfRule type="expression" dxfId="111" priority="10" stopIfTrue="1">
      <formula>$AQ11&gt;0</formula>
    </cfRule>
    <cfRule type="expression" dxfId="110" priority="11" stopIfTrue="1">
      <formula>IF(OR(LEFT(AH11,1)=" ",ISBLANK(AH11)),TRUE,FALSE)</formula>
    </cfRule>
  </conditionalFormatting>
  <conditionalFormatting sqref="J11:J138 V11:V138 AB11:AB138 P11:P138">
    <cfRule type="expression" dxfId="109" priority="12" stopIfTrue="1">
      <formula>IF(OR(LEFT(J11,1)=" ",ISBLANK(J11)),TRUE,FALSE)</formula>
    </cfRule>
  </conditionalFormatting>
  <conditionalFormatting sqref="G10">
    <cfRule type="expression" dxfId="108" priority="13" stopIfTrue="1">
      <formula>IF($G$9&gt;0,TRUE,FALSE)</formula>
    </cfRule>
  </conditionalFormatting>
  <pageMargins left="0.78740157499999996" right="0.78740157499999996" top="0.25" bottom="0.21" header="0.4921259845" footer="0.4921259845"/>
  <pageSetup paperSize="9" scale="69"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150" r:id="rId4" name="Button 78">
              <controlPr defaultSize="0" print="0" autoFill="0" autoPict="0" macro="[0]!Nasadit">
                <anchor moveWithCells="1">
                  <from>
                    <xdr:col>14</xdr:col>
                    <xdr:colOff>315686</xdr:colOff>
                    <xdr:row>2</xdr:row>
                    <xdr:rowOff>27214</xdr:rowOff>
                  </from>
                  <to>
                    <xdr:col>16</xdr:col>
                    <xdr:colOff>0</xdr:colOff>
                    <xdr:row>5</xdr:row>
                    <xdr:rowOff>179614</xdr:rowOff>
                  </to>
                </anchor>
              </controlPr>
            </control>
          </mc:Choice>
        </mc:AlternateContent>
        <mc:AlternateContent xmlns:mc="http://schemas.openxmlformats.org/markup-compatibility/2006">
          <mc:Choice Requires="x14">
            <control shapeId="3235" r:id="rId5" name="Button 163">
              <controlPr defaultSize="0" print="0" autoFill="0" autoPict="0" macro="[0]!ZalohovaniSouboru" altText="Zálohování souboru">
                <anchor moveWithCells="1">
                  <from>
                    <xdr:col>16</xdr:col>
                    <xdr:colOff>10886</xdr:colOff>
                    <xdr:row>6</xdr:row>
                    <xdr:rowOff>0</xdr:rowOff>
                  </from>
                  <to>
                    <xdr:col>17</xdr:col>
                    <xdr:colOff>277586</xdr:colOff>
                    <xdr:row>8</xdr:row>
                    <xdr:rowOff>103414</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List10">
    <tabColor rgb="FFFF0000"/>
  </sheetPr>
  <dimension ref="A1:E30"/>
  <sheetViews>
    <sheetView workbookViewId="0"/>
  </sheetViews>
  <sheetFormatPr defaultRowHeight="12" x14ac:dyDescent="0.4"/>
  <cols>
    <col min="4" max="4" width="1.58203125" customWidth="1"/>
    <col min="5" max="5" width="38.25" customWidth="1"/>
    <col min="6" max="6" width="13.25" customWidth="1"/>
    <col min="8" max="8" width="11.4140625" customWidth="1"/>
  </cols>
  <sheetData>
    <row r="1" spans="1:5" ht="12.45" thickBot="1" x14ac:dyDescent="0.45"/>
    <row r="2" spans="1:5" ht="25.75" thickBot="1" x14ac:dyDescent="0.65">
      <c r="B2" s="441" t="s">
        <v>1557</v>
      </c>
      <c r="C2" s="442"/>
      <c r="D2" s="442"/>
      <c r="E2" s="443"/>
    </row>
    <row r="3" spans="1:5" x14ac:dyDescent="0.4">
      <c r="C3" s="133" t="s">
        <v>1558</v>
      </c>
    </row>
    <row r="5" spans="1:5" ht="15.45" x14ac:dyDescent="0.4">
      <c r="B5" s="444" t="s">
        <v>1559</v>
      </c>
    </row>
    <row r="6" spans="1:5" x14ac:dyDescent="0.4">
      <c r="C6" s="133" t="s">
        <v>1560</v>
      </c>
      <c r="E6" s="445"/>
    </row>
    <row r="7" spans="1:5" ht="15.45" x14ac:dyDescent="0.4">
      <c r="A7" s="133"/>
      <c r="C7" s="133" t="s">
        <v>1561</v>
      </c>
      <c r="E7" s="446"/>
    </row>
    <row r="8" spans="1:5" ht="15.45" x14ac:dyDescent="0.4">
      <c r="A8" s="133"/>
      <c r="C8" s="133" t="s">
        <v>1562</v>
      </c>
      <c r="E8" s="447"/>
    </row>
    <row r="9" spans="1:5" x14ac:dyDescent="0.4">
      <c r="C9" s="133" t="s">
        <v>1563</v>
      </c>
      <c r="E9" s="445"/>
    </row>
    <row r="10" spans="1:5" ht="15.45" x14ac:dyDescent="0.4">
      <c r="C10" s="133" t="s">
        <v>1564</v>
      </c>
      <c r="E10" s="448"/>
    </row>
    <row r="11" spans="1:5" x14ac:dyDescent="0.4">
      <c r="C11" s="133" t="s">
        <v>1565</v>
      </c>
      <c r="E11" s="445"/>
    </row>
    <row r="12" spans="1:5" x14ac:dyDescent="0.4">
      <c r="C12" s="133" t="s">
        <v>1566</v>
      </c>
      <c r="E12" s="445"/>
    </row>
    <row r="13" spans="1:5" x14ac:dyDescent="0.4">
      <c r="C13" s="133" t="s">
        <v>1567</v>
      </c>
      <c r="E13" s="445"/>
    </row>
    <row r="14" spans="1:5" x14ac:dyDescent="0.4">
      <c r="C14" s="133" t="s">
        <v>1568</v>
      </c>
      <c r="E14" s="445"/>
    </row>
    <row r="15" spans="1:5" x14ac:dyDescent="0.4">
      <c r="C15" s="133" t="s">
        <v>1569</v>
      </c>
      <c r="E15" s="445"/>
    </row>
    <row r="16" spans="1:5" x14ac:dyDescent="0.4">
      <c r="C16" s="133" t="s">
        <v>1570</v>
      </c>
      <c r="E16" s="445"/>
    </row>
    <row r="17" spans="3:5" x14ac:dyDescent="0.4">
      <c r="C17" s="133" t="s">
        <v>1571</v>
      </c>
      <c r="E17" s="445"/>
    </row>
    <row r="18" spans="3:5" x14ac:dyDescent="0.4">
      <c r="C18" s="133" t="s">
        <v>1572</v>
      </c>
      <c r="E18" s="445"/>
    </row>
    <row r="19" spans="3:5" x14ac:dyDescent="0.4">
      <c r="C19" s="133" t="s">
        <v>1573</v>
      </c>
      <c r="E19" s="445"/>
    </row>
    <row r="20" spans="3:5" x14ac:dyDescent="0.4">
      <c r="C20" s="133" t="s">
        <v>1574</v>
      </c>
      <c r="E20" s="445"/>
    </row>
    <row r="21" spans="3:5" x14ac:dyDescent="0.4">
      <c r="C21" s="133"/>
      <c r="E21" s="445"/>
    </row>
    <row r="22" spans="3:5" x14ac:dyDescent="0.4">
      <c r="C22" s="133" t="s">
        <v>1575</v>
      </c>
      <c r="E22" s="445"/>
    </row>
    <row r="23" spans="3:5" x14ac:dyDescent="0.4">
      <c r="C23" s="133"/>
      <c r="E23" s="445"/>
    </row>
    <row r="24" spans="3:5" x14ac:dyDescent="0.4">
      <c r="C24" s="133" t="s">
        <v>1576</v>
      </c>
      <c r="E24" s="445"/>
    </row>
    <row r="25" spans="3:5" x14ac:dyDescent="0.4">
      <c r="C25" s="133"/>
      <c r="E25" s="445"/>
    </row>
    <row r="26" spans="3:5" x14ac:dyDescent="0.4">
      <c r="C26" s="133" t="s">
        <v>1577</v>
      </c>
      <c r="E26" s="445"/>
    </row>
    <row r="27" spans="3:5" x14ac:dyDescent="0.4">
      <c r="C27" s="133"/>
      <c r="E27" s="445"/>
    </row>
    <row r="28" spans="3:5" x14ac:dyDescent="0.4">
      <c r="C28" s="133" t="s">
        <v>1578</v>
      </c>
      <c r="E28" s="445"/>
    </row>
    <row r="29" spans="3:5" x14ac:dyDescent="0.4">
      <c r="C29" s="133"/>
      <c r="E29" s="445"/>
    </row>
    <row r="30" spans="3:5" x14ac:dyDescent="0.4">
      <c r="C30" s="133" t="s">
        <v>1579</v>
      </c>
      <c r="E30" s="445"/>
    </row>
  </sheetData>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List11">
    <tabColor theme="0" tint="-0.499984740745262"/>
  </sheetPr>
  <dimension ref="A1:BQ132"/>
  <sheetViews>
    <sheetView workbookViewId="0">
      <pane xSplit="1" ySplit="2" topLeftCell="B13" activePane="bottomRight" state="frozen"/>
      <selection pane="topRight" activeCell="B1" sqref="B1"/>
      <selection pane="bottomLeft" activeCell="A3" sqref="A3"/>
      <selection pane="bottomRight" sqref="A1:J59"/>
    </sheetView>
  </sheetViews>
  <sheetFormatPr defaultColWidth="9.1640625" defaultRowHeight="12" x14ac:dyDescent="0.4"/>
  <cols>
    <col min="1" max="1" width="9" style="318" customWidth="1"/>
    <col min="2" max="2" width="47.75" style="319" customWidth="1"/>
    <col min="3" max="3" width="8.4140625" style="319" customWidth="1"/>
    <col min="4" max="4" width="2.83203125" style="319" customWidth="1"/>
    <col min="5" max="5" width="5.58203125" style="319" customWidth="1"/>
    <col min="6" max="7" width="6.4140625" style="319" customWidth="1"/>
    <col min="8" max="8" width="6.4140625" style="319" hidden="1" customWidth="1"/>
    <col min="9" max="9" width="5.58203125" style="319" hidden="1" customWidth="1"/>
    <col min="10" max="10" width="5.58203125" style="319" customWidth="1"/>
    <col min="11" max="11" width="2.1640625" style="319" customWidth="1"/>
    <col min="12" max="17" width="5" style="319" customWidth="1"/>
    <col min="18" max="18" width="2.1640625" style="319" customWidth="1"/>
    <col min="19" max="19" width="5.83203125" style="319" customWidth="1"/>
    <col min="20" max="21" width="5.58203125" style="319" customWidth="1"/>
    <col min="22" max="25" width="0" style="319" hidden="1" customWidth="1"/>
    <col min="26" max="27" width="1.75" style="319" customWidth="1"/>
    <col min="28" max="28" width="5.83203125" style="319" customWidth="1"/>
    <col min="29" max="30" width="5.58203125" style="319" customWidth="1"/>
    <col min="31" max="34" width="0" style="319" hidden="1" customWidth="1"/>
    <col min="35" max="36" width="1.75" style="319" customWidth="1"/>
    <col min="37" max="37" width="5.83203125" style="319" customWidth="1"/>
    <col min="38" max="39" width="5.58203125" style="319" customWidth="1"/>
    <col min="40" max="43" width="0" style="319" hidden="1" customWidth="1"/>
    <col min="44" max="45" width="1.75" style="319" customWidth="1"/>
    <col min="46" max="46" width="5.83203125" style="319" customWidth="1"/>
    <col min="47" max="48" width="5.58203125" style="319" customWidth="1"/>
    <col min="49" max="52" width="0" style="319" hidden="1" customWidth="1"/>
    <col min="53" max="54" width="1.75" style="319" customWidth="1"/>
    <col min="55" max="55" width="5.83203125" style="319" customWidth="1"/>
    <col min="56" max="57" width="5.58203125" style="319" customWidth="1"/>
    <col min="58" max="61" width="0" style="319" hidden="1" customWidth="1"/>
    <col min="62" max="63" width="1.75" style="319" customWidth="1"/>
    <col min="64" max="64" width="5.83203125" style="319" customWidth="1"/>
    <col min="65" max="66" width="5.58203125" style="319" customWidth="1"/>
    <col min="67" max="69" width="0" style="319" hidden="1" customWidth="1"/>
    <col min="70" max="70" width="4.75" style="319" customWidth="1"/>
    <col min="71" max="16384" width="9.1640625" style="319"/>
  </cols>
  <sheetData>
    <row r="1" spans="1:69" ht="25.75" thickBot="1" x14ac:dyDescent="0.65">
      <c r="A1" s="433">
        <f>Start.listina!$Y$2</f>
        <v>4</v>
      </c>
      <c r="B1" s="436" t="s">
        <v>1580</v>
      </c>
      <c r="C1" s="435"/>
      <c r="E1" s="471" t="s">
        <v>1581</v>
      </c>
      <c r="F1" s="471"/>
      <c r="G1" s="471"/>
      <c r="H1" s="471"/>
      <c r="I1" s="471"/>
      <c r="J1" s="318"/>
      <c r="L1" s="471" t="s">
        <v>1582</v>
      </c>
      <c r="M1" s="471"/>
      <c r="N1" s="471"/>
      <c r="O1" s="471"/>
      <c r="P1" s="471"/>
      <c r="S1" s="470" t="s">
        <v>1583</v>
      </c>
      <c r="T1" s="470"/>
      <c r="U1" s="470"/>
      <c r="V1" s="470"/>
      <c r="W1" s="470"/>
      <c r="X1" s="470"/>
      <c r="Y1" s="400"/>
      <c r="Z1" s="318"/>
      <c r="AA1" s="318"/>
      <c r="AB1" s="470" t="s">
        <v>1584</v>
      </c>
      <c r="AC1" s="470"/>
      <c r="AD1" s="470"/>
      <c r="AE1" s="470"/>
      <c r="AF1" s="470"/>
      <c r="AG1" s="470"/>
      <c r="AH1" s="400">
        <v>0</v>
      </c>
      <c r="AI1" s="318"/>
      <c r="AJ1" s="318"/>
      <c r="AK1" s="470" t="s">
        <v>1585</v>
      </c>
      <c r="AL1" s="470"/>
      <c r="AM1" s="470"/>
      <c r="AN1" s="470"/>
      <c r="AO1" s="470"/>
      <c r="AP1" s="470"/>
      <c r="AQ1" s="400">
        <v>0</v>
      </c>
      <c r="AR1" s="318"/>
      <c r="AS1" s="318"/>
      <c r="AT1" s="470" t="s">
        <v>1586</v>
      </c>
      <c r="AU1" s="470"/>
      <c r="AV1" s="470"/>
      <c r="AW1" s="470"/>
      <c r="AX1" s="470"/>
      <c r="AY1" s="470"/>
      <c r="AZ1" s="400">
        <v>0</v>
      </c>
      <c r="BA1" s="318"/>
      <c r="BB1" s="318"/>
      <c r="BC1" s="470" t="s">
        <v>1587</v>
      </c>
      <c r="BD1" s="470"/>
      <c r="BE1" s="470"/>
      <c r="BF1" s="470"/>
      <c r="BG1" s="470"/>
      <c r="BH1" s="470"/>
      <c r="BI1" s="400">
        <v>0</v>
      </c>
      <c r="BJ1" s="318"/>
      <c r="BK1" s="318"/>
      <c r="BL1" s="470" t="s">
        <v>1588</v>
      </c>
      <c r="BM1" s="470"/>
      <c r="BN1" s="470"/>
      <c r="BO1" s="470"/>
      <c r="BP1" s="470"/>
      <c r="BQ1" s="470"/>
    </row>
    <row r="2" spans="1:69" ht="42.65" customHeight="1" thickTop="1" thickBot="1" x14ac:dyDescent="0.45">
      <c r="A2" s="432" t="s">
        <v>1589</v>
      </c>
      <c r="B2" s="434" t="s">
        <v>1549</v>
      </c>
      <c r="C2" s="434" t="s">
        <v>1590</v>
      </c>
      <c r="E2" s="406" t="s">
        <v>1591</v>
      </c>
      <c r="F2" s="407" t="s">
        <v>1592</v>
      </c>
      <c r="G2" s="407" t="s">
        <v>1593</v>
      </c>
      <c r="H2" s="407" t="s">
        <v>1594</v>
      </c>
      <c r="I2" s="415" t="s">
        <v>1595</v>
      </c>
      <c r="J2" s="416" t="s">
        <v>1596</v>
      </c>
      <c r="L2" s="414" t="s">
        <v>1597</v>
      </c>
      <c r="M2" s="415" t="s">
        <v>1598</v>
      </c>
      <c r="N2" s="415" t="s">
        <v>1599</v>
      </c>
      <c r="O2" s="415" t="s">
        <v>1600</v>
      </c>
      <c r="P2" s="415" t="s">
        <v>1601</v>
      </c>
      <c r="Q2" s="416" t="s">
        <v>1602</v>
      </c>
      <c r="S2" s="417" t="s">
        <v>1603</v>
      </c>
      <c r="T2" s="417" t="s">
        <v>1604</v>
      </c>
      <c r="U2" s="418" t="s">
        <v>1596</v>
      </c>
      <c r="V2" s="418" t="s">
        <v>1595</v>
      </c>
      <c r="W2" s="418" t="s">
        <v>1605</v>
      </c>
      <c r="X2" s="418" t="s">
        <v>1606</v>
      </c>
      <c r="Y2" s="419" t="s">
        <v>1536</v>
      </c>
      <c r="AB2" s="417" t="s">
        <v>1603</v>
      </c>
      <c r="AC2" s="417" t="s">
        <v>1604</v>
      </c>
      <c r="AD2" s="418" t="s">
        <v>1596</v>
      </c>
      <c r="AE2" s="418" t="s">
        <v>1595</v>
      </c>
      <c r="AF2" s="418" t="s">
        <v>1605</v>
      </c>
      <c r="AG2" s="418" t="s">
        <v>1606</v>
      </c>
      <c r="AH2" s="420" t="s">
        <v>1536</v>
      </c>
      <c r="AK2" s="417" t="s">
        <v>1603</v>
      </c>
      <c r="AL2" s="417" t="s">
        <v>1604</v>
      </c>
      <c r="AM2" s="418" t="s">
        <v>1596</v>
      </c>
      <c r="AN2" s="418" t="s">
        <v>1595</v>
      </c>
      <c r="AO2" s="418" t="s">
        <v>1605</v>
      </c>
      <c r="AP2" s="418" t="s">
        <v>1606</v>
      </c>
      <c r="AQ2" s="420" t="s">
        <v>1536</v>
      </c>
      <c r="AT2" s="417" t="s">
        <v>1603</v>
      </c>
      <c r="AU2" s="417" t="s">
        <v>1604</v>
      </c>
      <c r="AV2" s="418" t="s">
        <v>1596</v>
      </c>
      <c r="AW2" s="418" t="s">
        <v>1595</v>
      </c>
      <c r="AX2" s="418" t="s">
        <v>1605</v>
      </c>
      <c r="AY2" s="418" t="s">
        <v>1606</v>
      </c>
      <c r="AZ2" s="420" t="s">
        <v>1536</v>
      </c>
      <c r="BC2" s="417" t="s">
        <v>1603</v>
      </c>
      <c r="BD2" s="417" t="s">
        <v>1604</v>
      </c>
      <c r="BE2" s="418" t="s">
        <v>1596</v>
      </c>
      <c r="BF2" s="418" t="s">
        <v>1595</v>
      </c>
      <c r="BG2" s="418" t="s">
        <v>1605</v>
      </c>
      <c r="BH2" s="418" t="s">
        <v>1606</v>
      </c>
      <c r="BI2" s="420" t="s">
        <v>1536</v>
      </c>
      <c r="BL2" s="417" t="s">
        <v>1603</v>
      </c>
      <c r="BM2" s="417" t="s">
        <v>1604</v>
      </c>
      <c r="BN2" s="418" t="s">
        <v>1596</v>
      </c>
      <c r="BO2" s="418" t="s">
        <v>1595</v>
      </c>
      <c r="BP2" s="418" t="s">
        <v>1605</v>
      </c>
      <c r="BQ2" s="418" t="s">
        <v>1606</v>
      </c>
    </row>
    <row r="3" spans="1:69" x14ac:dyDescent="0.4">
      <c r="A3" s="318">
        <f ca="1">Centrum!A3</f>
        <v>1</v>
      </c>
      <c r="B3" s="421" t="str">
        <f ca="1">IF(OR($A3="",TYPE(VLOOKUP($A3,Centrum!$D$3:$M$130,10,0))&gt;3),"",VLOOKUP(VLOOKUP(A3,Centrum!$D$3:$M$130,10,0),Centrum!$A$3:$CB$130,B$132,0))</f>
        <v>4 1. KPK Vrchlabí - Srnský Lubomír</v>
      </c>
      <c r="C3" s="318">
        <f ca="1">IF(OR($A3="",TYPE(VLOOKUP($A3,Centrum!$D$3:$M$130,10,0))&gt;3),"",VLOOKUP($A3,Centrum!$D$3:$M$130,10,0))</f>
        <v>4</v>
      </c>
      <c r="E3" s="318">
        <f ca="1">IF(OR($A3="",TYPE(VLOOKUP($A3,Centrum!$D$3:$M$130,10,0))&gt;3),"",VLOOKUP(VLOOKUP($A3,Centrum!$D$3:$M$130,10,0),Centrum!$A$3:$CB$130,E$132,0))</f>
        <v>4</v>
      </c>
      <c r="F3" s="318">
        <f ca="1">IF(OR($A3="",TYPE(VLOOKUP($A3,Centrum!$D$3:$M$130,10,0))&gt;3),"",VLOOKUP(VLOOKUP($A3,Centrum!$D$3:$M$130,10,0),Centrum!$A$3:$CB$130,F$132,0))</f>
        <v>9</v>
      </c>
      <c r="G3" s="318">
        <f ca="1">IF(OR($A3="",TYPE(VLOOKUP($A3,Centrum!$D$3:$M$130,10,0))&gt;3),"",VLOOKUP(VLOOKUP($A3,Centrum!$D$3:$M$130,10,0),Centrum!$A$3:$CB$130,G$132,0))</f>
        <v>40</v>
      </c>
      <c r="H3" s="318">
        <f ca="1">IF($A3="","",VLOOKUP(VLOOKUP($A3,Centrum!$D$3:$M$130,10,0),Centrum!$A$3:$CB$130,H$132,0))</f>
        <v>9</v>
      </c>
      <c r="I3" s="318">
        <f ca="1">IF($A3="","",VLOOKUP(VLOOKUP($A3,Centrum!$D$3:$M$130,10,0),Centrum!$A$3:$CB$130,I$132,0))</f>
        <v>0</v>
      </c>
      <c r="J3" s="318">
        <f ca="1">IF(OR($A3="",TYPE(VLOOKUP($A3,Centrum!$D$3:$M$130,10,0))&gt;3),"",VLOOKUP(VLOOKUP($A3,Centrum!$D$3:$M$130,10,0),Centrum!$A$3:$CB$130,J$132,0))</f>
        <v>21</v>
      </c>
      <c r="L3" s="318">
        <f ca="1">IF(OR($A3="",TYPE(VLOOKUP($A3,Centrum!$D$3:$M$130,10,0))&gt;3),"",VLOOKUP(VLOOKUP($A3,Centrum!$D$3:$M$130,10,0),Centrum!$A$3:$CB$130,L$132,0))</f>
        <v>32</v>
      </c>
      <c r="M3" s="318">
        <f ca="1">IF(OR($A3="",TYPE(VLOOKUP($A3,Centrum!$D$3:$M$130,10,0))&gt;3),"",VLOOKUP(VLOOKUP($A3,Centrum!$D$3:$M$130,10,0),Centrum!$A$3:$CB$130,M$132,0))</f>
        <v>3</v>
      </c>
      <c r="N3" s="318">
        <f ca="1">IF(OR($A3="",TYPE(VLOOKUP($A3,Centrum!$D$3:$M$130,10,0))&gt;3),"",VLOOKUP(VLOOKUP($A3,Centrum!$D$3:$M$130,10,0),Centrum!$A$3:$CB$130,N$132,0))</f>
        <v>34</v>
      </c>
      <c r="O3" s="318">
        <f ca="1">IF(OR($A3="",TYPE(VLOOKUP($A3,Centrum!$D$3:$M$130,10,0))&gt;3),"",VLOOKUP(VLOOKUP($A3,Centrum!$D$3:$M$130,10,0),Centrum!$A$3:$CB$130,O$132,0))</f>
        <v>23</v>
      </c>
      <c r="P3" s="318">
        <f ca="1">IF(OR($A3="",TYPE(VLOOKUP($A3,Centrum!$D$3:$M$130,10,0))&gt;3),"",VLOOKUP(VLOOKUP($A3,Centrum!$D$3:$M$130,10,0),Centrum!$A$3:$CB$130,P$132,0))</f>
        <v>0</v>
      </c>
      <c r="Q3" s="318">
        <f ca="1">IF(OR($A3="",TYPE(VLOOKUP($A3,Centrum!$D$3:$M$130,10,0))&gt;3),"",VLOOKUP(VLOOKUP($A3,Centrum!$D$3:$M$130,10,0),Centrum!$A$3:$CB$130,Q$132,0))</f>
        <v>0</v>
      </c>
      <c r="S3" s="318">
        <f ca="1">IF(OR($A3="",TYPE(VLOOKUP($A3,Centrum!$D$3:$M$130,10,0))&gt;3),"",VLOOKUP(VLOOKUP($A3,Centrum!$D$3:$M$130,10,0),Centrum!$A$3:$CB$130,S$132,0))</f>
        <v>32</v>
      </c>
      <c r="T3" s="318">
        <f ca="1">IF(OR($A3="",TYPE(VLOOKUP($A3,Centrum!$D$3:$M$130,10,0))&gt;3),"",VLOOKUP(VLOOKUP($A3,Centrum!$D$3:$M$130,10,0),Centrum!$A$3:$CB$130,T$132,0))</f>
        <v>1</v>
      </c>
      <c r="U3" s="318">
        <f ca="1">IF(OR($A3="",TYPE(VLOOKUP($A3,Centrum!$D$3:$M$130,10,0))&gt;3),"",VLOOKUP(VLOOKUP($A3,Centrum!$D$3:$M$130,10,0),Centrum!$A$3:$CB$130,U$132,0))</f>
        <v>1</v>
      </c>
      <c r="AB3" s="318">
        <f ca="1">IF(OR($A3="",TYPE(VLOOKUP($A3,Centrum!$D$3:$M$130,10,0))&gt;3),"",VLOOKUP(VLOOKUP($A3,Centrum!$D$3:$M$130,10,0),Centrum!$A$3:$CB$130,AB$132,0))</f>
        <v>3</v>
      </c>
      <c r="AC3" s="318">
        <f ca="1">IF(OR($A3="",TYPE(VLOOKUP($A3,Centrum!$D$3:$M$130,10,0))&gt;3),"",VLOOKUP(VLOOKUP($A3,Centrum!$D$3:$M$130,10,0),Centrum!$A$3:$CB$130,AC$132,0))</f>
        <v>1</v>
      </c>
      <c r="AD3" s="318">
        <f ca="1">IF(OR($A3="",TYPE(VLOOKUP($A3,Centrum!$D$3:$M$130,10,0))&gt;3),"",VLOOKUP(VLOOKUP($A3,Centrum!$D$3:$M$130,10,0),Centrum!$A$3:$CB$130,AD$132,0))</f>
        <v>10</v>
      </c>
      <c r="AK3" s="318">
        <f ca="1">IF(OR($A3="",TYPE(VLOOKUP($A3,Centrum!$D$3:$M$130,10,0))&gt;3),"",VLOOKUP(VLOOKUP($A3,Centrum!$D$3:$M$130,10,0),Centrum!$A$3:$CB$130,AK$132,0))</f>
        <v>34</v>
      </c>
      <c r="AL3" s="318">
        <f ca="1">IF(OR($A3="",TYPE(VLOOKUP($A3,Centrum!$D$3:$M$130,10,0))&gt;3),"",VLOOKUP(VLOOKUP($A3,Centrum!$D$3:$M$130,10,0),Centrum!$A$3:$CB$130,AL$132,0))</f>
        <v>1</v>
      </c>
      <c r="AM3" s="318">
        <f ca="1">IF(OR($A3="",TYPE(VLOOKUP($A3,Centrum!$D$3:$M$130,10,0))&gt;3),"",VLOOKUP(VLOOKUP($A3,Centrum!$D$3:$M$130,10,0),Centrum!$A$3:$CB$130,AM$132,0))</f>
        <v>8</v>
      </c>
      <c r="AT3" s="318">
        <f ca="1">IF(OR(OR($A3="",TYPE(VLOOKUP($A3,Centrum!$D$3:$M$130,10,0))&gt;3),$A$1&lt;4),"",VLOOKUP(VLOOKUP($A3,Centrum!$D$3:$M$130,10,0),Centrum!$A$3:$CB$130,AT$132,0))</f>
        <v>23</v>
      </c>
      <c r="AU3" s="318">
        <f ca="1">IF(OR(OR($A3="",TYPE(VLOOKUP($A3,Centrum!$D$3:$M$130,10,0))&gt;3),$A$1&lt;4),"",VLOOKUP(VLOOKUP($A3,Centrum!$D$3:$M$130,10,0),Centrum!$A$3:$CB$130,AU$132,0))</f>
        <v>1</v>
      </c>
      <c r="AV3" s="318">
        <f ca="1">IF(OR(OR($A3="",TYPE(VLOOKUP($A3,Centrum!$D$3:$M$130,10,0))&gt;3),$A$1&lt;4),"",VLOOKUP(VLOOKUP($A3,Centrum!$D$3:$M$130,10,0),Centrum!$A$3:$CB$130,AV$132,0))</f>
        <v>2</v>
      </c>
      <c r="BC3" s="318" t="str">
        <f ca="1">IF(OR(OR($A3="",TYPE(VLOOKUP($A3,Centrum!$D$3:$M$130,10,0))&gt;3),$A$1&lt;5),"",VLOOKUP(VLOOKUP($A3,Centrum!$D$3:$M$130,10,0),Centrum!$A$3:$CB$130,BC$132,0))</f>
        <v/>
      </c>
      <c r="BD3" s="318" t="str">
        <f ca="1">IF(OR(OR($A3="",TYPE(VLOOKUP($A3,Centrum!$D$3:$M$130,10,0))&gt;3),$A$1&lt;5),"",VLOOKUP(VLOOKUP($A3,Centrum!$D$3:$M$130,10,0),Centrum!$A$3:$CB$130,BD$132,0))</f>
        <v/>
      </c>
      <c r="BE3" s="318" t="str">
        <f ca="1">IF(OR(OR($A3="",TYPE(VLOOKUP($A3,Centrum!$D$3:$M$130,10,0))&gt;3),$A$1&lt;5),"",VLOOKUP(VLOOKUP($A3,Centrum!$D$3:$M$130,10,0),Centrum!$A$3:$CB$130,BE$132,0))</f>
        <v/>
      </c>
      <c r="BL3" s="318" t="str">
        <f ca="1">IF(OR(OR($A3="",TYPE(VLOOKUP($A3,Centrum!$D$3:$M$130,10,0))&gt;3),$A$1&lt;6),"",VLOOKUP(VLOOKUP($A3,Centrum!$D$3:$M$130,10,0),Centrum!$A$3:$CB$130,BL$132,0))</f>
        <v/>
      </c>
      <c r="BM3" s="318" t="str">
        <f ca="1">IF(OR(OR($A3="",TYPE(VLOOKUP($A3,Centrum!$D$3:$M$130,10,0))&gt;3),$A$1&lt;6),"",VLOOKUP(VLOOKUP($A3,Centrum!$D$3:$M$130,10,0),Centrum!$A$3:$CB$130,BM$132,0))</f>
        <v/>
      </c>
      <c r="BN3" s="318" t="str">
        <f ca="1">IF(OR(OR($A3="",TYPE(VLOOKUP($A3,Centrum!$D$3:$M$130,10,0))&gt;3),$A$1&lt;6),"",VLOOKUP(VLOOKUP($A3,Centrum!$D$3:$M$130,10,0),Centrum!$A$3:$CB$130,BN$132,0))</f>
        <v/>
      </c>
    </row>
    <row r="4" spans="1:69" x14ac:dyDescent="0.4">
      <c r="A4" s="318">
        <f ca="1">Centrum!A4</f>
        <v>2</v>
      </c>
      <c r="B4" s="421" t="str">
        <f ca="1">IF(OR($A4="",TYPE(VLOOKUP($A4,Centrum!$D$3:$M$130,10,0))&gt;3),"",VLOOKUP(VLOOKUP(A4,Centrum!$D$3:$M$130,10,0),Centrum!$A$3:$CB$130,B$132,0))</f>
        <v>1 PC Sokol Lipník - Vavrovič ml. Petr</v>
      </c>
      <c r="C4" s="318">
        <f ca="1">IF(OR($A4="",TYPE(VLOOKUP($A4,Centrum!$D$3:$M$130,10,0))&gt;3),"",VLOOKUP($A4,Centrum!$D$3:$M$130,10,0))</f>
        <v>1</v>
      </c>
      <c r="E4" s="318">
        <f ca="1">IF(OR($A4="",TYPE(VLOOKUP($A4,Centrum!$D$3:$M$130,10,0))&gt;3),"",VLOOKUP(VLOOKUP($A4,Centrum!$D$3:$M$130,10,0),Centrum!$A$3:$CB$130,E$132,0))</f>
        <v>4</v>
      </c>
      <c r="F4" s="318">
        <f ca="1">IF(OR($A4="",TYPE(VLOOKUP($A4,Centrum!$D$3:$M$130,10,0))&gt;3),"",VLOOKUP(VLOOKUP($A4,Centrum!$D$3:$M$130,10,0),Centrum!$A$3:$CB$130,F$132,0))</f>
        <v>9</v>
      </c>
      <c r="G4" s="318">
        <f ca="1">IF(OR($A4="",TYPE(VLOOKUP($A4,Centrum!$D$3:$M$130,10,0))&gt;3),"",VLOOKUP(VLOOKUP($A4,Centrum!$D$3:$M$130,10,0),Centrum!$A$3:$CB$130,G$132,0))</f>
        <v>39</v>
      </c>
      <c r="H4" s="318">
        <f ca="1">IF($A4="","",VLOOKUP(VLOOKUP($A4,Centrum!$D$3:$M$130,10,0),Centrum!$A$3:$CB$130,H$132,0))</f>
        <v>9</v>
      </c>
      <c r="I4" s="318">
        <f ca="1">IF($A4="","",VLOOKUP(VLOOKUP($A4,Centrum!$D$3:$M$130,10,0),Centrum!$A$3:$CB$130,I$132,0))</f>
        <v>4</v>
      </c>
      <c r="J4" s="318">
        <f ca="1">IF(OR($A4="",TYPE(VLOOKUP($A4,Centrum!$D$3:$M$130,10,0))&gt;3),"",VLOOKUP(VLOOKUP($A4,Centrum!$D$3:$M$130,10,0),Centrum!$A$3:$CB$130,J$132,0))</f>
        <v>33</v>
      </c>
      <c r="L4" s="318">
        <f ca="1">IF(OR($A4="",TYPE(VLOOKUP($A4,Centrum!$D$3:$M$130,10,0))&gt;3),"",VLOOKUP(VLOOKUP($A4,Centrum!$D$3:$M$130,10,0),Centrum!$A$3:$CB$130,L$132,0))</f>
        <v>29</v>
      </c>
      <c r="M4" s="318">
        <f ca="1">IF(OR($A4="",TYPE(VLOOKUP($A4,Centrum!$D$3:$M$130,10,0))&gt;3),"",VLOOKUP(VLOOKUP($A4,Centrum!$D$3:$M$130,10,0),Centrum!$A$3:$CB$130,M$132,0))</f>
        <v>27</v>
      </c>
      <c r="N4" s="318">
        <f ca="1">IF(OR($A4="",TYPE(VLOOKUP($A4,Centrum!$D$3:$M$130,10,0))&gt;3),"",VLOOKUP(VLOOKUP($A4,Centrum!$D$3:$M$130,10,0),Centrum!$A$3:$CB$130,N$132,0))</f>
        <v>49</v>
      </c>
      <c r="O4" s="318">
        <f ca="1">IF(OR($A4="",TYPE(VLOOKUP($A4,Centrum!$D$3:$M$130,10,0))&gt;3),"",VLOOKUP(VLOOKUP($A4,Centrum!$D$3:$M$130,10,0),Centrum!$A$3:$CB$130,O$132,0))</f>
        <v>14</v>
      </c>
      <c r="P4" s="318">
        <f ca="1">IF(OR($A4="",TYPE(VLOOKUP($A4,Centrum!$D$3:$M$130,10,0))&gt;3),"",VLOOKUP(VLOOKUP($A4,Centrum!$D$3:$M$130,10,0),Centrum!$A$3:$CB$130,P$132,0))</f>
        <v>0</v>
      </c>
      <c r="Q4" s="318">
        <f ca="1">IF(OR($A4="",TYPE(VLOOKUP($A4,Centrum!$D$3:$M$130,10,0))&gt;3),"",VLOOKUP(VLOOKUP($A4,Centrum!$D$3:$M$130,10,0),Centrum!$A$3:$CB$130,Q$132,0))</f>
        <v>0</v>
      </c>
      <c r="S4" s="318">
        <f ca="1">IF(OR($A4="",TYPE(VLOOKUP($A4,Centrum!$D$3:$M$130,10,0))&gt;3),"",VLOOKUP(VLOOKUP($A4,Centrum!$D$3:$M$130,10,0),Centrum!$A$3:$CB$130,S$132,0))</f>
        <v>29</v>
      </c>
      <c r="T4" s="318">
        <f ca="1">IF(OR($A4="",TYPE(VLOOKUP($A4,Centrum!$D$3:$M$130,10,0))&gt;3),"",VLOOKUP(VLOOKUP($A4,Centrum!$D$3:$M$130,10,0),Centrum!$A$3:$CB$130,T$132,0))</f>
        <v>1</v>
      </c>
      <c r="U4" s="318">
        <f ca="1">IF(OR($A4="",TYPE(VLOOKUP($A4,Centrum!$D$3:$M$130,10,0))&gt;3),"",VLOOKUP(VLOOKUP($A4,Centrum!$D$3:$M$130,10,0),Centrum!$A$3:$CB$130,U$132,0))</f>
        <v>4</v>
      </c>
      <c r="AB4" s="318">
        <f ca="1">IF(OR($A4="",TYPE(VLOOKUP($A4,Centrum!$D$3:$M$130,10,0))&gt;3),"",VLOOKUP(VLOOKUP($A4,Centrum!$D$3:$M$130,10,0),Centrum!$A$3:$CB$130,AB$132,0))</f>
        <v>27</v>
      </c>
      <c r="AC4" s="318">
        <f ca="1">IF(OR($A4="",TYPE(VLOOKUP($A4,Centrum!$D$3:$M$130,10,0))&gt;3),"",VLOOKUP(VLOOKUP($A4,Centrum!$D$3:$M$130,10,0),Centrum!$A$3:$CB$130,AC$132,0))</f>
        <v>1</v>
      </c>
      <c r="AD4" s="318">
        <f ca="1">IF(OR($A4="",TYPE(VLOOKUP($A4,Centrum!$D$3:$M$130,10,0))&gt;3),"",VLOOKUP(VLOOKUP($A4,Centrum!$D$3:$M$130,10,0),Centrum!$A$3:$CB$130,AD$132,0))</f>
        <v>12</v>
      </c>
      <c r="AK4" s="318">
        <f ca="1">IF(OR($A4="",TYPE(VLOOKUP($A4,Centrum!$D$3:$M$130,10,0))&gt;3),"",VLOOKUP(VLOOKUP($A4,Centrum!$D$3:$M$130,10,0),Centrum!$A$3:$CB$130,AK$132,0))</f>
        <v>49</v>
      </c>
      <c r="AL4" s="318">
        <f ca="1">IF(OR($A4="",TYPE(VLOOKUP($A4,Centrum!$D$3:$M$130,10,0))&gt;3),"",VLOOKUP(VLOOKUP($A4,Centrum!$D$3:$M$130,10,0),Centrum!$A$3:$CB$130,AL$132,0))</f>
        <v>1</v>
      </c>
      <c r="AM4" s="318">
        <f ca="1">IF(OR($A4="",TYPE(VLOOKUP($A4,Centrum!$D$3:$M$130,10,0))&gt;3),"",VLOOKUP(VLOOKUP($A4,Centrum!$D$3:$M$130,10,0),Centrum!$A$3:$CB$130,AM$132,0))</f>
        <v>7</v>
      </c>
      <c r="AT4" s="318">
        <f ca="1">IF(OR(OR($A4="",TYPE(VLOOKUP($A4,Centrum!$D$3:$M$130,10,0))&gt;3),$A$1&lt;4),"",VLOOKUP(VLOOKUP($A4,Centrum!$D$3:$M$130,10,0),Centrum!$A$3:$CB$130,AT$132,0))</f>
        <v>14</v>
      </c>
      <c r="AU4" s="318">
        <f ca="1">IF(OR(OR($A4="",TYPE(VLOOKUP($A4,Centrum!$D$3:$M$130,10,0))&gt;3),$A$1&lt;4),"",VLOOKUP(VLOOKUP($A4,Centrum!$D$3:$M$130,10,0),Centrum!$A$3:$CB$130,AU$132,0))</f>
        <v>1</v>
      </c>
      <c r="AV4" s="318">
        <f ca="1">IF(OR(OR($A4="",TYPE(VLOOKUP($A4,Centrum!$D$3:$M$130,10,0))&gt;3),$A$1&lt;4),"",VLOOKUP(VLOOKUP($A4,Centrum!$D$3:$M$130,10,0),Centrum!$A$3:$CB$130,AV$132,0))</f>
        <v>10</v>
      </c>
      <c r="BC4" s="318" t="str">
        <f ca="1">IF(OR(OR($A4="",TYPE(VLOOKUP($A4,Centrum!$D$3:$M$130,10,0))&gt;3),$A$1&lt;5),"",VLOOKUP(VLOOKUP($A4,Centrum!$D$3:$M$130,10,0),Centrum!$A$3:$CB$130,BC$132,0))</f>
        <v/>
      </c>
      <c r="BD4" s="318" t="str">
        <f ca="1">IF(OR(OR($A4="",TYPE(VLOOKUP($A4,Centrum!$D$3:$M$130,10,0))&gt;3),$A$1&lt;5),"",VLOOKUP(VLOOKUP($A4,Centrum!$D$3:$M$130,10,0),Centrum!$A$3:$CB$130,BD$132,0))</f>
        <v/>
      </c>
      <c r="BE4" s="318" t="str">
        <f ca="1">IF(OR(OR($A4="",TYPE(VLOOKUP($A4,Centrum!$D$3:$M$130,10,0))&gt;3),$A$1&lt;5),"",VLOOKUP(VLOOKUP($A4,Centrum!$D$3:$M$130,10,0),Centrum!$A$3:$CB$130,BE$132,0))</f>
        <v/>
      </c>
      <c r="BL4" s="318" t="str">
        <f ca="1">IF(OR(OR($A4="",TYPE(VLOOKUP($A4,Centrum!$D$3:$M$130,10,0))&gt;3),$A$1&lt;6),"",VLOOKUP(VLOOKUP($A4,Centrum!$D$3:$M$130,10,0),Centrum!$A$3:$CB$130,BL$132,0))</f>
        <v/>
      </c>
      <c r="BM4" s="318" t="str">
        <f ca="1">IF(OR(OR($A4="",TYPE(VLOOKUP($A4,Centrum!$D$3:$M$130,10,0))&gt;3),$A$1&lt;6),"",VLOOKUP(VLOOKUP($A4,Centrum!$D$3:$M$130,10,0),Centrum!$A$3:$CB$130,BM$132,0))</f>
        <v/>
      </c>
      <c r="BN4" s="318" t="str">
        <f ca="1">IF(OR(OR($A4="",TYPE(VLOOKUP($A4,Centrum!$D$3:$M$130,10,0))&gt;3),$A$1&lt;6),"",VLOOKUP(VLOOKUP($A4,Centrum!$D$3:$M$130,10,0),Centrum!$A$3:$CB$130,BN$132,0))</f>
        <v/>
      </c>
    </row>
    <row r="5" spans="1:69" x14ac:dyDescent="0.4">
      <c r="A5" s="318">
        <f ca="1">Centrum!A5</f>
        <v>3</v>
      </c>
      <c r="B5" s="421" t="str">
        <f ca="1">IF(OR($A5="",TYPE(VLOOKUP($A5,Centrum!$D$3:$M$130,10,0))&gt;3),"",VLOOKUP(VLOOKUP(A5,Centrum!$D$3:$M$130,10,0),Centrum!$A$3:$CB$130,B$132,0))</f>
        <v>2 PLUK Jablonec - Lukáš Vojtěch</v>
      </c>
      <c r="C5" s="318">
        <f ca="1">IF(OR($A5="",TYPE(VLOOKUP($A5,Centrum!$D$3:$M$130,10,0))&gt;3),"",VLOOKUP($A5,Centrum!$D$3:$M$130,10,0))</f>
        <v>2</v>
      </c>
      <c r="E5" s="318">
        <f ca="1">IF(OR($A5="",TYPE(VLOOKUP($A5,Centrum!$D$3:$M$130,10,0))&gt;3),"",VLOOKUP(VLOOKUP($A5,Centrum!$D$3:$M$130,10,0),Centrum!$A$3:$CB$130,E$132,0))</f>
        <v>4</v>
      </c>
      <c r="F5" s="318">
        <f ca="1">IF(OR($A5="",TYPE(VLOOKUP($A5,Centrum!$D$3:$M$130,10,0))&gt;3),"",VLOOKUP(VLOOKUP($A5,Centrum!$D$3:$M$130,10,0),Centrum!$A$3:$CB$130,F$132,0))</f>
        <v>7</v>
      </c>
      <c r="G5" s="318">
        <f ca="1">IF(OR($A5="",TYPE(VLOOKUP($A5,Centrum!$D$3:$M$130,10,0))&gt;3),"",VLOOKUP(VLOOKUP($A5,Centrum!$D$3:$M$130,10,0),Centrum!$A$3:$CB$130,G$132,0))</f>
        <v>39</v>
      </c>
      <c r="H5" s="318">
        <f ca="1">IF($A5="","",VLOOKUP(VLOOKUP($A5,Centrum!$D$3:$M$130,10,0),Centrum!$A$3:$CB$130,H$132,0))</f>
        <v>7</v>
      </c>
      <c r="I5" s="318">
        <f ca="1">IF($A5="","",VLOOKUP(VLOOKUP($A5,Centrum!$D$3:$M$130,10,0),Centrum!$A$3:$CB$130,I$132,0))</f>
        <v>0</v>
      </c>
      <c r="J5" s="318">
        <f ca="1">IF(OR($A5="",TYPE(VLOOKUP($A5,Centrum!$D$3:$M$130,10,0))&gt;3),"",VLOOKUP(VLOOKUP($A5,Centrum!$D$3:$M$130,10,0),Centrum!$A$3:$CB$130,J$132,0))</f>
        <v>38</v>
      </c>
      <c r="L5" s="318">
        <f ca="1">IF(OR($A5="",TYPE(VLOOKUP($A5,Centrum!$D$3:$M$130,10,0))&gt;3),"",VLOOKUP(VLOOKUP($A5,Centrum!$D$3:$M$130,10,0),Centrum!$A$3:$CB$130,L$132,0))</f>
        <v>30</v>
      </c>
      <c r="M5" s="318">
        <f ca="1">IF(OR($A5="",TYPE(VLOOKUP($A5,Centrum!$D$3:$M$130,10,0))&gt;3),"",VLOOKUP(VLOOKUP($A5,Centrum!$D$3:$M$130,10,0),Centrum!$A$3:$CB$130,M$132,0))</f>
        <v>8</v>
      </c>
      <c r="N5" s="318">
        <f ca="1">IF(OR($A5="",TYPE(VLOOKUP($A5,Centrum!$D$3:$M$130,10,0))&gt;3),"",VLOOKUP(VLOOKUP($A5,Centrum!$D$3:$M$130,10,0),Centrum!$A$3:$CB$130,N$132,0))</f>
        <v>5</v>
      </c>
      <c r="O5" s="318">
        <f ca="1">IF(OR($A5="",TYPE(VLOOKUP($A5,Centrum!$D$3:$M$130,10,0))&gt;3),"",VLOOKUP(VLOOKUP($A5,Centrum!$D$3:$M$130,10,0),Centrum!$A$3:$CB$130,O$132,0))</f>
        <v>28</v>
      </c>
      <c r="P5" s="318">
        <f ca="1">IF(OR($A5="",TYPE(VLOOKUP($A5,Centrum!$D$3:$M$130,10,0))&gt;3),"",VLOOKUP(VLOOKUP($A5,Centrum!$D$3:$M$130,10,0),Centrum!$A$3:$CB$130,P$132,0))</f>
        <v>0</v>
      </c>
      <c r="Q5" s="318">
        <f ca="1">IF(OR($A5="",TYPE(VLOOKUP($A5,Centrum!$D$3:$M$130,10,0))&gt;3),"",VLOOKUP(VLOOKUP($A5,Centrum!$D$3:$M$130,10,0),Centrum!$A$3:$CB$130,Q$132,0))</f>
        <v>0</v>
      </c>
      <c r="S5" s="318">
        <f ca="1">IF(OR($A5="",TYPE(VLOOKUP($A5,Centrum!$D$3:$M$130,10,0))&gt;3),"",VLOOKUP(VLOOKUP($A5,Centrum!$D$3:$M$130,10,0),Centrum!$A$3:$CB$130,S$132,0))</f>
        <v>30</v>
      </c>
      <c r="T5" s="318">
        <f ca="1">IF(OR($A5="",TYPE(VLOOKUP($A5,Centrum!$D$3:$M$130,10,0))&gt;3),"",VLOOKUP(VLOOKUP($A5,Centrum!$D$3:$M$130,10,0),Centrum!$A$3:$CB$130,T$132,0))</f>
        <v>1</v>
      </c>
      <c r="U5" s="318">
        <f ca="1">IF(OR($A5="",TYPE(VLOOKUP($A5,Centrum!$D$3:$M$130,10,0))&gt;3),"",VLOOKUP(VLOOKUP($A5,Centrum!$D$3:$M$130,10,0),Centrum!$A$3:$CB$130,U$132,0))</f>
        <v>13</v>
      </c>
      <c r="AB5" s="318">
        <f ca="1">IF(OR($A5="",TYPE(VLOOKUP($A5,Centrum!$D$3:$M$130,10,0))&gt;3),"",VLOOKUP(VLOOKUP($A5,Centrum!$D$3:$M$130,10,0),Centrum!$A$3:$CB$130,AB$132,0))</f>
        <v>8</v>
      </c>
      <c r="AC5" s="318">
        <f ca="1">IF(OR($A5="",TYPE(VLOOKUP($A5,Centrum!$D$3:$M$130,10,0))&gt;3),"",VLOOKUP(VLOOKUP($A5,Centrum!$D$3:$M$130,10,0),Centrum!$A$3:$CB$130,AC$132,0))</f>
        <v>1</v>
      </c>
      <c r="AD5" s="318">
        <f ca="1">IF(OR($A5="",TYPE(VLOOKUP($A5,Centrum!$D$3:$M$130,10,0))&gt;3),"",VLOOKUP(VLOOKUP($A5,Centrum!$D$3:$M$130,10,0),Centrum!$A$3:$CB$130,AD$132,0))</f>
        <v>7</v>
      </c>
      <c r="AK5" s="318">
        <f ca="1">IF(OR($A5="",TYPE(VLOOKUP($A5,Centrum!$D$3:$M$130,10,0))&gt;3),"",VLOOKUP(VLOOKUP($A5,Centrum!$D$3:$M$130,10,0),Centrum!$A$3:$CB$130,AK$132,0))</f>
        <v>5</v>
      </c>
      <c r="AL5" s="318">
        <f ca="1">IF(OR($A5="",TYPE(VLOOKUP($A5,Centrum!$D$3:$M$130,10,0))&gt;3),"",VLOOKUP(VLOOKUP($A5,Centrum!$D$3:$M$130,10,0),Centrum!$A$3:$CB$130,AL$132,0))</f>
        <v>1</v>
      </c>
      <c r="AM5" s="318">
        <f ca="1">IF(OR($A5="",TYPE(VLOOKUP($A5,Centrum!$D$3:$M$130,10,0))&gt;3),"",VLOOKUP(VLOOKUP($A5,Centrum!$D$3:$M$130,10,0),Centrum!$A$3:$CB$130,AM$132,0))</f>
        <v>8</v>
      </c>
      <c r="AT5" s="318">
        <f ca="1">IF(OR(OR($A5="",TYPE(VLOOKUP($A5,Centrum!$D$3:$M$130,10,0))&gt;3),$A$1&lt;4),"",VLOOKUP(VLOOKUP($A5,Centrum!$D$3:$M$130,10,0),Centrum!$A$3:$CB$130,AT$132,0))</f>
        <v>28</v>
      </c>
      <c r="AU5" s="318">
        <f ca="1">IF(OR(OR($A5="",TYPE(VLOOKUP($A5,Centrum!$D$3:$M$130,10,0))&gt;3),$A$1&lt;4),"",VLOOKUP(VLOOKUP($A5,Centrum!$D$3:$M$130,10,0),Centrum!$A$3:$CB$130,AU$132,0))</f>
        <v>1</v>
      </c>
      <c r="AV5" s="318">
        <f ca="1">IF(OR(OR($A5="",TYPE(VLOOKUP($A5,Centrum!$D$3:$M$130,10,0))&gt;3),$A$1&lt;4),"",VLOOKUP(VLOOKUP($A5,Centrum!$D$3:$M$130,10,0),Centrum!$A$3:$CB$130,AV$132,0))</f>
        <v>10</v>
      </c>
      <c r="BC5" s="318" t="str">
        <f ca="1">IF(OR(OR($A5="",TYPE(VLOOKUP($A5,Centrum!$D$3:$M$130,10,0))&gt;3),$A$1&lt;5),"",VLOOKUP(VLOOKUP($A5,Centrum!$D$3:$M$130,10,0),Centrum!$A$3:$CB$130,BC$132,0))</f>
        <v/>
      </c>
      <c r="BD5" s="318" t="str">
        <f ca="1">IF(OR(OR($A5="",TYPE(VLOOKUP($A5,Centrum!$D$3:$M$130,10,0))&gt;3),$A$1&lt;5),"",VLOOKUP(VLOOKUP($A5,Centrum!$D$3:$M$130,10,0),Centrum!$A$3:$CB$130,BD$132,0))</f>
        <v/>
      </c>
      <c r="BE5" s="318" t="str">
        <f ca="1">IF(OR(OR($A5="",TYPE(VLOOKUP($A5,Centrum!$D$3:$M$130,10,0))&gt;3),$A$1&lt;5),"",VLOOKUP(VLOOKUP($A5,Centrum!$D$3:$M$130,10,0),Centrum!$A$3:$CB$130,BE$132,0))</f>
        <v/>
      </c>
      <c r="BL5" s="318" t="str">
        <f ca="1">IF(OR(OR($A5="",TYPE(VLOOKUP($A5,Centrum!$D$3:$M$130,10,0))&gt;3),$A$1&lt;6),"",VLOOKUP(VLOOKUP($A5,Centrum!$D$3:$M$130,10,0),Centrum!$A$3:$CB$130,BL$132,0))</f>
        <v/>
      </c>
      <c r="BM5" s="318" t="str">
        <f ca="1">IF(OR(OR($A5="",TYPE(VLOOKUP($A5,Centrum!$D$3:$M$130,10,0))&gt;3),$A$1&lt;6),"",VLOOKUP(VLOOKUP($A5,Centrum!$D$3:$M$130,10,0),Centrum!$A$3:$CB$130,BM$132,0))</f>
        <v/>
      </c>
      <c r="BN5" s="318" t="str">
        <f ca="1">IF(OR(OR($A5="",TYPE(VLOOKUP($A5,Centrum!$D$3:$M$130,10,0))&gt;3),$A$1&lt;6),"",VLOOKUP(VLOOKUP($A5,Centrum!$D$3:$M$130,10,0),Centrum!$A$3:$CB$130,BN$132,0))</f>
        <v/>
      </c>
    </row>
    <row r="6" spans="1:69" x14ac:dyDescent="0.4">
      <c r="A6" s="318">
        <f ca="1">Centrum!A6</f>
        <v>4</v>
      </c>
      <c r="B6" s="421" t="str">
        <f ca="1">IF(OR($A6="",TYPE(VLOOKUP($A6,Centrum!$D$3:$M$130,10,0))&gt;3),"",VLOOKUP(VLOOKUP(A6,Centrum!$D$3:$M$130,10,0),Centrum!$A$3:$CB$130,B$132,0))</f>
        <v>7 1. KPK Vrchlabí - Semeniv Maryana Khrystyna</v>
      </c>
      <c r="C6" s="318">
        <f ca="1">IF(OR($A6="",TYPE(VLOOKUP($A6,Centrum!$D$3:$M$130,10,0))&gt;3),"",VLOOKUP($A6,Centrum!$D$3:$M$130,10,0))</f>
        <v>7</v>
      </c>
      <c r="E6" s="318">
        <f ca="1">IF(OR($A6="",TYPE(VLOOKUP($A6,Centrum!$D$3:$M$130,10,0))&gt;3),"",VLOOKUP(VLOOKUP($A6,Centrum!$D$3:$M$130,10,0),Centrum!$A$3:$CB$130,E$132,0))</f>
        <v>4</v>
      </c>
      <c r="F6" s="318">
        <f ca="1">IF(OR($A6="",TYPE(VLOOKUP($A6,Centrum!$D$3:$M$130,10,0))&gt;3),"",VLOOKUP(VLOOKUP($A6,Centrum!$D$3:$M$130,10,0),Centrum!$A$3:$CB$130,F$132,0))</f>
        <v>7</v>
      </c>
      <c r="G6" s="318">
        <f ca="1">IF(OR($A6="",TYPE(VLOOKUP($A6,Centrum!$D$3:$M$130,10,0))&gt;3),"",VLOOKUP(VLOOKUP($A6,Centrum!$D$3:$M$130,10,0),Centrum!$A$3:$CB$130,G$132,0))</f>
        <v>39</v>
      </c>
      <c r="H6" s="318">
        <f ca="1">IF($A6="","",VLOOKUP(VLOOKUP($A6,Centrum!$D$3:$M$130,10,0),Centrum!$A$3:$CB$130,H$132,0))</f>
        <v>7</v>
      </c>
      <c r="I6" s="318">
        <f ca="1">IF($A6="","",VLOOKUP(VLOOKUP($A6,Centrum!$D$3:$M$130,10,0),Centrum!$A$3:$CB$130,I$132,0))</f>
        <v>0</v>
      </c>
      <c r="J6" s="318">
        <f ca="1">IF(OR($A6="",TYPE(VLOOKUP($A6,Centrum!$D$3:$M$130,10,0))&gt;3),"",VLOOKUP(VLOOKUP($A6,Centrum!$D$3:$M$130,10,0),Centrum!$A$3:$CB$130,J$132,0))</f>
        <v>25</v>
      </c>
      <c r="L6" s="318">
        <f ca="1">IF(OR($A6="",TYPE(VLOOKUP($A6,Centrum!$D$3:$M$130,10,0))&gt;3),"",VLOOKUP(VLOOKUP($A6,Centrum!$D$3:$M$130,10,0),Centrum!$A$3:$CB$130,L$132,0))</f>
        <v>35</v>
      </c>
      <c r="M6" s="318">
        <f ca="1">IF(OR($A6="",TYPE(VLOOKUP($A6,Centrum!$D$3:$M$130,10,0))&gt;3),"",VLOOKUP(VLOOKUP($A6,Centrum!$D$3:$M$130,10,0),Centrum!$A$3:$CB$130,M$132,0))</f>
        <v>13</v>
      </c>
      <c r="N6" s="318">
        <f ca="1">IF(OR($A6="",TYPE(VLOOKUP($A6,Centrum!$D$3:$M$130,10,0))&gt;3),"",VLOOKUP(VLOOKUP($A6,Centrum!$D$3:$M$130,10,0),Centrum!$A$3:$CB$130,N$132,0))</f>
        <v>54</v>
      </c>
      <c r="O6" s="318">
        <f ca="1">IF(OR($A6="",TYPE(VLOOKUP($A6,Centrum!$D$3:$M$130,10,0))&gt;3),"",VLOOKUP(VLOOKUP($A6,Centrum!$D$3:$M$130,10,0),Centrum!$A$3:$CB$130,O$132,0))</f>
        <v>21</v>
      </c>
      <c r="P6" s="318">
        <f ca="1">IF(OR($A6="",TYPE(VLOOKUP($A6,Centrum!$D$3:$M$130,10,0))&gt;3),"",VLOOKUP(VLOOKUP($A6,Centrum!$D$3:$M$130,10,0),Centrum!$A$3:$CB$130,P$132,0))</f>
        <v>0</v>
      </c>
      <c r="Q6" s="318">
        <f ca="1">IF(OR($A6="",TYPE(VLOOKUP($A6,Centrum!$D$3:$M$130,10,0))&gt;3),"",VLOOKUP(VLOOKUP($A6,Centrum!$D$3:$M$130,10,0),Centrum!$A$3:$CB$130,Q$132,0))</f>
        <v>0</v>
      </c>
      <c r="S6" s="318">
        <f ca="1">IF(OR($A6="",TYPE(VLOOKUP($A6,Centrum!$D$3:$M$130,10,0))&gt;3),"",VLOOKUP(VLOOKUP($A6,Centrum!$D$3:$M$130,10,0),Centrum!$A$3:$CB$130,S$132,0))</f>
        <v>35</v>
      </c>
      <c r="T6" s="318">
        <f ca="1">IF(OR($A6="",TYPE(VLOOKUP($A6,Centrum!$D$3:$M$130,10,0))&gt;3),"",VLOOKUP(VLOOKUP($A6,Centrum!$D$3:$M$130,10,0),Centrum!$A$3:$CB$130,T$132,0))</f>
        <v>1</v>
      </c>
      <c r="U6" s="318">
        <f ca="1">IF(OR($A6="",TYPE(VLOOKUP($A6,Centrum!$D$3:$M$130,10,0))&gt;3),"",VLOOKUP(VLOOKUP($A6,Centrum!$D$3:$M$130,10,0),Centrum!$A$3:$CB$130,U$132,0))</f>
        <v>7</v>
      </c>
      <c r="AB6" s="318">
        <f ca="1">IF(OR($A6="",TYPE(VLOOKUP($A6,Centrum!$D$3:$M$130,10,0))&gt;3),"",VLOOKUP(VLOOKUP($A6,Centrum!$D$3:$M$130,10,0),Centrum!$A$3:$CB$130,AB$132,0))</f>
        <v>13</v>
      </c>
      <c r="AC6" s="318">
        <f ca="1">IF(OR($A6="",TYPE(VLOOKUP($A6,Centrum!$D$3:$M$130,10,0))&gt;3),"",VLOOKUP(VLOOKUP($A6,Centrum!$D$3:$M$130,10,0),Centrum!$A$3:$CB$130,AC$132,0))</f>
        <v>1</v>
      </c>
      <c r="AD6" s="318">
        <f ca="1">IF(OR($A6="",TYPE(VLOOKUP($A6,Centrum!$D$3:$M$130,10,0))&gt;3),"",VLOOKUP(VLOOKUP($A6,Centrum!$D$3:$M$130,10,0),Centrum!$A$3:$CB$130,AD$132,0))</f>
        <v>3</v>
      </c>
      <c r="AK6" s="318">
        <f ca="1">IF(OR($A6="",TYPE(VLOOKUP($A6,Centrum!$D$3:$M$130,10,0))&gt;3),"",VLOOKUP(VLOOKUP($A6,Centrum!$D$3:$M$130,10,0),Centrum!$A$3:$CB$130,AK$132,0))</f>
        <v>54</v>
      </c>
      <c r="AL6" s="318">
        <f ca="1">IF(OR($A6="",TYPE(VLOOKUP($A6,Centrum!$D$3:$M$130,10,0))&gt;3),"",VLOOKUP(VLOOKUP($A6,Centrum!$D$3:$M$130,10,0),Centrum!$A$3:$CB$130,AL$132,0))</f>
        <v>1</v>
      </c>
      <c r="AM6" s="318">
        <f ca="1">IF(OR($A6="",TYPE(VLOOKUP($A6,Centrum!$D$3:$M$130,10,0))&gt;3),"",VLOOKUP(VLOOKUP($A6,Centrum!$D$3:$M$130,10,0),Centrum!$A$3:$CB$130,AM$132,0))</f>
        <v>8</v>
      </c>
      <c r="AT6" s="318">
        <f ca="1">IF(OR(OR($A6="",TYPE(VLOOKUP($A6,Centrum!$D$3:$M$130,10,0))&gt;3),$A$1&lt;4),"",VLOOKUP(VLOOKUP($A6,Centrum!$D$3:$M$130,10,0),Centrum!$A$3:$CB$130,AT$132,0))</f>
        <v>21</v>
      </c>
      <c r="AU6" s="318">
        <f ca="1">IF(OR(OR($A6="",TYPE(VLOOKUP($A6,Centrum!$D$3:$M$130,10,0))&gt;3),$A$1&lt;4),"",VLOOKUP(VLOOKUP($A6,Centrum!$D$3:$M$130,10,0),Centrum!$A$3:$CB$130,AU$132,0))</f>
        <v>1</v>
      </c>
      <c r="AV6" s="318">
        <f ca="1">IF(OR(OR($A6="",TYPE(VLOOKUP($A6,Centrum!$D$3:$M$130,10,0))&gt;3),$A$1&lt;4),"",VLOOKUP(VLOOKUP($A6,Centrum!$D$3:$M$130,10,0),Centrum!$A$3:$CB$130,AV$132,0))</f>
        <v>7</v>
      </c>
      <c r="BC6" s="318" t="str">
        <f ca="1">IF(OR(OR($A6="",TYPE(VLOOKUP($A6,Centrum!$D$3:$M$130,10,0))&gt;3),$A$1&lt;5),"",VLOOKUP(VLOOKUP($A6,Centrum!$D$3:$M$130,10,0),Centrum!$A$3:$CB$130,BC$132,0))</f>
        <v/>
      </c>
      <c r="BD6" s="318" t="str">
        <f ca="1">IF(OR(OR($A6="",TYPE(VLOOKUP($A6,Centrum!$D$3:$M$130,10,0))&gt;3),$A$1&lt;5),"",VLOOKUP(VLOOKUP($A6,Centrum!$D$3:$M$130,10,0),Centrum!$A$3:$CB$130,BD$132,0))</f>
        <v/>
      </c>
      <c r="BE6" s="318" t="str">
        <f ca="1">IF(OR(OR($A6="",TYPE(VLOOKUP($A6,Centrum!$D$3:$M$130,10,0))&gt;3),$A$1&lt;5),"",VLOOKUP(VLOOKUP($A6,Centrum!$D$3:$M$130,10,0),Centrum!$A$3:$CB$130,BE$132,0))</f>
        <v/>
      </c>
      <c r="BL6" s="318" t="str">
        <f ca="1">IF(OR(OR($A6="",TYPE(VLOOKUP($A6,Centrum!$D$3:$M$130,10,0))&gt;3),$A$1&lt;6),"",VLOOKUP(VLOOKUP($A6,Centrum!$D$3:$M$130,10,0),Centrum!$A$3:$CB$130,BL$132,0))</f>
        <v/>
      </c>
      <c r="BM6" s="318" t="str">
        <f ca="1">IF(OR(OR($A6="",TYPE(VLOOKUP($A6,Centrum!$D$3:$M$130,10,0))&gt;3),$A$1&lt;6),"",VLOOKUP(VLOOKUP($A6,Centrum!$D$3:$M$130,10,0),Centrum!$A$3:$CB$130,BM$132,0))</f>
        <v/>
      </c>
      <c r="BN6" s="318" t="str">
        <f ca="1">IF(OR(OR($A6="",TYPE(VLOOKUP($A6,Centrum!$D$3:$M$130,10,0))&gt;3),$A$1&lt;6),"",VLOOKUP(VLOOKUP($A6,Centrum!$D$3:$M$130,10,0),Centrum!$A$3:$CB$130,BN$132,0))</f>
        <v/>
      </c>
    </row>
    <row r="7" spans="1:69" x14ac:dyDescent="0.4">
      <c r="A7" s="318">
        <f ca="1">Centrum!A7</f>
        <v>5</v>
      </c>
      <c r="B7" s="421" t="str">
        <f ca="1">IF(OR($A7="",TYPE(VLOOKUP($A7,Centrum!$D$3:$M$130,10,0))&gt;3),"",VLOOKUP(VLOOKUP(A7,Centrum!$D$3:$M$130,10,0),Centrum!$A$3:$CB$130,B$132,0))</f>
        <v>23 PC Kolová - Horáček Jindřich</v>
      </c>
      <c r="C7" s="318">
        <f ca="1">IF(OR($A7="",TYPE(VLOOKUP($A7,Centrum!$D$3:$M$130,10,0))&gt;3),"",VLOOKUP($A7,Centrum!$D$3:$M$130,10,0))</f>
        <v>23</v>
      </c>
      <c r="E7" s="318">
        <f ca="1">IF(OR($A7="",TYPE(VLOOKUP($A7,Centrum!$D$3:$M$130,10,0))&gt;3),"",VLOOKUP(VLOOKUP($A7,Centrum!$D$3:$M$130,10,0),Centrum!$A$3:$CB$130,E$132,0))</f>
        <v>3</v>
      </c>
      <c r="F7" s="318">
        <f ca="1">IF(OR($A7="",TYPE(VLOOKUP($A7,Centrum!$D$3:$M$130,10,0))&gt;3),"",VLOOKUP(VLOOKUP($A7,Centrum!$D$3:$M$130,10,0),Centrum!$A$3:$CB$130,F$132,0))</f>
        <v>11</v>
      </c>
      <c r="G7" s="318">
        <f ca="1">IF(OR($A7="",TYPE(VLOOKUP($A7,Centrum!$D$3:$M$130,10,0))&gt;3),"",VLOOKUP(VLOOKUP($A7,Centrum!$D$3:$M$130,10,0),Centrum!$A$3:$CB$130,G$132,0))</f>
        <v>35</v>
      </c>
      <c r="H7" s="318">
        <f ca="1">IF($A7="","",VLOOKUP(VLOOKUP($A7,Centrum!$D$3:$M$130,10,0),Centrum!$A$3:$CB$130,H$132,0))</f>
        <v>7</v>
      </c>
      <c r="I7" s="318">
        <f ca="1">IF($A7="","",VLOOKUP(VLOOKUP($A7,Centrum!$D$3:$M$130,10,0),Centrum!$A$3:$CB$130,I$132,0))</f>
        <v>0</v>
      </c>
      <c r="J7" s="318">
        <f ca="1">IF(OR($A7="",TYPE(VLOOKUP($A7,Centrum!$D$3:$M$130,10,0))&gt;3),"",VLOOKUP(VLOOKUP($A7,Centrum!$D$3:$M$130,10,0),Centrum!$A$3:$CB$130,J$132,0))</f>
        <v>24</v>
      </c>
      <c r="L7" s="318">
        <f ca="1">IF(OR($A7="",TYPE(VLOOKUP($A7,Centrum!$D$3:$M$130,10,0))&gt;3),"",VLOOKUP(VLOOKUP($A7,Centrum!$D$3:$M$130,10,0),Centrum!$A$3:$CB$130,L$132,0))</f>
        <v>51</v>
      </c>
      <c r="M7" s="318">
        <f ca="1">IF(OR($A7="",TYPE(VLOOKUP($A7,Centrum!$D$3:$M$130,10,0))&gt;3),"",VLOOKUP(VLOOKUP($A7,Centrum!$D$3:$M$130,10,0),Centrum!$A$3:$CB$130,M$132,0))</f>
        <v>47</v>
      </c>
      <c r="N7" s="318">
        <f ca="1">IF(OR($A7="",TYPE(VLOOKUP($A7,Centrum!$D$3:$M$130,10,0))&gt;3),"",VLOOKUP(VLOOKUP($A7,Centrum!$D$3:$M$130,10,0),Centrum!$A$3:$CB$130,N$132,0))</f>
        <v>44</v>
      </c>
      <c r="O7" s="318">
        <f ca="1">IF(OR($A7="",TYPE(VLOOKUP($A7,Centrum!$D$3:$M$130,10,0))&gt;3),"",VLOOKUP(VLOOKUP($A7,Centrum!$D$3:$M$130,10,0),Centrum!$A$3:$CB$130,O$132,0))</f>
        <v>4</v>
      </c>
      <c r="P7" s="318">
        <f ca="1">IF(OR($A7="",TYPE(VLOOKUP($A7,Centrum!$D$3:$M$130,10,0))&gt;3),"",VLOOKUP(VLOOKUP($A7,Centrum!$D$3:$M$130,10,0),Centrum!$A$3:$CB$130,P$132,0))</f>
        <v>0</v>
      </c>
      <c r="Q7" s="318">
        <f ca="1">IF(OR($A7="",TYPE(VLOOKUP($A7,Centrum!$D$3:$M$130,10,0))&gt;3),"",VLOOKUP(VLOOKUP($A7,Centrum!$D$3:$M$130,10,0),Centrum!$A$3:$CB$130,Q$132,0))</f>
        <v>0</v>
      </c>
      <c r="S7" s="318">
        <f ca="1">IF(OR($A7="",TYPE(VLOOKUP($A7,Centrum!$D$3:$M$130,10,0))&gt;3),"",VLOOKUP(VLOOKUP($A7,Centrum!$D$3:$M$130,10,0),Centrum!$A$3:$CB$130,S$132,0))</f>
        <v>51</v>
      </c>
      <c r="T7" s="318">
        <f ca="1">IF(OR($A7="",TYPE(VLOOKUP($A7,Centrum!$D$3:$M$130,10,0))&gt;3),"",VLOOKUP(VLOOKUP($A7,Centrum!$D$3:$M$130,10,0),Centrum!$A$3:$CB$130,T$132,0))</f>
        <v>1</v>
      </c>
      <c r="U7" s="318">
        <f ca="1">IF(OR($A7="",TYPE(VLOOKUP($A7,Centrum!$D$3:$M$130,10,0))&gt;3),"",VLOOKUP(VLOOKUP($A7,Centrum!$D$3:$M$130,10,0),Centrum!$A$3:$CB$130,U$132,0))</f>
        <v>4</v>
      </c>
      <c r="AB7" s="318">
        <f ca="1">IF(OR($A7="",TYPE(VLOOKUP($A7,Centrum!$D$3:$M$130,10,0))&gt;3),"",VLOOKUP(VLOOKUP($A7,Centrum!$D$3:$M$130,10,0),Centrum!$A$3:$CB$130,AB$132,0))</f>
        <v>47</v>
      </c>
      <c r="AC7" s="318">
        <f ca="1">IF(OR($A7="",TYPE(VLOOKUP($A7,Centrum!$D$3:$M$130,10,0))&gt;3),"",VLOOKUP(VLOOKUP($A7,Centrum!$D$3:$M$130,10,0),Centrum!$A$3:$CB$130,AC$132,0))</f>
        <v>1</v>
      </c>
      <c r="AD7" s="318">
        <f ca="1">IF(OR($A7="",TYPE(VLOOKUP($A7,Centrum!$D$3:$M$130,10,0))&gt;3),"",VLOOKUP(VLOOKUP($A7,Centrum!$D$3:$M$130,10,0),Centrum!$A$3:$CB$130,AD$132,0))</f>
        <v>12</v>
      </c>
      <c r="AK7" s="318">
        <f ca="1">IF(OR($A7="",TYPE(VLOOKUP($A7,Centrum!$D$3:$M$130,10,0))&gt;3),"",VLOOKUP(VLOOKUP($A7,Centrum!$D$3:$M$130,10,0),Centrum!$A$3:$CB$130,AK$132,0))</f>
        <v>44</v>
      </c>
      <c r="AL7" s="318">
        <f ca="1">IF(OR($A7="",TYPE(VLOOKUP($A7,Centrum!$D$3:$M$130,10,0))&gt;3),"",VLOOKUP(VLOOKUP($A7,Centrum!$D$3:$M$130,10,0),Centrum!$A$3:$CB$130,AL$132,0))</f>
        <v>1</v>
      </c>
      <c r="AM7" s="318">
        <f ca="1">IF(OR($A7="",TYPE(VLOOKUP($A7,Centrum!$D$3:$M$130,10,0))&gt;3),"",VLOOKUP(VLOOKUP($A7,Centrum!$D$3:$M$130,10,0),Centrum!$A$3:$CB$130,AM$132,0))</f>
        <v>10</v>
      </c>
      <c r="AT7" s="318">
        <f ca="1">IF(OR(OR($A7="",TYPE(VLOOKUP($A7,Centrum!$D$3:$M$130,10,0))&gt;3),$A$1&lt;4),"",VLOOKUP(VLOOKUP($A7,Centrum!$D$3:$M$130,10,0),Centrum!$A$3:$CB$130,AT$132,0))</f>
        <v>4</v>
      </c>
      <c r="AU7" s="318">
        <f ca="1">IF(OR(OR($A7="",TYPE(VLOOKUP($A7,Centrum!$D$3:$M$130,10,0))&gt;3),$A$1&lt;4),"",VLOOKUP(VLOOKUP($A7,Centrum!$D$3:$M$130,10,0),Centrum!$A$3:$CB$130,AU$132,0))</f>
        <v>0</v>
      </c>
      <c r="AV7" s="318">
        <f ca="1">IF(OR(OR($A7="",TYPE(VLOOKUP($A7,Centrum!$D$3:$M$130,10,0))&gt;3),$A$1&lt;4),"",VLOOKUP(VLOOKUP($A7,Centrum!$D$3:$M$130,10,0),Centrum!$A$3:$CB$130,AV$132,0))</f>
        <v>-2</v>
      </c>
      <c r="BC7" s="318" t="str">
        <f ca="1">IF(OR(OR($A7="",TYPE(VLOOKUP($A7,Centrum!$D$3:$M$130,10,0))&gt;3),$A$1&lt;5),"",VLOOKUP(VLOOKUP($A7,Centrum!$D$3:$M$130,10,0),Centrum!$A$3:$CB$130,BC$132,0))</f>
        <v/>
      </c>
      <c r="BD7" s="318" t="str">
        <f ca="1">IF(OR(OR($A7="",TYPE(VLOOKUP($A7,Centrum!$D$3:$M$130,10,0))&gt;3),$A$1&lt;5),"",VLOOKUP(VLOOKUP($A7,Centrum!$D$3:$M$130,10,0),Centrum!$A$3:$CB$130,BD$132,0))</f>
        <v/>
      </c>
      <c r="BE7" s="318" t="str">
        <f ca="1">IF(OR(OR($A7="",TYPE(VLOOKUP($A7,Centrum!$D$3:$M$130,10,0))&gt;3),$A$1&lt;5),"",VLOOKUP(VLOOKUP($A7,Centrum!$D$3:$M$130,10,0),Centrum!$A$3:$CB$130,BE$132,0))</f>
        <v/>
      </c>
      <c r="BL7" s="318" t="str">
        <f ca="1">IF(OR(OR($A7="",TYPE(VLOOKUP($A7,Centrum!$D$3:$M$130,10,0))&gt;3),$A$1&lt;6),"",VLOOKUP(VLOOKUP($A7,Centrum!$D$3:$M$130,10,0),Centrum!$A$3:$CB$130,BL$132,0))</f>
        <v/>
      </c>
      <c r="BM7" s="318" t="str">
        <f ca="1">IF(OR(OR($A7="",TYPE(VLOOKUP($A7,Centrum!$D$3:$M$130,10,0))&gt;3),$A$1&lt;6),"",VLOOKUP(VLOOKUP($A7,Centrum!$D$3:$M$130,10,0),Centrum!$A$3:$CB$130,BM$132,0))</f>
        <v/>
      </c>
      <c r="BN7" s="318" t="str">
        <f ca="1">IF(OR(OR($A7="",TYPE(VLOOKUP($A7,Centrum!$D$3:$M$130,10,0))&gt;3),$A$1&lt;6),"",VLOOKUP(VLOOKUP($A7,Centrum!$D$3:$M$130,10,0),Centrum!$A$3:$CB$130,BN$132,0))</f>
        <v/>
      </c>
    </row>
    <row r="8" spans="1:69" x14ac:dyDescent="0.4">
      <c r="A8" s="318">
        <f ca="1">Centrum!A8</f>
        <v>6</v>
      </c>
      <c r="B8" s="421" t="str">
        <f ca="1">IF(OR($A8="",TYPE(VLOOKUP($A8,Centrum!$D$3:$M$130,10,0))&gt;3),"",VLOOKUP(VLOOKUP(A8,Centrum!$D$3:$M$130,10,0),Centrum!$A$3:$CB$130,B$132,0))</f>
        <v>21 SK Pétanque Řepy - Pastorek Jaroslav</v>
      </c>
      <c r="C8" s="318">
        <f ca="1">IF(OR($A8="",TYPE(VLOOKUP($A8,Centrum!$D$3:$M$130,10,0))&gt;3),"",VLOOKUP($A8,Centrum!$D$3:$M$130,10,0))</f>
        <v>21</v>
      </c>
      <c r="E8" s="318">
        <f ca="1">IF(OR($A8="",TYPE(VLOOKUP($A8,Centrum!$D$3:$M$130,10,0))&gt;3),"",VLOOKUP(VLOOKUP($A8,Centrum!$D$3:$M$130,10,0),Centrum!$A$3:$CB$130,E$132,0))</f>
        <v>3</v>
      </c>
      <c r="F8" s="318">
        <f ca="1">IF(OR($A8="",TYPE(VLOOKUP($A8,Centrum!$D$3:$M$130,10,0))&gt;3),"",VLOOKUP(VLOOKUP($A8,Centrum!$D$3:$M$130,10,0),Centrum!$A$3:$CB$130,F$132,0))</f>
        <v>11</v>
      </c>
      <c r="G8" s="318">
        <f ca="1">IF(OR($A8="",TYPE(VLOOKUP($A8,Centrum!$D$3:$M$130,10,0))&gt;3),"",VLOOKUP(VLOOKUP($A8,Centrum!$D$3:$M$130,10,0),Centrum!$A$3:$CB$130,G$132,0))</f>
        <v>34</v>
      </c>
      <c r="H8" s="318">
        <f ca="1">IF($A8="","",VLOOKUP(VLOOKUP($A8,Centrum!$D$3:$M$130,10,0),Centrum!$A$3:$CB$130,H$132,0))</f>
        <v>7</v>
      </c>
      <c r="I8" s="318">
        <f ca="1">IF($A8="","",VLOOKUP(VLOOKUP($A8,Centrum!$D$3:$M$130,10,0),Centrum!$A$3:$CB$130,I$132,0))</f>
        <v>0</v>
      </c>
      <c r="J8" s="318">
        <f ca="1">IF(OR($A8="",TYPE(VLOOKUP($A8,Centrum!$D$3:$M$130,10,0))&gt;3),"",VLOOKUP(VLOOKUP($A8,Centrum!$D$3:$M$130,10,0),Centrum!$A$3:$CB$130,J$132,0))</f>
        <v>16</v>
      </c>
      <c r="L8" s="318">
        <f ca="1">IF(OR($A8="",TYPE(VLOOKUP($A8,Centrum!$D$3:$M$130,10,0))&gt;3),"",VLOOKUP(VLOOKUP($A8,Centrum!$D$3:$M$130,10,0),Centrum!$A$3:$CB$130,L$132,0))</f>
        <v>49</v>
      </c>
      <c r="M8" s="318">
        <f ca="1">IF(OR($A8="",TYPE(VLOOKUP($A8,Centrum!$D$3:$M$130,10,0))&gt;3),"",VLOOKUP(VLOOKUP($A8,Centrum!$D$3:$M$130,10,0),Centrum!$A$3:$CB$130,M$132,0))</f>
        <v>53</v>
      </c>
      <c r="N8" s="318">
        <f ca="1">IF(OR($A8="",TYPE(VLOOKUP($A8,Centrum!$D$3:$M$130,10,0))&gt;3),"",VLOOKUP(VLOOKUP($A8,Centrum!$D$3:$M$130,10,0),Centrum!$A$3:$CB$130,N$132,0))</f>
        <v>12</v>
      </c>
      <c r="O8" s="318">
        <f ca="1">IF(OR($A8="",TYPE(VLOOKUP($A8,Centrum!$D$3:$M$130,10,0))&gt;3),"",VLOOKUP(VLOOKUP($A8,Centrum!$D$3:$M$130,10,0),Centrum!$A$3:$CB$130,O$132,0))</f>
        <v>7</v>
      </c>
      <c r="P8" s="318">
        <f ca="1">IF(OR($A8="",TYPE(VLOOKUP($A8,Centrum!$D$3:$M$130,10,0))&gt;3),"",VLOOKUP(VLOOKUP($A8,Centrum!$D$3:$M$130,10,0),Centrum!$A$3:$CB$130,P$132,0))</f>
        <v>0</v>
      </c>
      <c r="Q8" s="318">
        <f ca="1">IF(OR($A8="",TYPE(VLOOKUP($A8,Centrum!$D$3:$M$130,10,0))&gt;3),"",VLOOKUP(VLOOKUP($A8,Centrum!$D$3:$M$130,10,0),Centrum!$A$3:$CB$130,Q$132,0))</f>
        <v>0</v>
      </c>
      <c r="S8" s="318">
        <f ca="1">IF(OR($A8="",TYPE(VLOOKUP($A8,Centrum!$D$3:$M$130,10,0))&gt;3),"",VLOOKUP(VLOOKUP($A8,Centrum!$D$3:$M$130,10,0),Centrum!$A$3:$CB$130,S$132,0))</f>
        <v>49</v>
      </c>
      <c r="T8" s="318">
        <f ca="1">IF(OR($A8="",TYPE(VLOOKUP($A8,Centrum!$D$3:$M$130,10,0))&gt;3),"",VLOOKUP(VLOOKUP($A8,Centrum!$D$3:$M$130,10,0),Centrum!$A$3:$CB$130,T$132,0))</f>
        <v>1</v>
      </c>
      <c r="U8" s="318">
        <f ca="1">IF(OR($A8="",TYPE(VLOOKUP($A8,Centrum!$D$3:$M$130,10,0))&gt;3),"",VLOOKUP(VLOOKUP($A8,Centrum!$D$3:$M$130,10,0),Centrum!$A$3:$CB$130,U$132,0))</f>
        <v>11</v>
      </c>
      <c r="AB8" s="318">
        <f ca="1">IF(OR($A8="",TYPE(VLOOKUP($A8,Centrum!$D$3:$M$130,10,0))&gt;3),"",VLOOKUP(VLOOKUP($A8,Centrum!$D$3:$M$130,10,0),Centrum!$A$3:$CB$130,AB$132,0))</f>
        <v>53</v>
      </c>
      <c r="AC8" s="318">
        <f ca="1">IF(OR($A8="",TYPE(VLOOKUP($A8,Centrum!$D$3:$M$130,10,0))&gt;3),"",VLOOKUP(VLOOKUP($A8,Centrum!$D$3:$M$130,10,0),Centrum!$A$3:$CB$130,AC$132,0))</f>
        <v>1</v>
      </c>
      <c r="AD8" s="318">
        <f ca="1">IF(OR($A8="",TYPE(VLOOKUP($A8,Centrum!$D$3:$M$130,10,0))&gt;3),"",VLOOKUP(VLOOKUP($A8,Centrum!$D$3:$M$130,10,0),Centrum!$A$3:$CB$130,AD$132,0))</f>
        <v>3</v>
      </c>
      <c r="AK8" s="318">
        <f ca="1">IF(OR($A8="",TYPE(VLOOKUP($A8,Centrum!$D$3:$M$130,10,0))&gt;3),"",VLOOKUP(VLOOKUP($A8,Centrum!$D$3:$M$130,10,0),Centrum!$A$3:$CB$130,AK$132,0))</f>
        <v>12</v>
      </c>
      <c r="AL8" s="318">
        <f ca="1">IF(OR($A8="",TYPE(VLOOKUP($A8,Centrum!$D$3:$M$130,10,0))&gt;3),"",VLOOKUP(VLOOKUP($A8,Centrum!$D$3:$M$130,10,0),Centrum!$A$3:$CB$130,AL$132,0))</f>
        <v>1</v>
      </c>
      <c r="AM8" s="318">
        <f ca="1">IF(OR($A8="",TYPE(VLOOKUP($A8,Centrum!$D$3:$M$130,10,0))&gt;3),"",VLOOKUP(VLOOKUP($A8,Centrum!$D$3:$M$130,10,0),Centrum!$A$3:$CB$130,AM$132,0))</f>
        <v>9</v>
      </c>
      <c r="AT8" s="318">
        <f ca="1">IF(OR(OR($A8="",TYPE(VLOOKUP($A8,Centrum!$D$3:$M$130,10,0))&gt;3),$A$1&lt;4),"",VLOOKUP(VLOOKUP($A8,Centrum!$D$3:$M$130,10,0),Centrum!$A$3:$CB$130,AT$132,0))</f>
        <v>7</v>
      </c>
      <c r="AU8" s="318">
        <f ca="1">IF(OR(OR($A8="",TYPE(VLOOKUP($A8,Centrum!$D$3:$M$130,10,0))&gt;3),$A$1&lt;4),"",VLOOKUP(VLOOKUP($A8,Centrum!$D$3:$M$130,10,0),Centrum!$A$3:$CB$130,AU$132,0))</f>
        <v>0</v>
      </c>
      <c r="AV8" s="318">
        <f ca="1">IF(OR(OR($A8="",TYPE(VLOOKUP($A8,Centrum!$D$3:$M$130,10,0))&gt;3),$A$1&lt;4),"",VLOOKUP(VLOOKUP($A8,Centrum!$D$3:$M$130,10,0),Centrum!$A$3:$CB$130,AV$132,0))</f>
        <v>-7</v>
      </c>
      <c r="BC8" s="318" t="str">
        <f ca="1">IF(OR(OR($A8="",TYPE(VLOOKUP($A8,Centrum!$D$3:$M$130,10,0))&gt;3),$A$1&lt;5),"",VLOOKUP(VLOOKUP($A8,Centrum!$D$3:$M$130,10,0),Centrum!$A$3:$CB$130,BC$132,0))</f>
        <v/>
      </c>
      <c r="BD8" s="318" t="str">
        <f ca="1">IF(OR(OR($A8="",TYPE(VLOOKUP($A8,Centrum!$D$3:$M$130,10,0))&gt;3),$A$1&lt;5),"",VLOOKUP(VLOOKUP($A8,Centrum!$D$3:$M$130,10,0),Centrum!$A$3:$CB$130,BD$132,0))</f>
        <v/>
      </c>
      <c r="BE8" s="318" t="str">
        <f ca="1">IF(OR(OR($A8="",TYPE(VLOOKUP($A8,Centrum!$D$3:$M$130,10,0))&gt;3),$A$1&lt;5),"",VLOOKUP(VLOOKUP($A8,Centrum!$D$3:$M$130,10,0),Centrum!$A$3:$CB$130,BE$132,0))</f>
        <v/>
      </c>
      <c r="BL8" s="318" t="str">
        <f ca="1">IF(OR(OR($A8="",TYPE(VLOOKUP($A8,Centrum!$D$3:$M$130,10,0))&gt;3),$A$1&lt;6),"",VLOOKUP(VLOOKUP($A8,Centrum!$D$3:$M$130,10,0),Centrum!$A$3:$CB$130,BL$132,0))</f>
        <v/>
      </c>
      <c r="BM8" s="318" t="str">
        <f ca="1">IF(OR(OR($A8="",TYPE(VLOOKUP($A8,Centrum!$D$3:$M$130,10,0))&gt;3),$A$1&lt;6),"",VLOOKUP(VLOOKUP($A8,Centrum!$D$3:$M$130,10,0),Centrum!$A$3:$CB$130,BM$132,0))</f>
        <v/>
      </c>
      <c r="BN8" s="318" t="str">
        <f ca="1">IF(OR(OR($A8="",TYPE(VLOOKUP($A8,Centrum!$D$3:$M$130,10,0))&gt;3),$A$1&lt;6),"",VLOOKUP(VLOOKUP($A8,Centrum!$D$3:$M$130,10,0),Centrum!$A$3:$CB$130,BN$132,0))</f>
        <v/>
      </c>
    </row>
    <row r="9" spans="1:69" x14ac:dyDescent="0.4">
      <c r="A9" s="318">
        <f ca="1">Centrum!A9</f>
        <v>7</v>
      </c>
      <c r="B9" s="421" t="str">
        <f ca="1">IF(OR($A9="",TYPE(VLOOKUP($A9,Centrum!$D$3:$M$130,10,0))&gt;3),"",VLOOKUP(VLOOKUP(A9,Centrum!$D$3:$M$130,10,0),Centrum!$A$3:$CB$130,B$132,0))</f>
        <v>14 PC Sokol Lipník - Morávek Petr</v>
      </c>
      <c r="C9" s="318">
        <f ca="1">IF(OR($A9="",TYPE(VLOOKUP($A9,Centrum!$D$3:$M$130,10,0))&gt;3),"",VLOOKUP($A9,Centrum!$D$3:$M$130,10,0))</f>
        <v>14</v>
      </c>
      <c r="E9" s="318">
        <f ca="1">IF(OR($A9="",TYPE(VLOOKUP($A9,Centrum!$D$3:$M$130,10,0))&gt;3),"",VLOOKUP(VLOOKUP($A9,Centrum!$D$3:$M$130,10,0),Centrum!$A$3:$CB$130,E$132,0))</f>
        <v>3</v>
      </c>
      <c r="F9" s="318">
        <f ca="1">IF(OR($A9="",TYPE(VLOOKUP($A9,Centrum!$D$3:$M$130,10,0))&gt;3),"",VLOOKUP(VLOOKUP($A9,Centrum!$D$3:$M$130,10,0),Centrum!$A$3:$CB$130,F$132,0))</f>
        <v>11</v>
      </c>
      <c r="G9" s="318">
        <f ca="1">IF(OR($A9="",TYPE(VLOOKUP($A9,Centrum!$D$3:$M$130,10,0))&gt;3),"",VLOOKUP(VLOOKUP($A9,Centrum!$D$3:$M$130,10,0),Centrum!$A$3:$CB$130,G$132,0))</f>
        <v>33</v>
      </c>
      <c r="H9" s="318">
        <f ca="1">IF($A9="","",VLOOKUP(VLOOKUP($A9,Centrum!$D$3:$M$130,10,0),Centrum!$A$3:$CB$130,H$132,0))</f>
        <v>7</v>
      </c>
      <c r="I9" s="318">
        <f ca="1">IF($A9="","",VLOOKUP(VLOOKUP($A9,Centrum!$D$3:$M$130,10,0),Centrum!$A$3:$CB$130,I$132,0))</f>
        <v>0</v>
      </c>
      <c r="J9" s="318">
        <f ca="1">IF(OR($A9="",TYPE(VLOOKUP($A9,Centrum!$D$3:$M$130,10,0))&gt;3),"",VLOOKUP(VLOOKUP($A9,Centrum!$D$3:$M$130,10,0),Centrum!$A$3:$CB$130,J$132,0))</f>
        <v>13</v>
      </c>
      <c r="L9" s="318">
        <f ca="1">IF(OR($A9="",TYPE(VLOOKUP($A9,Centrum!$D$3:$M$130,10,0))&gt;3),"",VLOOKUP(VLOOKUP($A9,Centrum!$D$3:$M$130,10,0),Centrum!$A$3:$CB$130,L$132,0))</f>
        <v>42</v>
      </c>
      <c r="M9" s="318">
        <f ca="1">IF(OR($A9="",TYPE(VLOOKUP($A9,Centrum!$D$3:$M$130,10,0))&gt;3),"",VLOOKUP(VLOOKUP($A9,Centrum!$D$3:$M$130,10,0),Centrum!$A$3:$CB$130,M$132,0))</f>
        <v>9</v>
      </c>
      <c r="N9" s="318">
        <f ca="1">IF(OR($A9="",TYPE(VLOOKUP($A9,Centrum!$D$3:$M$130,10,0))&gt;3),"",VLOOKUP(VLOOKUP($A9,Centrum!$D$3:$M$130,10,0),Centrum!$A$3:$CB$130,N$132,0))</f>
        <v>57</v>
      </c>
      <c r="O9" s="318">
        <f ca="1">IF(OR($A9="",TYPE(VLOOKUP($A9,Centrum!$D$3:$M$130,10,0))&gt;3),"",VLOOKUP(VLOOKUP($A9,Centrum!$D$3:$M$130,10,0),Centrum!$A$3:$CB$130,O$132,0))</f>
        <v>1</v>
      </c>
      <c r="P9" s="318">
        <f ca="1">IF(OR($A9="",TYPE(VLOOKUP($A9,Centrum!$D$3:$M$130,10,0))&gt;3),"",VLOOKUP(VLOOKUP($A9,Centrum!$D$3:$M$130,10,0),Centrum!$A$3:$CB$130,P$132,0))</f>
        <v>0</v>
      </c>
      <c r="Q9" s="318">
        <f ca="1">IF(OR($A9="",TYPE(VLOOKUP($A9,Centrum!$D$3:$M$130,10,0))&gt;3),"",VLOOKUP(VLOOKUP($A9,Centrum!$D$3:$M$130,10,0),Centrum!$A$3:$CB$130,Q$132,0))</f>
        <v>0</v>
      </c>
      <c r="S9" s="318">
        <f ca="1">IF(OR($A9="",TYPE(VLOOKUP($A9,Centrum!$D$3:$M$130,10,0))&gt;3),"",VLOOKUP(VLOOKUP($A9,Centrum!$D$3:$M$130,10,0),Centrum!$A$3:$CB$130,S$132,0))</f>
        <v>42</v>
      </c>
      <c r="T9" s="318">
        <f ca="1">IF(OR($A9="",TYPE(VLOOKUP($A9,Centrum!$D$3:$M$130,10,0))&gt;3),"",VLOOKUP(VLOOKUP($A9,Centrum!$D$3:$M$130,10,0),Centrum!$A$3:$CB$130,T$132,0))</f>
        <v>1</v>
      </c>
      <c r="U9" s="318">
        <f ca="1">IF(OR($A9="",TYPE(VLOOKUP($A9,Centrum!$D$3:$M$130,10,0))&gt;3),"",VLOOKUP(VLOOKUP($A9,Centrum!$D$3:$M$130,10,0),Centrum!$A$3:$CB$130,U$132,0))</f>
        <v>11</v>
      </c>
      <c r="AB9" s="318">
        <f ca="1">IF(OR($A9="",TYPE(VLOOKUP($A9,Centrum!$D$3:$M$130,10,0))&gt;3),"",VLOOKUP(VLOOKUP($A9,Centrum!$D$3:$M$130,10,0),Centrum!$A$3:$CB$130,AB$132,0))</f>
        <v>9</v>
      </c>
      <c r="AC9" s="318">
        <f ca="1">IF(OR($A9="",TYPE(VLOOKUP($A9,Centrum!$D$3:$M$130,10,0))&gt;3),"",VLOOKUP(VLOOKUP($A9,Centrum!$D$3:$M$130,10,0),Centrum!$A$3:$CB$130,AC$132,0))</f>
        <v>1</v>
      </c>
      <c r="AD9" s="318">
        <f ca="1">IF(OR($A9="",TYPE(VLOOKUP($A9,Centrum!$D$3:$M$130,10,0))&gt;3),"",VLOOKUP(VLOOKUP($A9,Centrum!$D$3:$M$130,10,0),Centrum!$A$3:$CB$130,AD$132,0))</f>
        <v>2</v>
      </c>
      <c r="AK9" s="318">
        <f ca="1">IF(OR($A9="",TYPE(VLOOKUP($A9,Centrum!$D$3:$M$130,10,0))&gt;3),"",VLOOKUP(VLOOKUP($A9,Centrum!$D$3:$M$130,10,0),Centrum!$A$3:$CB$130,AK$132,0))</f>
        <v>57</v>
      </c>
      <c r="AL9" s="318">
        <f ca="1">IF(OR($A9="",TYPE(VLOOKUP($A9,Centrum!$D$3:$M$130,10,0))&gt;3),"",VLOOKUP(VLOOKUP($A9,Centrum!$D$3:$M$130,10,0),Centrum!$A$3:$CB$130,AL$132,0))</f>
        <v>1</v>
      </c>
      <c r="AM9" s="318">
        <f ca="1">IF(OR($A9="",TYPE(VLOOKUP($A9,Centrum!$D$3:$M$130,10,0))&gt;3),"",VLOOKUP(VLOOKUP($A9,Centrum!$D$3:$M$130,10,0),Centrum!$A$3:$CB$130,AM$132,0))</f>
        <v>10</v>
      </c>
      <c r="AT9" s="318">
        <f ca="1">IF(OR(OR($A9="",TYPE(VLOOKUP($A9,Centrum!$D$3:$M$130,10,0))&gt;3),$A$1&lt;4),"",VLOOKUP(VLOOKUP($A9,Centrum!$D$3:$M$130,10,0),Centrum!$A$3:$CB$130,AT$132,0))</f>
        <v>1</v>
      </c>
      <c r="AU9" s="318">
        <f ca="1">IF(OR(OR($A9="",TYPE(VLOOKUP($A9,Centrum!$D$3:$M$130,10,0))&gt;3),$A$1&lt;4),"",VLOOKUP(VLOOKUP($A9,Centrum!$D$3:$M$130,10,0),Centrum!$A$3:$CB$130,AU$132,0))</f>
        <v>0</v>
      </c>
      <c r="AV9" s="318">
        <f ca="1">IF(OR(OR($A9="",TYPE(VLOOKUP($A9,Centrum!$D$3:$M$130,10,0))&gt;3),$A$1&lt;4),"",VLOOKUP(VLOOKUP($A9,Centrum!$D$3:$M$130,10,0),Centrum!$A$3:$CB$130,AV$132,0))</f>
        <v>-10</v>
      </c>
      <c r="BC9" s="318" t="str">
        <f ca="1">IF(OR(OR($A9="",TYPE(VLOOKUP($A9,Centrum!$D$3:$M$130,10,0))&gt;3),$A$1&lt;5),"",VLOOKUP(VLOOKUP($A9,Centrum!$D$3:$M$130,10,0),Centrum!$A$3:$CB$130,BC$132,0))</f>
        <v/>
      </c>
      <c r="BD9" s="318" t="str">
        <f ca="1">IF(OR(OR($A9="",TYPE(VLOOKUP($A9,Centrum!$D$3:$M$130,10,0))&gt;3),$A$1&lt;5),"",VLOOKUP(VLOOKUP($A9,Centrum!$D$3:$M$130,10,0),Centrum!$A$3:$CB$130,BD$132,0))</f>
        <v/>
      </c>
      <c r="BE9" s="318" t="str">
        <f ca="1">IF(OR(OR($A9="",TYPE(VLOOKUP($A9,Centrum!$D$3:$M$130,10,0))&gt;3),$A$1&lt;5),"",VLOOKUP(VLOOKUP($A9,Centrum!$D$3:$M$130,10,0),Centrum!$A$3:$CB$130,BE$132,0))</f>
        <v/>
      </c>
      <c r="BL9" s="318" t="str">
        <f ca="1">IF(OR(OR($A9="",TYPE(VLOOKUP($A9,Centrum!$D$3:$M$130,10,0))&gt;3),$A$1&lt;6),"",VLOOKUP(VLOOKUP($A9,Centrum!$D$3:$M$130,10,0),Centrum!$A$3:$CB$130,BL$132,0))</f>
        <v/>
      </c>
      <c r="BM9" s="318" t="str">
        <f ca="1">IF(OR(OR($A9="",TYPE(VLOOKUP($A9,Centrum!$D$3:$M$130,10,0))&gt;3),$A$1&lt;6),"",VLOOKUP(VLOOKUP($A9,Centrum!$D$3:$M$130,10,0),Centrum!$A$3:$CB$130,BM$132,0))</f>
        <v/>
      </c>
      <c r="BN9" s="318" t="str">
        <f ca="1">IF(OR(OR($A9="",TYPE(VLOOKUP($A9,Centrum!$D$3:$M$130,10,0))&gt;3),$A$1&lt;6),"",VLOOKUP(VLOOKUP($A9,Centrum!$D$3:$M$130,10,0),Centrum!$A$3:$CB$130,BN$132,0))</f>
        <v/>
      </c>
    </row>
    <row r="10" spans="1:69" x14ac:dyDescent="0.4">
      <c r="A10" s="318">
        <f ca="1">Centrum!A10</f>
        <v>8</v>
      </c>
      <c r="B10" s="421" t="str">
        <f ca="1">IF(OR($A10="",TYPE(VLOOKUP($A10,Centrum!$D$3:$M$130,10,0))&gt;3),"",VLOOKUP(VLOOKUP(A10,Centrum!$D$3:$M$130,10,0),Centrum!$A$3:$CB$130,B$132,0))</f>
        <v>28 PC Sokol PP Hr. Králové - Hochmann Lukáš</v>
      </c>
      <c r="C10" s="318">
        <f ca="1">IF(OR($A10="",TYPE(VLOOKUP($A10,Centrum!$D$3:$M$130,10,0))&gt;3),"",VLOOKUP($A10,Centrum!$D$3:$M$130,10,0))</f>
        <v>28</v>
      </c>
      <c r="E10" s="318">
        <f ca="1">IF(OR($A10="",TYPE(VLOOKUP($A10,Centrum!$D$3:$M$130,10,0))&gt;3),"",VLOOKUP(VLOOKUP($A10,Centrum!$D$3:$M$130,10,0),Centrum!$A$3:$CB$130,E$132,0))</f>
        <v>3</v>
      </c>
      <c r="F10" s="318">
        <f ca="1">IF(OR($A10="",TYPE(VLOOKUP($A10,Centrum!$D$3:$M$130,10,0))&gt;3),"",VLOOKUP(VLOOKUP($A10,Centrum!$D$3:$M$130,10,0),Centrum!$A$3:$CB$130,F$132,0))</f>
        <v>11</v>
      </c>
      <c r="G10" s="318">
        <f ca="1">IF(OR($A10="",TYPE(VLOOKUP($A10,Centrum!$D$3:$M$130,10,0))&gt;3),"",VLOOKUP(VLOOKUP($A10,Centrum!$D$3:$M$130,10,0),Centrum!$A$3:$CB$130,G$132,0))</f>
        <v>33</v>
      </c>
      <c r="H10" s="318">
        <f ca="1">IF($A10="","",VLOOKUP(VLOOKUP($A10,Centrum!$D$3:$M$130,10,0),Centrum!$A$3:$CB$130,H$132,0))</f>
        <v>7</v>
      </c>
      <c r="I10" s="318">
        <f ca="1">IF($A10="","",VLOOKUP(VLOOKUP($A10,Centrum!$D$3:$M$130,10,0),Centrum!$A$3:$CB$130,I$132,0))</f>
        <v>0</v>
      </c>
      <c r="J10" s="318">
        <f ca="1">IF(OR($A10="",TYPE(VLOOKUP($A10,Centrum!$D$3:$M$130,10,0))&gt;3),"",VLOOKUP(VLOOKUP($A10,Centrum!$D$3:$M$130,10,0),Centrum!$A$3:$CB$130,J$132,0))</f>
        <v>-1</v>
      </c>
      <c r="L10" s="318">
        <f ca="1">IF(OR($A10="",TYPE(VLOOKUP($A10,Centrum!$D$3:$M$130,10,0))&gt;3),"",VLOOKUP(VLOOKUP($A10,Centrum!$D$3:$M$130,10,0),Centrum!$A$3:$CB$130,L$132,0))</f>
        <v>56</v>
      </c>
      <c r="M10" s="318">
        <f ca="1">IF(OR($A10="",TYPE(VLOOKUP($A10,Centrum!$D$3:$M$130,10,0))&gt;3),"",VLOOKUP(VLOOKUP($A10,Centrum!$D$3:$M$130,10,0),Centrum!$A$3:$CB$130,M$132,0))</f>
        <v>22</v>
      </c>
      <c r="N10" s="318">
        <f ca="1">IF(OR($A10="",TYPE(VLOOKUP($A10,Centrum!$D$3:$M$130,10,0))&gt;3),"",VLOOKUP(VLOOKUP($A10,Centrum!$D$3:$M$130,10,0),Centrum!$A$3:$CB$130,N$132,0))</f>
        <v>10</v>
      </c>
      <c r="O10" s="318">
        <f ca="1">IF(OR($A10="",TYPE(VLOOKUP($A10,Centrum!$D$3:$M$130,10,0))&gt;3),"",VLOOKUP(VLOOKUP($A10,Centrum!$D$3:$M$130,10,0),Centrum!$A$3:$CB$130,O$132,0))</f>
        <v>2</v>
      </c>
      <c r="P10" s="318">
        <f ca="1">IF(OR($A10="",TYPE(VLOOKUP($A10,Centrum!$D$3:$M$130,10,0))&gt;3),"",VLOOKUP(VLOOKUP($A10,Centrum!$D$3:$M$130,10,0),Centrum!$A$3:$CB$130,P$132,0))</f>
        <v>0</v>
      </c>
      <c r="Q10" s="318">
        <f ca="1">IF(OR($A10="",TYPE(VLOOKUP($A10,Centrum!$D$3:$M$130,10,0))&gt;3),"",VLOOKUP(VLOOKUP($A10,Centrum!$D$3:$M$130,10,0),Centrum!$A$3:$CB$130,Q$132,0))</f>
        <v>0</v>
      </c>
      <c r="S10" s="318">
        <f ca="1">IF(OR($A10="",TYPE(VLOOKUP($A10,Centrum!$D$3:$M$130,10,0))&gt;3),"",VLOOKUP(VLOOKUP($A10,Centrum!$D$3:$M$130,10,0),Centrum!$A$3:$CB$130,S$132,0))</f>
        <v>56</v>
      </c>
      <c r="T10" s="318">
        <f ca="1">IF(OR($A10="",TYPE(VLOOKUP($A10,Centrum!$D$3:$M$130,10,0))&gt;3),"",VLOOKUP(VLOOKUP($A10,Centrum!$D$3:$M$130,10,0),Centrum!$A$3:$CB$130,T$132,0))</f>
        <v>1</v>
      </c>
      <c r="U10" s="318">
        <f ca="1">IF(OR($A10="",TYPE(VLOOKUP($A10,Centrum!$D$3:$M$130,10,0))&gt;3),"",VLOOKUP(VLOOKUP($A10,Centrum!$D$3:$M$130,10,0),Centrum!$A$3:$CB$130,U$132,0))</f>
        <v>5</v>
      </c>
      <c r="AB10" s="318">
        <f ca="1">IF(OR($A10="",TYPE(VLOOKUP($A10,Centrum!$D$3:$M$130,10,0))&gt;3),"",VLOOKUP(VLOOKUP($A10,Centrum!$D$3:$M$130,10,0),Centrum!$A$3:$CB$130,AB$132,0))</f>
        <v>22</v>
      </c>
      <c r="AC10" s="318">
        <f ca="1">IF(OR($A10="",TYPE(VLOOKUP($A10,Centrum!$D$3:$M$130,10,0))&gt;3),"",VLOOKUP(VLOOKUP($A10,Centrum!$D$3:$M$130,10,0),Centrum!$A$3:$CB$130,AC$132,0))</f>
        <v>1</v>
      </c>
      <c r="AD10" s="318">
        <f ca="1">IF(OR($A10="",TYPE(VLOOKUP($A10,Centrum!$D$3:$M$130,10,0))&gt;3),"",VLOOKUP(VLOOKUP($A10,Centrum!$D$3:$M$130,10,0),Centrum!$A$3:$CB$130,AD$132,0))</f>
        <v>1</v>
      </c>
      <c r="AK10" s="318">
        <f ca="1">IF(OR($A10="",TYPE(VLOOKUP($A10,Centrum!$D$3:$M$130,10,0))&gt;3),"",VLOOKUP(VLOOKUP($A10,Centrum!$D$3:$M$130,10,0),Centrum!$A$3:$CB$130,AK$132,0))</f>
        <v>10</v>
      </c>
      <c r="AL10" s="318">
        <f ca="1">IF(OR($A10="",TYPE(VLOOKUP($A10,Centrum!$D$3:$M$130,10,0))&gt;3),"",VLOOKUP(VLOOKUP($A10,Centrum!$D$3:$M$130,10,0),Centrum!$A$3:$CB$130,AL$132,0))</f>
        <v>1</v>
      </c>
      <c r="AM10" s="318">
        <f ca="1">IF(OR($A10="",TYPE(VLOOKUP($A10,Centrum!$D$3:$M$130,10,0))&gt;3),"",VLOOKUP(VLOOKUP($A10,Centrum!$D$3:$M$130,10,0),Centrum!$A$3:$CB$130,AM$132,0))</f>
        <v>3</v>
      </c>
      <c r="AT10" s="318">
        <f ca="1">IF(OR(OR($A10="",TYPE(VLOOKUP($A10,Centrum!$D$3:$M$130,10,0))&gt;3),$A$1&lt;4),"",VLOOKUP(VLOOKUP($A10,Centrum!$D$3:$M$130,10,0),Centrum!$A$3:$CB$130,AT$132,0))</f>
        <v>2</v>
      </c>
      <c r="AU10" s="318">
        <f ca="1">IF(OR(OR($A10="",TYPE(VLOOKUP($A10,Centrum!$D$3:$M$130,10,0))&gt;3),$A$1&lt;4),"",VLOOKUP(VLOOKUP($A10,Centrum!$D$3:$M$130,10,0),Centrum!$A$3:$CB$130,AU$132,0))</f>
        <v>0</v>
      </c>
      <c r="AV10" s="318">
        <f ca="1">IF(OR(OR($A10="",TYPE(VLOOKUP($A10,Centrum!$D$3:$M$130,10,0))&gt;3),$A$1&lt;4),"",VLOOKUP(VLOOKUP($A10,Centrum!$D$3:$M$130,10,0),Centrum!$A$3:$CB$130,AV$132,0))</f>
        <v>-10</v>
      </c>
      <c r="BC10" s="318" t="str">
        <f ca="1">IF(OR(OR($A10="",TYPE(VLOOKUP($A10,Centrum!$D$3:$M$130,10,0))&gt;3),$A$1&lt;5),"",VLOOKUP(VLOOKUP($A10,Centrum!$D$3:$M$130,10,0),Centrum!$A$3:$CB$130,BC$132,0))</f>
        <v/>
      </c>
      <c r="BD10" s="318" t="str">
        <f ca="1">IF(OR(OR($A10="",TYPE(VLOOKUP($A10,Centrum!$D$3:$M$130,10,0))&gt;3),$A$1&lt;5),"",VLOOKUP(VLOOKUP($A10,Centrum!$D$3:$M$130,10,0),Centrum!$A$3:$CB$130,BD$132,0))</f>
        <v/>
      </c>
      <c r="BE10" s="318" t="str">
        <f ca="1">IF(OR(OR($A10="",TYPE(VLOOKUP($A10,Centrum!$D$3:$M$130,10,0))&gt;3),$A$1&lt;5),"",VLOOKUP(VLOOKUP($A10,Centrum!$D$3:$M$130,10,0),Centrum!$A$3:$CB$130,BE$132,0))</f>
        <v/>
      </c>
      <c r="BL10" s="318" t="str">
        <f ca="1">IF(OR(OR($A10="",TYPE(VLOOKUP($A10,Centrum!$D$3:$M$130,10,0))&gt;3),$A$1&lt;6),"",VLOOKUP(VLOOKUP($A10,Centrum!$D$3:$M$130,10,0),Centrum!$A$3:$CB$130,BL$132,0))</f>
        <v/>
      </c>
      <c r="BM10" s="318" t="str">
        <f ca="1">IF(OR(OR($A10="",TYPE(VLOOKUP($A10,Centrum!$D$3:$M$130,10,0))&gt;3),$A$1&lt;6),"",VLOOKUP(VLOOKUP($A10,Centrum!$D$3:$M$130,10,0),Centrum!$A$3:$CB$130,BM$132,0))</f>
        <v/>
      </c>
      <c r="BN10" s="318" t="str">
        <f ca="1">IF(OR(OR($A10="",TYPE(VLOOKUP($A10,Centrum!$D$3:$M$130,10,0))&gt;3),$A$1&lt;6),"",VLOOKUP(VLOOKUP($A10,Centrum!$D$3:$M$130,10,0),Centrum!$A$3:$CB$130,BN$132,0))</f>
        <v/>
      </c>
    </row>
    <row r="11" spans="1:69" x14ac:dyDescent="0.4">
      <c r="A11" s="318">
        <f ca="1">Centrum!A11</f>
        <v>9</v>
      </c>
      <c r="B11" s="421" t="str">
        <f ca="1">IF(OR($A11="",TYPE(VLOOKUP($A11,Centrum!$D$3:$M$130,10,0))&gt;3),"",VLOOKUP(VLOOKUP(A11,Centrum!$D$3:$M$130,10,0),Centrum!$A$3:$CB$130,B$132,0))</f>
        <v>34 1. KPK Vrchlabí - Šebek Viktor</v>
      </c>
      <c r="C11" s="318">
        <f ca="1">IF(OR($A11="",TYPE(VLOOKUP($A11,Centrum!$D$3:$M$130,10,0))&gt;3),"",VLOOKUP($A11,Centrum!$D$3:$M$130,10,0))</f>
        <v>34</v>
      </c>
      <c r="E11" s="318">
        <f ca="1">IF(OR($A11="",TYPE(VLOOKUP($A11,Centrum!$D$3:$M$130,10,0))&gt;3),"",VLOOKUP(VLOOKUP($A11,Centrum!$D$3:$M$130,10,0),Centrum!$A$3:$CB$130,E$132,0))</f>
        <v>3</v>
      </c>
      <c r="F11" s="318">
        <f ca="1">IF(OR($A11="",TYPE(VLOOKUP($A11,Centrum!$D$3:$M$130,10,0))&gt;3),"",VLOOKUP(VLOOKUP($A11,Centrum!$D$3:$M$130,10,0),Centrum!$A$3:$CB$130,F$132,0))</f>
        <v>11</v>
      </c>
      <c r="G11" s="318">
        <f ca="1">IF(OR($A11="",TYPE(VLOOKUP($A11,Centrum!$D$3:$M$130,10,0))&gt;3),"",VLOOKUP(VLOOKUP($A11,Centrum!$D$3:$M$130,10,0),Centrum!$A$3:$CB$130,G$132,0))</f>
        <v>32</v>
      </c>
      <c r="H11" s="318">
        <f ca="1">IF($A11="","",VLOOKUP(VLOOKUP($A11,Centrum!$D$3:$M$130,10,0),Centrum!$A$3:$CB$130,H$132,0))</f>
        <v>7</v>
      </c>
      <c r="I11" s="318">
        <f ca="1">IF($A11="","",VLOOKUP(VLOOKUP($A11,Centrum!$D$3:$M$130,10,0),Centrum!$A$3:$CB$130,I$132,0))</f>
        <v>3</v>
      </c>
      <c r="J11" s="318">
        <f ca="1">IF(OR($A11="",TYPE(VLOOKUP($A11,Centrum!$D$3:$M$130,10,0))&gt;3),"",VLOOKUP(VLOOKUP($A11,Centrum!$D$3:$M$130,10,0),Centrum!$A$3:$CB$130,J$132,0))</f>
        <v>17</v>
      </c>
      <c r="L11" s="318">
        <f ca="1">IF(OR($A11="",TYPE(VLOOKUP($A11,Centrum!$D$3:$M$130,10,0))&gt;3),"",VLOOKUP(VLOOKUP($A11,Centrum!$D$3:$M$130,10,0),Centrum!$A$3:$CB$130,L$132,0))</f>
        <v>6</v>
      </c>
      <c r="M11" s="318">
        <f ca="1">IF(OR($A11="",TYPE(VLOOKUP($A11,Centrum!$D$3:$M$130,10,0))&gt;3),"",VLOOKUP(VLOOKUP($A11,Centrum!$D$3:$M$130,10,0),Centrum!$A$3:$CB$130,M$132,0))</f>
        <v>15</v>
      </c>
      <c r="N11" s="318">
        <f ca="1">IF(OR($A11="",TYPE(VLOOKUP($A11,Centrum!$D$3:$M$130,10,0))&gt;3),"",VLOOKUP(VLOOKUP($A11,Centrum!$D$3:$M$130,10,0),Centrum!$A$3:$CB$130,N$132,0))</f>
        <v>4</v>
      </c>
      <c r="O11" s="318">
        <f ca="1">IF(OR($A11="",TYPE(VLOOKUP($A11,Centrum!$D$3:$M$130,10,0))&gt;3),"",VLOOKUP(VLOOKUP($A11,Centrum!$D$3:$M$130,10,0),Centrum!$A$3:$CB$130,O$132,0))</f>
        <v>10</v>
      </c>
      <c r="P11" s="318">
        <f ca="1">IF(OR($A11="",TYPE(VLOOKUP($A11,Centrum!$D$3:$M$130,10,0))&gt;3),"",VLOOKUP(VLOOKUP($A11,Centrum!$D$3:$M$130,10,0),Centrum!$A$3:$CB$130,P$132,0))</f>
        <v>0</v>
      </c>
      <c r="Q11" s="318">
        <f ca="1">IF(OR($A11="",TYPE(VLOOKUP($A11,Centrum!$D$3:$M$130,10,0))&gt;3),"",VLOOKUP(VLOOKUP($A11,Centrum!$D$3:$M$130,10,0),Centrum!$A$3:$CB$130,Q$132,0))</f>
        <v>0</v>
      </c>
      <c r="S11" s="318">
        <f ca="1">IF(OR($A11="",TYPE(VLOOKUP($A11,Centrum!$D$3:$M$130,10,0))&gt;3),"",VLOOKUP(VLOOKUP($A11,Centrum!$D$3:$M$130,10,0),Centrum!$A$3:$CB$130,S$132,0))</f>
        <v>6</v>
      </c>
      <c r="T11" s="318">
        <f ca="1">IF(OR($A11="",TYPE(VLOOKUP($A11,Centrum!$D$3:$M$130,10,0))&gt;3),"",VLOOKUP(VLOOKUP($A11,Centrum!$D$3:$M$130,10,0),Centrum!$A$3:$CB$130,T$132,0))</f>
        <v>1</v>
      </c>
      <c r="U11" s="318">
        <f ca="1">IF(OR($A11="",TYPE(VLOOKUP($A11,Centrum!$D$3:$M$130,10,0))&gt;3),"",VLOOKUP(VLOOKUP($A11,Centrum!$D$3:$M$130,10,0),Centrum!$A$3:$CB$130,U$132,0))</f>
        <v>13</v>
      </c>
      <c r="AB11" s="318">
        <f ca="1">IF(OR($A11="",TYPE(VLOOKUP($A11,Centrum!$D$3:$M$130,10,0))&gt;3),"",VLOOKUP(VLOOKUP($A11,Centrum!$D$3:$M$130,10,0),Centrum!$A$3:$CB$130,AB$132,0))</f>
        <v>15</v>
      </c>
      <c r="AC11" s="318">
        <f ca="1">IF(OR($A11="",TYPE(VLOOKUP($A11,Centrum!$D$3:$M$130,10,0))&gt;3),"",VLOOKUP(VLOOKUP($A11,Centrum!$D$3:$M$130,10,0),Centrum!$A$3:$CB$130,AC$132,0))</f>
        <v>1</v>
      </c>
      <c r="AD11" s="318">
        <f ca="1">IF(OR($A11="",TYPE(VLOOKUP($A11,Centrum!$D$3:$M$130,10,0))&gt;3),"",VLOOKUP(VLOOKUP($A11,Centrum!$D$3:$M$130,10,0),Centrum!$A$3:$CB$130,AD$132,0))</f>
        <v>5</v>
      </c>
      <c r="AK11" s="318">
        <f ca="1">IF(OR($A11="",TYPE(VLOOKUP($A11,Centrum!$D$3:$M$130,10,0))&gt;3),"",VLOOKUP(VLOOKUP($A11,Centrum!$D$3:$M$130,10,0),Centrum!$A$3:$CB$130,AK$132,0))</f>
        <v>4</v>
      </c>
      <c r="AL11" s="318">
        <f ca="1">IF(OR($A11="",TYPE(VLOOKUP($A11,Centrum!$D$3:$M$130,10,0))&gt;3),"",VLOOKUP(VLOOKUP($A11,Centrum!$D$3:$M$130,10,0),Centrum!$A$3:$CB$130,AL$132,0))</f>
        <v>0</v>
      </c>
      <c r="AM11" s="318">
        <f ca="1">IF(OR($A11="",TYPE(VLOOKUP($A11,Centrum!$D$3:$M$130,10,0))&gt;3),"",VLOOKUP(VLOOKUP($A11,Centrum!$D$3:$M$130,10,0),Centrum!$A$3:$CB$130,AM$132,0))</f>
        <v>-8</v>
      </c>
      <c r="AT11" s="318">
        <f ca="1">IF(OR(OR($A11="",TYPE(VLOOKUP($A11,Centrum!$D$3:$M$130,10,0))&gt;3),$A$1&lt;4),"",VLOOKUP(VLOOKUP($A11,Centrum!$D$3:$M$130,10,0),Centrum!$A$3:$CB$130,AT$132,0))</f>
        <v>10</v>
      </c>
      <c r="AU11" s="318">
        <f ca="1">IF(OR(OR($A11="",TYPE(VLOOKUP($A11,Centrum!$D$3:$M$130,10,0))&gt;3),$A$1&lt;4),"",VLOOKUP(VLOOKUP($A11,Centrum!$D$3:$M$130,10,0),Centrum!$A$3:$CB$130,AU$132,0))</f>
        <v>1</v>
      </c>
      <c r="AV11" s="318">
        <f ca="1">IF(OR(OR($A11="",TYPE(VLOOKUP($A11,Centrum!$D$3:$M$130,10,0))&gt;3),$A$1&lt;4),"",VLOOKUP(VLOOKUP($A11,Centrum!$D$3:$M$130,10,0),Centrum!$A$3:$CB$130,AV$132,0))</f>
        <v>7</v>
      </c>
      <c r="BC11" s="318" t="str">
        <f ca="1">IF(OR(OR($A11="",TYPE(VLOOKUP($A11,Centrum!$D$3:$M$130,10,0))&gt;3),$A$1&lt;5),"",VLOOKUP(VLOOKUP($A11,Centrum!$D$3:$M$130,10,0),Centrum!$A$3:$CB$130,BC$132,0))</f>
        <v/>
      </c>
      <c r="BD11" s="318" t="str">
        <f ca="1">IF(OR(OR($A11="",TYPE(VLOOKUP($A11,Centrum!$D$3:$M$130,10,0))&gt;3),$A$1&lt;5),"",VLOOKUP(VLOOKUP($A11,Centrum!$D$3:$M$130,10,0),Centrum!$A$3:$CB$130,BD$132,0))</f>
        <v/>
      </c>
      <c r="BE11" s="318" t="str">
        <f ca="1">IF(OR(OR($A11="",TYPE(VLOOKUP($A11,Centrum!$D$3:$M$130,10,0))&gt;3),$A$1&lt;5),"",VLOOKUP(VLOOKUP($A11,Centrum!$D$3:$M$130,10,0),Centrum!$A$3:$CB$130,BE$132,0))</f>
        <v/>
      </c>
      <c r="BL11" s="318" t="str">
        <f ca="1">IF(OR(OR($A11="",TYPE(VLOOKUP($A11,Centrum!$D$3:$M$130,10,0))&gt;3),$A$1&lt;6),"",VLOOKUP(VLOOKUP($A11,Centrum!$D$3:$M$130,10,0),Centrum!$A$3:$CB$130,BL$132,0))</f>
        <v/>
      </c>
      <c r="BM11" s="318" t="str">
        <f ca="1">IF(OR(OR($A11="",TYPE(VLOOKUP($A11,Centrum!$D$3:$M$130,10,0))&gt;3),$A$1&lt;6),"",VLOOKUP(VLOOKUP($A11,Centrum!$D$3:$M$130,10,0),Centrum!$A$3:$CB$130,BM$132,0))</f>
        <v/>
      </c>
      <c r="BN11" s="318" t="str">
        <f ca="1">IF(OR(OR($A11="",TYPE(VLOOKUP($A11,Centrum!$D$3:$M$130,10,0))&gt;3),$A$1&lt;6),"",VLOOKUP(VLOOKUP($A11,Centrum!$D$3:$M$130,10,0),Centrum!$A$3:$CB$130,BN$132,0))</f>
        <v/>
      </c>
    </row>
    <row r="12" spans="1:69" x14ac:dyDescent="0.4">
      <c r="A12" s="318">
        <f ca="1">Centrum!A12</f>
        <v>10</v>
      </c>
      <c r="B12" s="421" t="str">
        <f ca="1">IF(OR($A12="",TYPE(VLOOKUP($A12,Centrum!$D$3:$M$130,10,0))&gt;3),"",VLOOKUP(VLOOKUP(A12,Centrum!$D$3:$M$130,10,0),Centrum!$A$3:$CB$130,B$132,0))</f>
        <v>12 PC Mimo Done - Heller Jan</v>
      </c>
      <c r="C12" s="318">
        <f ca="1">IF(OR($A12="",TYPE(VLOOKUP($A12,Centrum!$D$3:$M$130,10,0))&gt;3),"",VLOOKUP($A12,Centrum!$D$3:$M$130,10,0))</f>
        <v>12</v>
      </c>
      <c r="E12" s="318">
        <f ca="1">IF(OR($A12="",TYPE(VLOOKUP($A12,Centrum!$D$3:$M$130,10,0))&gt;3),"",VLOOKUP(VLOOKUP($A12,Centrum!$D$3:$M$130,10,0),Centrum!$A$3:$CB$130,E$132,0))</f>
        <v>3</v>
      </c>
      <c r="F12" s="318">
        <f ca="1">IF(OR($A12="",TYPE(VLOOKUP($A12,Centrum!$D$3:$M$130,10,0))&gt;3),"",VLOOKUP(VLOOKUP($A12,Centrum!$D$3:$M$130,10,0),Centrum!$A$3:$CB$130,F$132,0))</f>
        <v>9</v>
      </c>
      <c r="G12" s="318">
        <f ca="1">IF(OR($A12="",TYPE(VLOOKUP($A12,Centrum!$D$3:$M$130,10,0))&gt;3),"",VLOOKUP(VLOOKUP($A12,Centrum!$D$3:$M$130,10,0),Centrum!$A$3:$CB$130,G$132,0))</f>
        <v>37</v>
      </c>
      <c r="H12" s="318">
        <f ca="1">IF($A12="","",VLOOKUP(VLOOKUP($A12,Centrum!$D$3:$M$130,10,0),Centrum!$A$3:$CB$130,H$132,0))</f>
        <v>6</v>
      </c>
      <c r="I12" s="318">
        <f ca="1">IF($A12="","",VLOOKUP(VLOOKUP($A12,Centrum!$D$3:$M$130,10,0),Centrum!$A$3:$CB$130,I$132,0))</f>
        <v>0</v>
      </c>
      <c r="J12" s="318">
        <f ca="1">IF(OR($A12="",TYPE(VLOOKUP($A12,Centrum!$D$3:$M$130,10,0))&gt;3),"",VLOOKUP(VLOOKUP($A12,Centrum!$D$3:$M$130,10,0),Centrum!$A$3:$CB$130,J$132,0))</f>
        <v>5</v>
      </c>
      <c r="L12" s="318">
        <f ca="1">IF(OR($A12="",TYPE(VLOOKUP($A12,Centrum!$D$3:$M$130,10,0))&gt;3),"",VLOOKUP(VLOOKUP($A12,Centrum!$D$3:$M$130,10,0),Centrum!$A$3:$CB$130,L$132,0))</f>
        <v>40</v>
      </c>
      <c r="M12" s="318">
        <f ca="1">IF(OR($A12="",TYPE(VLOOKUP($A12,Centrum!$D$3:$M$130,10,0))&gt;3),"",VLOOKUP(VLOOKUP($A12,Centrum!$D$3:$M$130,10,0),Centrum!$A$3:$CB$130,M$132,0))</f>
        <v>17</v>
      </c>
      <c r="N12" s="318">
        <f ca="1">IF(OR($A12="",TYPE(VLOOKUP($A12,Centrum!$D$3:$M$130,10,0))&gt;3),"",VLOOKUP(VLOOKUP($A12,Centrum!$D$3:$M$130,10,0),Centrum!$A$3:$CB$130,N$132,0))</f>
        <v>21</v>
      </c>
      <c r="O12" s="318">
        <f ca="1">IF(OR($A12="",TYPE(VLOOKUP($A12,Centrum!$D$3:$M$130,10,0))&gt;3),"",VLOOKUP(VLOOKUP($A12,Centrum!$D$3:$M$130,10,0),Centrum!$A$3:$CB$130,O$132,0))</f>
        <v>27</v>
      </c>
      <c r="P12" s="318">
        <f ca="1">IF(OR($A12="",TYPE(VLOOKUP($A12,Centrum!$D$3:$M$130,10,0))&gt;3),"",VLOOKUP(VLOOKUP($A12,Centrum!$D$3:$M$130,10,0),Centrum!$A$3:$CB$130,P$132,0))</f>
        <v>0</v>
      </c>
      <c r="Q12" s="318">
        <f ca="1">IF(OR($A12="",TYPE(VLOOKUP($A12,Centrum!$D$3:$M$130,10,0))&gt;3),"",VLOOKUP(VLOOKUP($A12,Centrum!$D$3:$M$130,10,0),Centrum!$A$3:$CB$130,Q$132,0))</f>
        <v>0</v>
      </c>
      <c r="S12" s="318">
        <f ca="1">IF(OR($A12="",TYPE(VLOOKUP($A12,Centrum!$D$3:$M$130,10,0))&gt;3),"",VLOOKUP(VLOOKUP($A12,Centrum!$D$3:$M$130,10,0),Centrum!$A$3:$CB$130,S$132,0))</f>
        <v>40</v>
      </c>
      <c r="T12" s="318">
        <f ca="1">IF(OR($A12="",TYPE(VLOOKUP($A12,Centrum!$D$3:$M$130,10,0))&gt;3),"",VLOOKUP(VLOOKUP($A12,Centrum!$D$3:$M$130,10,0),Centrum!$A$3:$CB$130,T$132,0))</f>
        <v>1</v>
      </c>
      <c r="U12" s="318">
        <f ca="1">IF(OR($A12="",TYPE(VLOOKUP($A12,Centrum!$D$3:$M$130,10,0))&gt;3),"",VLOOKUP(VLOOKUP($A12,Centrum!$D$3:$M$130,10,0),Centrum!$A$3:$CB$130,U$132,0))</f>
        <v>2</v>
      </c>
      <c r="AB12" s="318">
        <f ca="1">IF(OR($A12="",TYPE(VLOOKUP($A12,Centrum!$D$3:$M$130,10,0))&gt;3),"",VLOOKUP(VLOOKUP($A12,Centrum!$D$3:$M$130,10,0),Centrum!$A$3:$CB$130,AB$132,0))</f>
        <v>17</v>
      </c>
      <c r="AC12" s="318">
        <f ca="1">IF(OR($A12="",TYPE(VLOOKUP($A12,Centrum!$D$3:$M$130,10,0))&gt;3),"",VLOOKUP(VLOOKUP($A12,Centrum!$D$3:$M$130,10,0),Centrum!$A$3:$CB$130,AC$132,0))</f>
        <v>1</v>
      </c>
      <c r="AD12" s="318">
        <f ca="1">IF(OR($A12="",TYPE(VLOOKUP($A12,Centrum!$D$3:$M$130,10,0))&gt;3),"",VLOOKUP(VLOOKUP($A12,Centrum!$D$3:$M$130,10,0),Centrum!$A$3:$CB$130,AD$132,0))</f>
        <v>8</v>
      </c>
      <c r="AK12" s="318">
        <f ca="1">IF(OR($A12="",TYPE(VLOOKUP($A12,Centrum!$D$3:$M$130,10,0))&gt;3),"",VLOOKUP(VLOOKUP($A12,Centrum!$D$3:$M$130,10,0),Centrum!$A$3:$CB$130,AK$132,0))</f>
        <v>21</v>
      </c>
      <c r="AL12" s="318">
        <f ca="1">IF(OR($A12="",TYPE(VLOOKUP($A12,Centrum!$D$3:$M$130,10,0))&gt;3),"",VLOOKUP(VLOOKUP($A12,Centrum!$D$3:$M$130,10,0),Centrum!$A$3:$CB$130,AL$132,0))</f>
        <v>0</v>
      </c>
      <c r="AM12" s="318">
        <f ca="1">IF(OR($A12="",TYPE(VLOOKUP($A12,Centrum!$D$3:$M$130,10,0))&gt;3),"",VLOOKUP(VLOOKUP($A12,Centrum!$D$3:$M$130,10,0),Centrum!$A$3:$CB$130,AM$132,0))</f>
        <v>-9</v>
      </c>
      <c r="AT12" s="318">
        <f ca="1">IF(OR(OR($A12="",TYPE(VLOOKUP($A12,Centrum!$D$3:$M$130,10,0))&gt;3),$A$1&lt;4),"",VLOOKUP(VLOOKUP($A12,Centrum!$D$3:$M$130,10,0),Centrum!$A$3:$CB$130,AT$132,0))</f>
        <v>27</v>
      </c>
      <c r="AU12" s="318">
        <f ca="1">IF(OR(OR($A12="",TYPE(VLOOKUP($A12,Centrum!$D$3:$M$130,10,0))&gt;3),$A$1&lt;4),"",VLOOKUP(VLOOKUP($A12,Centrum!$D$3:$M$130,10,0),Centrum!$A$3:$CB$130,AU$132,0))</f>
        <v>1</v>
      </c>
      <c r="AV12" s="318">
        <f ca="1">IF(OR(OR($A12="",TYPE(VLOOKUP($A12,Centrum!$D$3:$M$130,10,0))&gt;3),$A$1&lt;4),"",VLOOKUP(VLOOKUP($A12,Centrum!$D$3:$M$130,10,0),Centrum!$A$3:$CB$130,AV$132,0))</f>
        <v>4</v>
      </c>
      <c r="BC12" s="318" t="str">
        <f ca="1">IF(OR(OR($A12="",TYPE(VLOOKUP($A12,Centrum!$D$3:$M$130,10,0))&gt;3),$A$1&lt;5),"",VLOOKUP(VLOOKUP($A12,Centrum!$D$3:$M$130,10,0),Centrum!$A$3:$CB$130,BC$132,0))</f>
        <v/>
      </c>
      <c r="BD12" s="318" t="str">
        <f ca="1">IF(OR(OR($A12="",TYPE(VLOOKUP($A12,Centrum!$D$3:$M$130,10,0))&gt;3),$A$1&lt;5),"",VLOOKUP(VLOOKUP($A12,Centrum!$D$3:$M$130,10,0),Centrum!$A$3:$CB$130,BD$132,0))</f>
        <v/>
      </c>
      <c r="BE12" s="318" t="str">
        <f ca="1">IF(OR(OR($A12="",TYPE(VLOOKUP($A12,Centrum!$D$3:$M$130,10,0))&gt;3),$A$1&lt;5),"",VLOOKUP(VLOOKUP($A12,Centrum!$D$3:$M$130,10,0),Centrum!$A$3:$CB$130,BE$132,0))</f>
        <v/>
      </c>
      <c r="BL12" s="318" t="str">
        <f ca="1">IF(OR(OR($A12="",TYPE(VLOOKUP($A12,Centrum!$D$3:$M$130,10,0))&gt;3),$A$1&lt;6),"",VLOOKUP(VLOOKUP($A12,Centrum!$D$3:$M$130,10,0),Centrum!$A$3:$CB$130,BL$132,0))</f>
        <v/>
      </c>
      <c r="BM12" s="318" t="str">
        <f ca="1">IF(OR(OR($A12="",TYPE(VLOOKUP($A12,Centrum!$D$3:$M$130,10,0))&gt;3),$A$1&lt;6),"",VLOOKUP(VLOOKUP($A12,Centrum!$D$3:$M$130,10,0),Centrum!$A$3:$CB$130,BM$132,0))</f>
        <v/>
      </c>
      <c r="BN12" s="318" t="str">
        <f ca="1">IF(OR(OR($A12="",TYPE(VLOOKUP($A12,Centrum!$D$3:$M$130,10,0))&gt;3),$A$1&lt;6),"",VLOOKUP(VLOOKUP($A12,Centrum!$D$3:$M$130,10,0),Centrum!$A$3:$CB$130,BN$132,0))</f>
        <v/>
      </c>
    </row>
    <row r="13" spans="1:69" x14ac:dyDescent="0.4">
      <c r="A13" s="318">
        <f ca="1">Centrum!A13</f>
        <v>11</v>
      </c>
      <c r="B13" s="421" t="str">
        <f ca="1">IF(OR($A13="",TYPE(VLOOKUP($A13,Centrum!$D$3:$M$130,10,0))&gt;3),"",VLOOKUP(VLOOKUP(A13,Centrum!$D$3:$M$130,10,0),Centrum!$A$3:$CB$130,B$132,0))</f>
        <v xml:space="preserve">51   - Erik, Dánsko  </v>
      </c>
      <c r="C13" s="318">
        <f ca="1">IF(OR($A13="",TYPE(VLOOKUP($A13,Centrum!$D$3:$M$130,10,0))&gt;3),"",VLOOKUP($A13,Centrum!$D$3:$M$130,10,0))</f>
        <v>51</v>
      </c>
      <c r="E13" s="318">
        <f ca="1">IF(OR($A13="",TYPE(VLOOKUP($A13,Centrum!$D$3:$M$130,10,0))&gt;3),"",VLOOKUP(VLOOKUP($A13,Centrum!$D$3:$M$130,10,0),Centrum!$A$3:$CB$130,E$132,0))</f>
        <v>3</v>
      </c>
      <c r="F13" s="318">
        <f ca="1">IF(OR($A13="",TYPE(VLOOKUP($A13,Centrum!$D$3:$M$130,10,0))&gt;3),"",VLOOKUP(VLOOKUP($A13,Centrum!$D$3:$M$130,10,0),Centrum!$A$3:$CB$130,F$132,0))</f>
        <v>9</v>
      </c>
      <c r="G13" s="318">
        <f ca="1">IF(OR($A13="",TYPE(VLOOKUP($A13,Centrum!$D$3:$M$130,10,0))&gt;3),"",VLOOKUP(VLOOKUP($A13,Centrum!$D$3:$M$130,10,0),Centrum!$A$3:$CB$130,G$132,0))</f>
        <v>33</v>
      </c>
      <c r="H13" s="318">
        <f ca="1">IF($A13="","",VLOOKUP(VLOOKUP($A13,Centrum!$D$3:$M$130,10,0),Centrum!$A$3:$CB$130,H$132,0))</f>
        <v>6</v>
      </c>
      <c r="I13" s="318">
        <f ca="1">IF($A13="","",VLOOKUP(VLOOKUP($A13,Centrum!$D$3:$M$130,10,0),Centrum!$A$3:$CB$130,I$132,0))</f>
        <v>3</v>
      </c>
      <c r="J13" s="318">
        <f ca="1">IF(OR($A13="",TYPE(VLOOKUP($A13,Centrum!$D$3:$M$130,10,0))&gt;3),"",VLOOKUP(VLOOKUP($A13,Centrum!$D$3:$M$130,10,0),Centrum!$A$3:$CB$130,J$132,0))</f>
        <v>5</v>
      </c>
      <c r="L13" s="318">
        <f ca="1">IF(OR($A13="",TYPE(VLOOKUP($A13,Centrum!$D$3:$M$130,10,0))&gt;3),"",VLOOKUP(VLOOKUP($A13,Centrum!$D$3:$M$130,10,0),Centrum!$A$3:$CB$130,L$132,0))</f>
        <v>23</v>
      </c>
      <c r="M13" s="318">
        <f ca="1">IF(OR($A13="",TYPE(VLOOKUP($A13,Centrum!$D$3:$M$130,10,0))&gt;3),"",VLOOKUP(VLOOKUP($A13,Centrum!$D$3:$M$130,10,0),Centrum!$A$3:$CB$130,M$132,0))</f>
        <v>42</v>
      </c>
      <c r="N13" s="318">
        <f ca="1">IF(OR($A13="",TYPE(VLOOKUP($A13,Centrum!$D$3:$M$130,10,0))&gt;3),"",VLOOKUP(VLOOKUP($A13,Centrum!$D$3:$M$130,10,0),Centrum!$A$3:$CB$130,N$132,0))</f>
        <v>25</v>
      </c>
      <c r="O13" s="318">
        <f ca="1">IF(OR($A13="",TYPE(VLOOKUP($A13,Centrum!$D$3:$M$130,10,0))&gt;3),"",VLOOKUP(VLOOKUP($A13,Centrum!$D$3:$M$130,10,0),Centrum!$A$3:$CB$130,O$132,0))</f>
        <v>38</v>
      </c>
      <c r="P13" s="318">
        <f ca="1">IF(OR($A13="",TYPE(VLOOKUP($A13,Centrum!$D$3:$M$130,10,0))&gt;3),"",VLOOKUP(VLOOKUP($A13,Centrum!$D$3:$M$130,10,0),Centrum!$A$3:$CB$130,P$132,0))</f>
        <v>0</v>
      </c>
      <c r="Q13" s="318">
        <f ca="1">IF(OR($A13="",TYPE(VLOOKUP($A13,Centrum!$D$3:$M$130,10,0))&gt;3),"",VLOOKUP(VLOOKUP($A13,Centrum!$D$3:$M$130,10,0),Centrum!$A$3:$CB$130,Q$132,0))</f>
        <v>0</v>
      </c>
      <c r="S13" s="318">
        <f ca="1">IF(OR($A13="",TYPE(VLOOKUP($A13,Centrum!$D$3:$M$130,10,0))&gt;3),"",VLOOKUP(VLOOKUP($A13,Centrum!$D$3:$M$130,10,0),Centrum!$A$3:$CB$130,S$132,0))</f>
        <v>23</v>
      </c>
      <c r="T13" s="318">
        <f ca="1">IF(OR($A13="",TYPE(VLOOKUP($A13,Centrum!$D$3:$M$130,10,0))&gt;3),"",VLOOKUP(VLOOKUP($A13,Centrum!$D$3:$M$130,10,0),Centrum!$A$3:$CB$130,T$132,0))</f>
        <v>0</v>
      </c>
      <c r="U13" s="318">
        <f ca="1">IF(OR($A13="",TYPE(VLOOKUP($A13,Centrum!$D$3:$M$130,10,0))&gt;3),"",VLOOKUP(VLOOKUP($A13,Centrum!$D$3:$M$130,10,0),Centrum!$A$3:$CB$130,U$132,0))</f>
        <v>-4</v>
      </c>
      <c r="AB13" s="318">
        <f ca="1">IF(OR($A13="",TYPE(VLOOKUP($A13,Centrum!$D$3:$M$130,10,0))&gt;3),"",VLOOKUP(VLOOKUP($A13,Centrum!$D$3:$M$130,10,0),Centrum!$A$3:$CB$130,AB$132,0))</f>
        <v>42</v>
      </c>
      <c r="AC13" s="318">
        <f ca="1">IF(OR($A13="",TYPE(VLOOKUP($A13,Centrum!$D$3:$M$130,10,0))&gt;3),"",VLOOKUP(VLOOKUP($A13,Centrum!$D$3:$M$130,10,0),Centrum!$A$3:$CB$130,AC$132,0))</f>
        <v>1</v>
      </c>
      <c r="AD13" s="318">
        <f ca="1">IF(OR($A13="",TYPE(VLOOKUP($A13,Centrum!$D$3:$M$130,10,0))&gt;3),"",VLOOKUP(VLOOKUP($A13,Centrum!$D$3:$M$130,10,0),Centrum!$A$3:$CB$130,AD$132,0))</f>
        <v>3</v>
      </c>
      <c r="AK13" s="318">
        <f ca="1">IF(OR($A13="",TYPE(VLOOKUP($A13,Centrum!$D$3:$M$130,10,0))&gt;3),"",VLOOKUP(VLOOKUP($A13,Centrum!$D$3:$M$130,10,0),Centrum!$A$3:$CB$130,AK$132,0))</f>
        <v>25</v>
      </c>
      <c r="AL13" s="318">
        <f ca="1">IF(OR($A13="",TYPE(VLOOKUP($A13,Centrum!$D$3:$M$130,10,0))&gt;3),"",VLOOKUP(VLOOKUP($A13,Centrum!$D$3:$M$130,10,0),Centrum!$A$3:$CB$130,AL$132,0))</f>
        <v>1</v>
      </c>
      <c r="AM13" s="318">
        <f ca="1">IF(OR($A13="",TYPE(VLOOKUP($A13,Centrum!$D$3:$M$130,10,0))&gt;3),"",VLOOKUP(VLOOKUP($A13,Centrum!$D$3:$M$130,10,0),Centrum!$A$3:$CB$130,AM$132,0))</f>
        <v>5</v>
      </c>
      <c r="AT13" s="318">
        <f ca="1">IF(OR(OR($A13="",TYPE(VLOOKUP($A13,Centrum!$D$3:$M$130,10,0))&gt;3),$A$1&lt;4),"",VLOOKUP(VLOOKUP($A13,Centrum!$D$3:$M$130,10,0),Centrum!$A$3:$CB$130,AT$132,0))</f>
        <v>38</v>
      </c>
      <c r="AU13" s="318">
        <f ca="1">IF(OR(OR($A13="",TYPE(VLOOKUP($A13,Centrum!$D$3:$M$130,10,0))&gt;3),$A$1&lt;4),"",VLOOKUP(VLOOKUP($A13,Centrum!$D$3:$M$130,10,0),Centrum!$A$3:$CB$130,AU$132,0))</f>
        <v>1</v>
      </c>
      <c r="AV13" s="318">
        <f ca="1">IF(OR(OR($A13="",TYPE(VLOOKUP($A13,Centrum!$D$3:$M$130,10,0))&gt;3),$A$1&lt;4),"",VLOOKUP(VLOOKUP($A13,Centrum!$D$3:$M$130,10,0),Centrum!$A$3:$CB$130,AV$132,0))</f>
        <v>1</v>
      </c>
      <c r="BC13" s="318" t="str">
        <f ca="1">IF(OR(OR($A13="",TYPE(VLOOKUP($A13,Centrum!$D$3:$M$130,10,0))&gt;3),$A$1&lt;5),"",VLOOKUP(VLOOKUP($A13,Centrum!$D$3:$M$130,10,0),Centrum!$A$3:$CB$130,BC$132,0))</f>
        <v/>
      </c>
      <c r="BD13" s="318" t="str">
        <f ca="1">IF(OR(OR($A13="",TYPE(VLOOKUP($A13,Centrum!$D$3:$M$130,10,0))&gt;3),$A$1&lt;5),"",VLOOKUP(VLOOKUP($A13,Centrum!$D$3:$M$130,10,0),Centrum!$A$3:$CB$130,BD$132,0))</f>
        <v/>
      </c>
      <c r="BE13" s="318" t="str">
        <f ca="1">IF(OR(OR($A13="",TYPE(VLOOKUP($A13,Centrum!$D$3:$M$130,10,0))&gt;3),$A$1&lt;5),"",VLOOKUP(VLOOKUP($A13,Centrum!$D$3:$M$130,10,0),Centrum!$A$3:$CB$130,BE$132,0))</f>
        <v/>
      </c>
      <c r="BL13" s="318" t="str">
        <f ca="1">IF(OR(OR($A13="",TYPE(VLOOKUP($A13,Centrum!$D$3:$M$130,10,0))&gt;3),$A$1&lt;6),"",VLOOKUP(VLOOKUP($A13,Centrum!$D$3:$M$130,10,0),Centrum!$A$3:$CB$130,BL$132,0))</f>
        <v/>
      </c>
      <c r="BM13" s="318" t="str">
        <f ca="1">IF(OR(OR($A13="",TYPE(VLOOKUP($A13,Centrum!$D$3:$M$130,10,0))&gt;3),$A$1&lt;6),"",VLOOKUP(VLOOKUP($A13,Centrum!$D$3:$M$130,10,0),Centrum!$A$3:$CB$130,BM$132,0))</f>
        <v/>
      </c>
      <c r="BN13" s="318" t="str">
        <f ca="1">IF(OR(OR($A13="",TYPE(VLOOKUP($A13,Centrum!$D$3:$M$130,10,0))&gt;3),$A$1&lt;6),"",VLOOKUP(VLOOKUP($A13,Centrum!$D$3:$M$130,10,0),Centrum!$A$3:$CB$130,BN$132,0))</f>
        <v/>
      </c>
    </row>
    <row r="14" spans="1:69" x14ac:dyDescent="0.4">
      <c r="A14" s="318">
        <f ca="1">Centrum!A14</f>
        <v>12</v>
      </c>
      <c r="B14" s="421" t="str">
        <f ca="1">IF(OR($A14="",TYPE(VLOOKUP($A14,Centrum!$D$3:$M$130,10,0))&gt;3),"",VLOOKUP(VLOOKUP(A14,Centrum!$D$3:$M$130,10,0),Centrum!$A$3:$CB$130,B$132,0))</f>
        <v>5 CdP Loděnice - Dlouhá Ivana</v>
      </c>
      <c r="C14" s="318">
        <f ca="1">IF(OR($A14="",TYPE(VLOOKUP($A14,Centrum!$D$3:$M$130,10,0))&gt;3),"",VLOOKUP($A14,Centrum!$D$3:$M$130,10,0))</f>
        <v>5</v>
      </c>
      <c r="E14" s="318">
        <f ca="1">IF(OR($A14="",TYPE(VLOOKUP($A14,Centrum!$D$3:$M$130,10,0))&gt;3),"",VLOOKUP(VLOOKUP($A14,Centrum!$D$3:$M$130,10,0),Centrum!$A$3:$CB$130,E$132,0))</f>
        <v>3</v>
      </c>
      <c r="F14" s="318">
        <f ca="1">IF(OR($A14="",TYPE(VLOOKUP($A14,Centrum!$D$3:$M$130,10,0))&gt;3),"",VLOOKUP(VLOOKUP($A14,Centrum!$D$3:$M$130,10,0),Centrum!$A$3:$CB$130,F$132,0))</f>
        <v>9</v>
      </c>
      <c r="G14" s="318">
        <f ca="1">IF(OR($A14="",TYPE(VLOOKUP($A14,Centrum!$D$3:$M$130,10,0))&gt;3),"",VLOOKUP(VLOOKUP($A14,Centrum!$D$3:$M$130,10,0),Centrum!$A$3:$CB$130,G$132,0))</f>
        <v>31</v>
      </c>
      <c r="H14" s="318">
        <f ca="1">IF($A14="","",VLOOKUP(VLOOKUP($A14,Centrum!$D$3:$M$130,10,0),Centrum!$A$3:$CB$130,H$132,0))</f>
        <v>5</v>
      </c>
      <c r="I14" s="318">
        <f ca="1">IF($A14="","",VLOOKUP(VLOOKUP($A14,Centrum!$D$3:$M$130,10,0),Centrum!$A$3:$CB$130,I$132,0))</f>
        <v>0</v>
      </c>
      <c r="J14" s="318">
        <f ca="1">IF(OR($A14="",TYPE(VLOOKUP($A14,Centrum!$D$3:$M$130,10,0))&gt;3),"",VLOOKUP(VLOOKUP($A14,Centrum!$D$3:$M$130,10,0),Centrum!$A$3:$CB$130,J$132,0))</f>
        <v>5</v>
      </c>
      <c r="L14" s="318">
        <f ca="1">IF(OR($A14="",TYPE(VLOOKUP($A14,Centrum!$D$3:$M$130,10,0))&gt;3),"",VLOOKUP(VLOOKUP($A14,Centrum!$D$3:$M$130,10,0),Centrum!$A$3:$CB$130,L$132,0))</f>
        <v>33</v>
      </c>
      <c r="M14" s="318">
        <f ca="1">IF(OR($A14="",TYPE(VLOOKUP($A14,Centrum!$D$3:$M$130,10,0))&gt;3),"",VLOOKUP(VLOOKUP($A14,Centrum!$D$3:$M$130,10,0),Centrum!$A$3:$CB$130,M$132,0))</f>
        <v>39</v>
      </c>
      <c r="N14" s="318">
        <f ca="1">IF(OR($A14="",TYPE(VLOOKUP($A14,Centrum!$D$3:$M$130,10,0))&gt;3),"",VLOOKUP(VLOOKUP($A14,Centrum!$D$3:$M$130,10,0),Centrum!$A$3:$CB$130,N$132,0))</f>
        <v>2</v>
      </c>
      <c r="O14" s="318">
        <f ca="1">IF(OR($A14="",TYPE(VLOOKUP($A14,Centrum!$D$3:$M$130,10,0))&gt;3),"",VLOOKUP(VLOOKUP($A14,Centrum!$D$3:$M$130,10,0),Centrum!$A$3:$CB$130,O$132,0))</f>
        <v>57</v>
      </c>
      <c r="P14" s="318">
        <f ca="1">IF(OR($A14="",TYPE(VLOOKUP($A14,Centrum!$D$3:$M$130,10,0))&gt;3),"",VLOOKUP(VLOOKUP($A14,Centrum!$D$3:$M$130,10,0),Centrum!$A$3:$CB$130,P$132,0))</f>
        <v>0</v>
      </c>
      <c r="Q14" s="318">
        <f ca="1">IF(OR($A14="",TYPE(VLOOKUP($A14,Centrum!$D$3:$M$130,10,0))&gt;3),"",VLOOKUP(VLOOKUP($A14,Centrum!$D$3:$M$130,10,0),Centrum!$A$3:$CB$130,Q$132,0))</f>
        <v>0</v>
      </c>
      <c r="S14" s="318">
        <f ca="1">IF(OR($A14="",TYPE(VLOOKUP($A14,Centrum!$D$3:$M$130,10,0))&gt;3),"",VLOOKUP(VLOOKUP($A14,Centrum!$D$3:$M$130,10,0),Centrum!$A$3:$CB$130,S$132,0))</f>
        <v>33</v>
      </c>
      <c r="T14" s="318">
        <f ca="1">IF(OR($A14="",TYPE(VLOOKUP($A14,Centrum!$D$3:$M$130,10,0))&gt;3),"",VLOOKUP(VLOOKUP($A14,Centrum!$D$3:$M$130,10,0),Centrum!$A$3:$CB$130,T$132,0))</f>
        <v>1</v>
      </c>
      <c r="U14" s="318">
        <f ca="1">IF(OR($A14="",TYPE(VLOOKUP($A14,Centrum!$D$3:$M$130,10,0))&gt;3),"",VLOOKUP(VLOOKUP($A14,Centrum!$D$3:$M$130,10,0),Centrum!$A$3:$CB$130,U$132,0))</f>
        <v>7</v>
      </c>
      <c r="AB14" s="318">
        <f ca="1">IF(OR($A14="",TYPE(VLOOKUP($A14,Centrum!$D$3:$M$130,10,0))&gt;3),"",VLOOKUP(VLOOKUP($A14,Centrum!$D$3:$M$130,10,0),Centrum!$A$3:$CB$130,AB$132,0))</f>
        <v>39</v>
      </c>
      <c r="AC14" s="318">
        <f ca="1">IF(OR($A14="",TYPE(VLOOKUP($A14,Centrum!$D$3:$M$130,10,0))&gt;3),"",VLOOKUP(VLOOKUP($A14,Centrum!$D$3:$M$130,10,0),Centrum!$A$3:$CB$130,AC$132,0))</f>
        <v>1</v>
      </c>
      <c r="AD14" s="318">
        <f ca="1">IF(OR($A14="",TYPE(VLOOKUP($A14,Centrum!$D$3:$M$130,10,0))&gt;3),"",VLOOKUP(VLOOKUP($A14,Centrum!$D$3:$M$130,10,0),Centrum!$A$3:$CB$130,AD$132,0))</f>
        <v>5</v>
      </c>
      <c r="AK14" s="318">
        <f ca="1">IF(OR($A14="",TYPE(VLOOKUP($A14,Centrum!$D$3:$M$130,10,0))&gt;3),"",VLOOKUP(VLOOKUP($A14,Centrum!$D$3:$M$130,10,0),Centrum!$A$3:$CB$130,AK$132,0))</f>
        <v>2</v>
      </c>
      <c r="AL14" s="318">
        <f ca="1">IF(OR($A14="",TYPE(VLOOKUP($A14,Centrum!$D$3:$M$130,10,0))&gt;3),"",VLOOKUP(VLOOKUP($A14,Centrum!$D$3:$M$130,10,0),Centrum!$A$3:$CB$130,AL$132,0))</f>
        <v>0</v>
      </c>
      <c r="AM14" s="318">
        <f ca="1">IF(OR($A14="",TYPE(VLOOKUP($A14,Centrum!$D$3:$M$130,10,0))&gt;3),"",VLOOKUP(VLOOKUP($A14,Centrum!$D$3:$M$130,10,0),Centrum!$A$3:$CB$130,AM$132,0))</f>
        <v>-8</v>
      </c>
      <c r="AT14" s="318">
        <f ca="1">IF(OR(OR($A14="",TYPE(VLOOKUP($A14,Centrum!$D$3:$M$130,10,0))&gt;3),$A$1&lt;4),"",VLOOKUP(VLOOKUP($A14,Centrum!$D$3:$M$130,10,0),Centrum!$A$3:$CB$130,AT$132,0))</f>
        <v>57</v>
      </c>
      <c r="AU14" s="318">
        <f ca="1">IF(OR(OR($A14="",TYPE(VLOOKUP($A14,Centrum!$D$3:$M$130,10,0))&gt;3),$A$1&lt;4),"",VLOOKUP(VLOOKUP($A14,Centrum!$D$3:$M$130,10,0),Centrum!$A$3:$CB$130,AU$132,0))</f>
        <v>1</v>
      </c>
      <c r="AV14" s="318">
        <f ca="1">IF(OR(OR($A14="",TYPE(VLOOKUP($A14,Centrum!$D$3:$M$130,10,0))&gt;3),$A$1&lt;4),"",VLOOKUP(VLOOKUP($A14,Centrum!$D$3:$M$130,10,0),Centrum!$A$3:$CB$130,AV$132,0))</f>
        <v>1</v>
      </c>
      <c r="BC14" s="318" t="str">
        <f ca="1">IF(OR(OR($A14="",TYPE(VLOOKUP($A14,Centrum!$D$3:$M$130,10,0))&gt;3),$A$1&lt;5),"",VLOOKUP(VLOOKUP($A14,Centrum!$D$3:$M$130,10,0),Centrum!$A$3:$CB$130,BC$132,0))</f>
        <v/>
      </c>
      <c r="BD14" s="318" t="str">
        <f ca="1">IF(OR(OR($A14="",TYPE(VLOOKUP($A14,Centrum!$D$3:$M$130,10,0))&gt;3),$A$1&lt;5),"",VLOOKUP(VLOOKUP($A14,Centrum!$D$3:$M$130,10,0),Centrum!$A$3:$CB$130,BD$132,0))</f>
        <v/>
      </c>
      <c r="BE14" s="318" t="str">
        <f ca="1">IF(OR(OR($A14="",TYPE(VLOOKUP($A14,Centrum!$D$3:$M$130,10,0))&gt;3),$A$1&lt;5),"",VLOOKUP(VLOOKUP($A14,Centrum!$D$3:$M$130,10,0),Centrum!$A$3:$CB$130,BE$132,0))</f>
        <v/>
      </c>
      <c r="BL14" s="318" t="str">
        <f ca="1">IF(OR(OR($A14="",TYPE(VLOOKUP($A14,Centrum!$D$3:$M$130,10,0))&gt;3),$A$1&lt;6),"",VLOOKUP(VLOOKUP($A14,Centrum!$D$3:$M$130,10,0),Centrum!$A$3:$CB$130,BL$132,0))</f>
        <v/>
      </c>
      <c r="BM14" s="318" t="str">
        <f ca="1">IF(OR(OR($A14="",TYPE(VLOOKUP($A14,Centrum!$D$3:$M$130,10,0))&gt;3),$A$1&lt;6),"",VLOOKUP(VLOOKUP($A14,Centrum!$D$3:$M$130,10,0),Centrum!$A$3:$CB$130,BM$132,0))</f>
        <v/>
      </c>
      <c r="BN14" s="318" t="str">
        <f ca="1">IF(OR(OR($A14="",TYPE(VLOOKUP($A14,Centrum!$D$3:$M$130,10,0))&gt;3),$A$1&lt;6),"",VLOOKUP(VLOOKUP($A14,Centrum!$D$3:$M$130,10,0),Centrum!$A$3:$CB$130,BN$132,0))</f>
        <v/>
      </c>
    </row>
    <row r="15" spans="1:69" x14ac:dyDescent="0.4">
      <c r="A15" s="318">
        <f ca="1">Centrum!A15</f>
        <v>13</v>
      </c>
      <c r="B15" s="421" t="str">
        <f ca="1">IF(OR($A15="",TYPE(VLOOKUP($A15,Centrum!$D$3:$M$130,10,0))&gt;3),"",VLOOKUP(VLOOKUP(A15,Centrum!$D$3:$M$130,10,0),Centrum!$A$3:$CB$130,B$132,0))</f>
        <v xml:space="preserve">52   - Jesper R, Dánsko  </v>
      </c>
      <c r="C15" s="318">
        <f ca="1">IF(OR($A15="",TYPE(VLOOKUP($A15,Centrum!$D$3:$M$130,10,0))&gt;3),"",VLOOKUP($A15,Centrum!$D$3:$M$130,10,0))</f>
        <v>52</v>
      </c>
      <c r="E15" s="318">
        <f ca="1">IF(OR($A15="",TYPE(VLOOKUP($A15,Centrum!$D$3:$M$130,10,0))&gt;3),"",VLOOKUP(VLOOKUP($A15,Centrum!$D$3:$M$130,10,0),Centrum!$A$3:$CB$130,E$132,0))</f>
        <v>3</v>
      </c>
      <c r="F15" s="318">
        <f ca="1">IF(OR($A15="",TYPE(VLOOKUP($A15,Centrum!$D$3:$M$130,10,0))&gt;3),"",VLOOKUP(VLOOKUP($A15,Centrum!$D$3:$M$130,10,0),Centrum!$A$3:$CB$130,F$132,0))</f>
        <v>8</v>
      </c>
      <c r="G15" s="318">
        <f ca="1">IF(OR($A15="",TYPE(VLOOKUP($A15,Centrum!$D$3:$M$130,10,0))&gt;3),"",VLOOKUP(VLOOKUP($A15,Centrum!$D$3:$M$130,10,0),Centrum!$A$3:$CB$130,G$132,0))</f>
        <v>37</v>
      </c>
      <c r="H15" s="318">
        <f ca="1">IF($A15="","",VLOOKUP(VLOOKUP($A15,Centrum!$D$3:$M$130,10,0),Centrum!$A$3:$CB$130,H$132,0))</f>
        <v>6</v>
      </c>
      <c r="I15" s="318">
        <f ca="1">IF($A15="","",VLOOKUP(VLOOKUP($A15,Centrum!$D$3:$M$130,10,0),Centrum!$A$3:$CB$130,I$132,0))</f>
        <v>3</v>
      </c>
      <c r="J15" s="318">
        <f ca="1">IF(OR($A15="",TYPE(VLOOKUP($A15,Centrum!$D$3:$M$130,10,0))&gt;3),"",VLOOKUP(VLOOKUP($A15,Centrum!$D$3:$M$130,10,0),Centrum!$A$3:$CB$130,J$132,0))</f>
        <v>20</v>
      </c>
      <c r="L15" s="318">
        <f ca="1">IF(OR($A15="",TYPE(VLOOKUP($A15,Centrum!$D$3:$M$130,10,0))&gt;3),"",VLOOKUP(VLOOKUP($A15,Centrum!$D$3:$M$130,10,0),Centrum!$A$3:$CB$130,L$132,0))</f>
        <v>24</v>
      </c>
      <c r="M15" s="318">
        <f ca="1">IF(OR($A15="",TYPE(VLOOKUP($A15,Centrum!$D$3:$M$130,10,0))&gt;3),"",VLOOKUP(VLOOKUP($A15,Centrum!$D$3:$M$130,10,0),Centrum!$A$3:$CB$130,M$132,0))</f>
        <v>10</v>
      </c>
      <c r="N15" s="318">
        <f ca="1">IF(OR($A15="",TYPE(VLOOKUP($A15,Centrum!$D$3:$M$130,10,0))&gt;3),"",VLOOKUP(VLOOKUP($A15,Centrum!$D$3:$M$130,10,0),Centrum!$A$3:$CB$130,N$132,0))</f>
        <v>47</v>
      </c>
      <c r="O15" s="318">
        <f ca="1">IF(OR($A15="",TYPE(VLOOKUP($A15,Centrum!$D$3:$M$130,10,0))&gt;3),"",VLOOKUP(VLOOKUP($A15,Centrum!$D$3:$M$130,10,0),Centrum!$A$3:$CB$130,O$132,0))</f>
        <v>17</v>
      </c>
      <c r="P15" s="318">
        <f ca="1">IF(OR($A15="",TYPE(VLOOKUP($A15,Centrum!$D$3:$M$130,10,0))&gt;3),"",VLOOKUP(VLOOKUP($A15,Centrum!$D$3:$M$130,10,0),Centrum!$A$3:$CB$130,P$132,0))</f>
        <v>0</v>
      </c>
      <c r="Q15" s="318">
        <f ca="1">IF(OR($A15="",TYPE(VLOOKUP($A15,Centrum!$D$3:$M$130,10,0))&gt;3),"",VLOOKUP(VLOOKUP($A15,Centrum!$D$3:$M$130,10,0),Centrum!$A$3:$CB$130,Q$132,0))</f>
        <v>0</v>
      </c>
      <c r="S15" s="318">
        <f ca="1">IF(OR($A15="",TYPE(VLOOKUP($A15,Centrum!$D$3:$M$130,10,0))&gt;3),"",VLOOKUP(VLOOKUP($A15,Centrum!$D$3:$M$130,10,0),Centrum!$A$3:$CB$130,S$132,0))</f>
        <v>24</v>
      </c>
      <c r="T15" s="318">
        <f ca="1">IF(OR($A15="",TYPE(VLOOKUP($A15,Centrum!$D$3:$M$130,10,0))&gt;3),"",VLOOKUP(VLOOKUP($A15,Centrum!$D$3:$M$130,10,0),Centrum!$A$3:$CB$130,T$132,0))</f>
        <v>1</v>
      </c>
      <c r="U15" s="318">
        <f ca="1">IF(OR($A15="",TYPE(VLOOKUP($A15,Centrum!$D$3:$M$130,10,0))&gt;3),"",VLOOKUP(VLOOKUP($A15,Centrum!$D$3:$M$130,10,0),Centrum!$A$3:$CB$130,U$132,0))</f>
        <v>3</v>
      </c>
      <c r="AB15" s="318">
        <f ca="1">IF(OR($A15="",TYPE(VLOOKUP($A15,Centrum!$D$3:$M$130,10,0))&gt;3),"",VLOOKUP(VLOOKUP($A15,Centrum!$D$3:$M$130,10,0),Centrum!$A$3:$CB$130,AB$132,0))</f>
        <v>10</v>
      </c>
      <c r="AC15" s="318">
        <f ca="1">IF(OR($A15="",TYPE(VLOOKUP($A15,Centrum!$D$3:$M$130,10,0))&gt;3),"",VLOOKUP(VLOOKUP($A15,Centrum!$D$3:$M$130,10,0),Centrum!$A$3:$CB$130,AC$132,0))</f>
        <v>0</v>
      </c>
      <c r="AD15" s="318">
        <f ca="1">IF(OR($A15="",TYPE(VLOOKUP($A15,Centrum!$D$3:$M$130,10,0))&gt;3),"",VLOOKUP(VLOOKUP($A15,Centrum!$D$3:$M$130,10,0),Centrum!$A$3:$CB$130,AD$132,0))</f>
        <v>-2</v>
      </c>
      <c r="AK15" s="318">
        <f ca="1">IF(OR($A15="",TYPE(VLOOKUP($A15,Centrum!$D$3:$M$130,10,0))&gt;3),"",VLOOKUP(VLOOKUP($A15,Centrum!$D$3:$M$130,10,0),Centrum!$A$3:$CB$130,AK$132,0))</f>
        <v>47</v>
      </c>
      <c r="AL15" s="318">
        <f ca="1">IF(OR($A15="",TYPE(VLOOKUP($A15,Centrum!$D$3:$M$130,10,0))&gt;3),"",VLOOKUP(VLOOKUP($A15,Centrum!$D$3:$M$130,10,0),Centrum!$A$3:$CB$130,AL$132,0))</f>
        <v>1</v>
      </c>
      <c r="AM15" s="318">
        <f ca="1">IF(OR($A15="",TYPE(VLOOKUP($A15,Centrum!$D$3:$M$130,10,0))&gt;3),"",VLOOKUP(VLOOKUP($A15,Centrum!$D$3:$M$130,10,0),Centrum!$A$3:$CB$130,AM$132,0))</f>
        <v>11</v>
      </c>
      <c r="AT15" s="318">
        <f ca="1">IF(OR(OR($A15="",TYPE(VLOOKUP($A15,Centrum!$D$3:$M$130,10,0))&gt;3),$A$1&lt;4),"",VLOOKUP(VLOOKUP($A15,Centrum!$D$3:$M$130,10,0),Centrum!$A$3:$CB$130,AT$132,0))</f>
        <v>17</v>
      </c>
      <c r="AU15" s="318">
        <f ca="1">IF(OR(OR($A15="",TYPE(VLOOKUP($A15,Centrum!$D$3:$M$130,10,0))&gt;3),$A$1&lt;4),"",VLOOKUP(VLOOKUP($A15,Centrum!$D$3:$M$130,10,0),Centrum!$A$3:$CB$130,AU$132,0))</f>
        <v>1</v>
      </c>
      <c r="AV15" s="318">
        <f ca="1">IF(OR(OR($A15="",TYPE(VLOOKUP($A15,Centrum!$D$3:$M$130,10,0))&gt;3),$A$1&lt;4),"",VLOOKUP(VLOOKUP($A15,Centrum!$D$3:$M$130,10,0),Centrum!$A$3:$CB$130,AV$132,0))</f>
        <v>8</v>
      </c>
      <c r="BC15" s="318" t="str">
        <f ca="1">IF(OR(OR($A15="",TYPE(VLOOKUP($A15,Centrum!$D$3:$M$130,10,0))&gt;3),$A$1&lt;5),"",VLOOKUP(VLOOKUP($A15,Centrum!$D$3:$M$130,10,0),Centrum!$A$3:$CB$130,BC$132,0))</f>
        <v/>
      </c>
      <c r="BD15" s="318" t="str">
        <f ca="1">IF(OR(OR($A15="",TYPE(VLOOKUP($A15,Centrum!$D$3:$M$130,10,0))&gt;3),$A$1&lt;5),"",VLOOKUP(VLOOKUP($A15,Centrum!$D$3:$M$130,10,0),Centrum!$A$3:$CB$130,BD$132,0))</f>
        <v/>
      </c>
      <c r="BE15" s="318" t="str">
        <f ca="1">IF(OR(OR($A15="",TYPE(VLOOKUP($A15,Centrum!$D$3:$M$130,10,0))&gt;3),$A$1&lt;5),"",VLOOKUP(VLOOKUP($A15,Centrum!$D$3:$M$130,10,0),Centrum!$A$3:$CB$130,BE$132,0))</f>
        <v/>
      </c>
      <c r="BL15" s="318" t="str">
        <f ca="1">IF(OR(OR($A15="",TYPE(VLOOKUP($A15,Centrum!$D$3:$M$130,10,0))&gt;3),$A$1&lt;6),"",VLOOKUP(VLOOKUP($A15,Centrum!$D$3:$M$130,10,0),Centrum!$A$3:$CB$130,BL$132,0))</f>
        <v/>
      </c>
      <c r="BM15" s="318" t="str">
        <f ca="1">IF(OR(OR($A15="",TYPE(VLOOKUP($A15,Centrum!$D$3:$M$130,10,0))&gt;3),$A$1&lt;6),"",VLOOKUP(VLOOKUP($A15,Centrum!$D$3:$M$130,10,0),Centrum!$A$3:$CB$130,BM$132,0))</f>
        <v/>
      </c>
      <c r="BN15" s="318" t="str">
        <f ca="1">IF(OR(OR($A15="",TYPE(VLOOKUP($A15,Centrum!$D$3:$M$130,10,0))&gt;3),$A$1&lt;6),"",VLOOKUP(VLOOKUP($A15,Centrum!$D$3:$M$130,10,0),Centrum!$A$3:$CB$130,BN$132,0))</f>
        <v/>
      </c>
    </row>
    <row r="16" spans="1:69" x14ac:dyDescent="0.4">
      <c r="A16" s="318">
        <f ca="1">Centrum!A16</f>
        <v>14</v>
      </c>
      <c r="B16" s="421" t="str">
        <f ca="1">IF(OR($A16="",TYPE(VLOOKUP($A16,Centrum!$D$3:$M$130,10,0))&gt;3),"",VLOOKUP(VLOOKUP(A16,Centrum!$D$3:$M$130,10,0),Centrum!$A$3:$CB$130,B$132,0))</f>
        <v>9 UBU Únětice - Palas Pavel</v>
      </c>
      <c r="C16" s="318">
        <f ca="1">IF(OR($A16="",TYPE(VLOOKUP($A16,Centrum!$D$3:$M$130,10,0))&gt;3),"",VLOOKUP($A16,Centrum!$D$3:$M$130,10,0))</f>
        <v>9</v>
      </c>
      <c r="E16" s="318">
        <f ca="1">IF(OR($A16="",TYPE(VLOOKUP($A16,Centrum!$D$3:$M$130,10,0))&gt;3),"",VLOOKUP(VLOOKUP($A16,Centrum!$D$3:$M$130,10,0),Centrum!$A$3:$CB$130,E$132,0))</f>
        <v>3</v>
      </c>
      <c r="F16" s="318">
        <f ca="1">IF(OR($A16="",TYPE(VLOOKUP($A16,Centrum!$D$3:$M$130,10,0))&gt;3),"",VLOOKUP(VLOOKUP($A16,Centrum!$D$3:$M$130,10,0),Centrum!$A$3:$CB$130,F$132,0))</f>
        <v>8</v>
      </c>
      <c r="G16" s="318">
        <f ca="1">IF(OR($A16="",TYPE(VLOOKUP($A16,Centrum!$D$3:$M$130,10,0))&gt;3),"",VLOOKUP(VLOOKUP($A16,Centrum!$D$3:$M$130,10,0),Centrum!$A$3:$CB$130,G$132,0))</f>
        <v>35</v>
      </c>
      <c r="H16" s="318">
        <f ca="1">IF($A16="","",VLOOKUP(VLOOKUP($A16,Centrum!$D$3:$M$130,10,0),Centrum!$A$3:$CB$130,H$132,0))</f>
        <v>5</v>
      </c>
      <c r="I16" s="318">
        <f ca="1">IF($A16="","",VLOOKUP(VLOOKUP($A16,Centrum!$D$3:$M$130,10,0),Centrum!$A$3:$CB$130,I$132,0))</f>
        <v>0</v>
      </c>
      <c r="J16" s="318">
        <f ca="1">IF(OR($A16="",TYPE(VLOOKUP($A16,Centrum!$D$3:$M$130,10,0))&gt;3),"",VLOOKUP(VLOOKUP($A16,Centrum!$D$3:$M$130,10,0),Centrum!$A$3:$CB$130,J$132,0))</f>
        <v>19</v>
      </c>
      <c r="L16" s="318">
        <f ca="1">IF(OR($A16="",TYPE(VLOOKUP($A16,Centrum!$D$3:$M$130,10,0))&gt;3),"",VLOOKUP(VLOOKUP($A16,Centrum!$D$3:$M$130,10,0),Centrum!$A$3:$CB$130,L$132,0))</f>
        <v>37</v>
      </c>
      <c r="M16" s="318">
        <f ca="1">IF(OR($A16="",TYPE(VLOOKUP($A16,Centrum!$D$3:$M$130,10,0))&gt;3),"",VLOOKUP(VLOOKUP($A16,Centrum!$D$3:$M$130,10,0),Centrum!$A$3:$CB$130,M$132,0))</f>
        <v>14</v>
      </c>
      <c r="N16" s="318">
        <f ca="1">IF(OR($A16="",TYPE(VLOOKUP($A16,Centrum!$D$3:$M$130,10,0))&gt;3),"",VLOOKUP(VLOOKUP($A16,Centrum!$D$3:$M$130,10,0),Centrum!$A$3:$CB$130,N$132,0))</f>
        <v>36</v>
      </c>
      <c r="O16" s="318">
        <f ca="1">IF(OR($A16="",TYPE(VLOOKUP($A16,Centrum!$D$3:$M$130,10,0))&gt;3),"",VLOOKUP(VLOOKUP($A16,Centrum!$D$3:$M$130,10,0),Centrum!$A$3:$CB$130,O$132,0))</f>
        <v>3</v>
      </c>
      <c r="P16" s="318">
        <f ca="1">IF(OR($A16="",TYPE(VLOOKUP($A16,Centrum!$D$3:$M$130,10,0))&gt;3),"",VLOOKUP(VLOOKUP($A16,Centrum!$D$3:$M$130,10,0),Centrum!$A$3:$CB$130,P$132,0))</f>
        <v>0</v>
      </c>
      <c r="Q16" s="318">
        <f ca="1">IF(OR($A16="",TYPE(VLOOKUP($A16,Centrum!$D$3:$M$130,10,0))&gt;3),"",VLOOKUP(VLOOKUP($A16,Centrum!$D$3:$M$130,10,0),Centrum!$A$3:$CB$130,Q$132,0))</f>
        <v>0</v>
      </c>
      <c r="S16" s="318">
        <f ca="1">IF(OR($A16="",TYPE(VLOOKUP($A16,Centrum!$D$3:$M$130,10,0))&gt;3),"",VLOOKUP(VLOOKUP($A16,Centrum!$D$3:$M$130,10,0),Centrum!$A$3:$CB$130,S$132,0))</f>
        <v>37</v>
      </c>
      <c r="T16" s="318">
        <f ca="1">IF(OR($A16="",TYPE(VLOOKUP($A16,Centrum!$D$3:$M$130,10,0))&gt;3),"",VLOOKUP(VLOOKUP($A16,Centrum!$D$3:$M$130,10,0),Centrum!$A$3:$CB$130,T$132,0))</f>
        <v>1</v>
      </c>
      <c r="U16" s="318">
        <f ca="1">IF(OR($A16="",TYPE(VLOOKUP($A16,Centrum!$D$3:$M$130,10,0))&gt;3),"",VLOOKUP(VLOOKUP($A16,Centrum!$D$3:$M$130,10,0),Centrum!$A$3:$CB$130,U$132,0))</f>
        <v>7</v>
      </c>
      <c r="AB16" s="318">
        <f ca="1">IF(OR($A16="",TYPE(VLOOKUP($A16,Centrum!$D$3:$M$130,10,0))&gt;3),"",VLOOKUP(VLOOKUP($A16,Centrum!$D$3:$M$130,10,0),Centrum!$A$3:$CB$130,AB$132,0))</f>
        <v>14</v>
      </c>
      <c r="AC16" s="318">
        <f ca="1">IF(OR($A16="",TYPE(VLOOKUP($A16,Centrum!$D$3:$M$130,10,0))&gt;3),"",VLOOKUP(VLOOKUP($A16,Centrum!$D$3:$M$130,10,0),Centrum!$A$3:$CB$130,AC$132,0))</f>
        <v>0</v>
      </c>
      <c r="AD16" s="318">
        <f ca="1">IF(OR($A16="",TYPE(VLOOKUP($A16,Centrum!$D$3:$M$130,10,0))&gt;3),"",VLOOKUP(VLOOKUP($A16,Centrum!$D$3:$M$130,10,0),Centrum!$A$3:$CB$130,AD$132,0))</f>
        <v>-2</v>
      </c>
      <c r="AK16" s="318">
        <f ca="1">IF(OR($A16="",TYPE(VLOOKUP($A16,Centrum!$D$3:$M$130,10,0))&gt;3),"",VLOOKUP(VLOOKUP($A16,Centrum!$D$3:$M$130,10,0),Centrum!$A$3:$CB$130,AK$132,0))</f>
        <v>36</v>
      </c>
      <c r="AL16" s="318">
        <f ca="1">IF(OR($A16="",TYPE(VLOOKUP($A16,Centrum!$D$3:$M$130,10,0))&gt;3),"",VLOOKUP(VLOOKUP($A16,Centrum!$D$3:$M$130,10,0),Centrum!$A$3:$CB$130,AL$132,0))</f>
        <v>1</v>
      </c>
      <c r="AM16" s="318">
        <f ca="1">IF(OR($A16="",TYPE(VLOOKUP($A16,Centrum!$D$3:$M$130,10,0))&gt;3),"",VLOOKUP(VLOOKUP($A16,Centrum!$D$3:$M$130,10,0),Centrum!$A$3:$CB$130,AM$132,0))</f>
        <v>9</v>
      </c>
      <c r="AT16" s="318">
        <f ca="1">IF(OR(OR($A16="",TYPE(VLOOKUP($A16,Centrum!$D$3:$M$130,10,0))&gt;3),$A$1&lt;4),"",VLOOKUP(VLOOKUP($A16,Centrum!$D$3:$M$130,10,0),Centrum!$A$3:$CB$130,AT$132,0))</f>
        <v>3</v>
      </c>
      <c r="AU16" s="318">
        <f ca="1">IF(OR(OR($A16="",TYPE(VLOOKUP($A16,Centrum!$D$3:$M$130,10,0))&gt;3),$A$1&lt;4),"",VLOOKUP(VLOOKUP($A16,Centrum!$D$3:$M$130,10,0),Centrum!$A$3:$CB$130,AU$132,0))</f>
        <v>1</v>
      </c>
      <c r="AV16" s="318">
        <f ca="1">IF(OR(OR($A16="",TYPE(VLOOKUP($A16,Centrum!$D$3:$M$130,10,0))&gt;3),$A$1&lt;4),"",VLOOKUP(VLOOKUP($A16,Centrum!$D$3:$M$130,10,0),Centrum!$A$3:$CB$130,AV$132,0))</f>
        <v>5</v>
      </c>
      <c r="BC16" s="318" t="str">
        <f ca="1">IF(OR(OR($A16="",TYPE(VLOOKUP($A16,Centrum!$D$3:$M$130,10,0))&gt;3),$A$1&lt;5),"",VLOOKUP(VLOOKUP($A16,Centrum!$D$3:$M$130,10,0),Centrum!$A$3:$CB$130,BC$132,0))</f>
        <v/>
      </c>
      <c r="BD16" s="318" t="str">
        <f ca="1">IF(OR(OR($A16="",TYPE(VLOOKUP($A16,Centrum!$D$3:$M$130,10,0))&gt;3),$A$1&lt;5),"",VLOOKUP(VLOOKUP($A16,Centrum!$D$3:$M$130,10,0),Centrum!$A$3:$CB$130,BD$132,0))</f>
        <v/>
      </c>
      <c r="BE16" s="318" t="str">
        <f ca="1">IF(OR(OR($A16="",TYPE(VLOOKUP($A16,Centrum!$D$3:$M$130,10,0))&gt;3),$A$1&lt;5),"",VLOOKUP(VLOOKUP($A16,Centrum!$D$3:$M$130,10,0),Centrum!$A$3:$CB$130,BE$132,0))</f>
        <v/>
      </c>
      <c r="BL16" s="318" t="str">
        <f ca="1">IF(OR(OR($A16="",TYPE(VLOOKUP($A16,Centrum!$D$3:$M$130,10,0))&gt;3),$A$1&lt;6),"",VLOOKUP(VLOOKUP($A16,Centrum!$D$3:$M$130,10,0),Centrum!$A$3:$CB$130,BL$132,0))</f>
        <v/>
      </c>
      <c r="BM16" s="318" t="str">
        <f ca="1">IF(OR(OR($A16="",TYPE(VLOOKUP($A16,Centrum!$D$3:$M$130,10,0))&gt;3),$A$1&lt;6),"",VLOOKUP(VLOOKUP($A16,Centrum!$D$3:$M$130,10,0),Centrum!$A$3:$CB$130,BM$132,0))</f>
        <v/>
      </c>
      <c r="BN16" s="318" t="str">
        <f ca="1">IF(OR(OR($A16="",TYPE(VLOOKUP($A16,Centrum!$D$3:$M$130,10,0))&gt;3),$A$1&lt;6),"",VLOOKUP(VLOOKUP($A16,Centrum!$D$3:$M$130,10,0),Centrum!$A$3:$CB$130,BN$132,0))</f>
        <v/>
      </c>
    </row>
    <row r="17" spans="1:66" x14ac:dyDescent="0.4">
      <c r="A17" s="318">
        <f ca="1">Centrum!A17</f>
        <v>15</v>
      </c>
      <c r="B17" s="421" t="str">
        <f ca="1">IF(OR($A17="",TYPE(VLOOKUP($A17,Centrum!$D$3:$M$130,10,0))&gt;3),"",VLOOKUP(VLOOKUP(A17,Centrum!$D$3:$M$130,10,0),Centrum!$A$3:$CB$130,B$132,0))</f>
        <v xml:space="preserve">44   - michael dánsko  </v>
      </c>
      <c r="C17" s="318">
        <f ca="1">IF(OR($A17="",TYPE(VLOOKUP($A17,Centrum!$D$3:$M$130,10,0))&gt;3),"",VLOOKUP($A17,Centrum!$D$3:$M$130,10,0))</f>
        <v>44</v>
      </c>
      <c r="E17" s="318">
        <f ca="1">IF(OR($A17="",TYPE(VLOOKUP($A17,Centrum!$D$3:$M$130,10,0))&gt;3),"",VLOOKUP(VLOOKUP($A17,Centrum!$D$3:$M$130,10,0),Centrum!$A$3:$CB$130,E$132,0))</f>
        <v>3</v>
      </c>
      <c r="F17" s="318">
        <f ca="1">IF(OR($A17="",TYPE(VLOOKUP($A17,Centrum!$D$3:$M$130,10,0))&gt;3),"",VLOOKUP(VLOOKUP($A17,Centrum!$D$3:$M$130,10,0),Centrum!$A$3:$CB$130,F$132,0))</f>
        <v>8</v>
      </c>
      <c r="G17" s="318">
        <f ca="1">IF(OR($A17="",TYPE(VLOOKUP($A17,Centrum!$D$3:$M$130,10,0))&gt;3),"",VLOOKUP(VLOOKUP($A17,Centrum!$D$3:$M$130,10,0),Centrum!$A$3:$CB$130,G$132,0))</f>
        <v>32</v>
      </c>
      <c r="H17" s="318">
        <f ca="1">IF($A17="","",VLOOKUP(VLOOKUP($A17,Centrum!$D$3:$M$130,10,0),Centrum!$A$3:$CB$130,H$132,0))</f>
        <v>5</v>
      </c>
      <c r="I17" s="318">
        <f ca="1">IF($A17="","",VLOOKUP(VLOOKUP($A17,Centrum!$D$3:$M$130,10,0),Centrum!$A$3:$CB$130,I$132,0))</f>
        <v>3</v>
      </c>
      <c r="J17" s="318">
        <f ca="1">IF(OR($A17="",TYPE(VLOOKUP($A17,Centrum!$D$3:$M$130,10,0))&gt;3),"",VLOOKUP(VLOOKUP($A17,Centrum!$D$3:$M$130,10,0),Centrum!$A$3:$CB$130,J$132,0))</f>
        <v>6</v>
      </c>
      <c r="L17" s="318">
        <f ca="1">IF(OR($A17="",TYPE(VLOOKUP($A17,Centrum!$D$3:$M$130,10,0))&gt;3),"",VLOOKUP(VLOOKUP($A17,Centrum!$D$3:$M$130,10,0),Centrum!$A$3:$CB$130,L$132,0))</f>
        <v>16</v>
      </c>
      <c r="M17" s="318">
        <f ca="1">IF(OR($A17="",TYPE(VLOOKUP($A17,Centrum!$D$3:$M$130,10,0))&gt;3),"",VLOOKUP(VLOOKUP($A17,Centrum!$D$3:$M$130,10,0),Centrum!$A$3:$CB$130,M$132,0))</f>
        <v>20</v>
      </c>
      <c r="N17" s="318">
        <f ca="1">IF(OR($A17="",TYPE(VLOOKUP($A17,Centrum!$D$3:$M$130,10,0))&gt;3),"",VLOOKUP(VLOOKUP($A17,Centrum!$D$3:$M$130,10,0),Centrum!$A$3:$CB$130,N$132,0))</f>
        <v>23</v>
      </c>
      <c r="O17" s="318">
        <f ca="1">IF(OR($A17="",TYPE(VLOOKUP($A17,Centrum!$D$3:$M$130,10,0))&gt;3),"",VLOOKUP(VLOOKUP($A17,Centrum!$D$3:$M$130,10,0),Centrum!$A$3:$CB$130,O$132,0))</f>
        <v>11</v>
      </c>
      <c r="P17" s="318">
        <f ca="1">IF(OR($A17="",TYPE(VLOOKUP($A17,Centrum!$D$3:$M$130,10,0))&gt;3),"",VLOOKUP(VLOOKUP($A17,Centrum!$D$3:$M$130,10,0),Centrum!$A$3:$CB$130,P$132,0))</f>
        <v>0</v>
      </c>
      <c r="Q17" s="318">
        <f ca="1">IF(OR($A17="",TYPE(VLOOKUP($A17,Centrum!$D$3:$M$130,10,0))&gt;3),"",VLOOKUP(VLOOKUP($A17,Centrum!$D$3:$M$130,10,0),Centrum!$A$3:$CB$130,Q$132,0))</f>
        <v>0</v>
      </c>
      <c r="S17" s="318">
        <f ca="1">IF(OR($A17="",TYPE(VLOOKUP($A17,Centrum!$D$3:$M$130,10,0))&gt;3),"",VLOOKUP(VLOOKUP($A17,Centrum!$D$3:$M$130,10,0),Centrum!$A$3:$CB$130,S$132,0))</f>
        <v>16</v>
      </c>
      <c r="T17" s="318">
        <f ca="1">IF(OR($A17="",TYPE(VLOOKUP($A17,Centrum!$D$3:$M$130,10,0))&gt;3),"",VLOOKUP(VLOOKUP($A17,Centrum!$D$3:$M$130,10,0),Centrum!$A$3:$CB$130,T$132,0))</f>
        <v>1</v>
      </c>
      <c r="U17" s="318">
        <f ca="1">IF(OR($A17="",TYPE(VLOOKUP($A17,Centrum!$D$3:$M$130,10,0))&gt;3),"",VLOOKUP(VLOOKUP($A17,Centrum!$D$3:$M$130,10,0),Centrum!$A$3:$CB$130,U$132,0))</f>
        <v>4</v>
      </c>
      <c r="AB17" s="318">
        <f ca="1">IF(OR($A17="",TYPE(VLOOKUP($A17,Centrum!$D$3:$M$130,10,0))&gt;3),"",VLOOKUP(VLOOKUP($A17,Centrum!$D$3:$M$130,10,0),Centrum!$A$3:$CB$130,AB$132,0))</f>
        <v>20</v>
      </c>
      <c r="AC17" s="318">
        <f ca="1">IF(OR($A17="",TYPE(VLOOKUP($A17,Centrum!$D$3:$M$130,10,0))&gt;3),"",VLOOKUP(VLOOKUP($A17,Centrum!$D$3:$M$130,10,0),Centrum!$A$3:$CB$130,AC$132,0))</f>
        <v>1</v>
      </c>
      <c r="AD17" s="318">
        <f ca="1">IF(OR($A17="",TYPE(VLOOKUP($A17,Centrum!$D$3:$M$130,10,0))&gt;3),"",VLOOKUP(VLOOKUP($A17,Centrum!$D$3:$M$130,10,0),Centrum!$A$3:$CB$130,AD$132,0))</f>
        <v>6</v>
      </c>
      <c r="AK17" s="318">
        <f ca="1">IF(OR($A17="",TYPE(VLOOKUP($A17,Centrum!$D$3:$M$130,10,0))&gt;3),"",VLOOKUP(VLOOKUP($A17,Centrum!$D$3:$M$130,10,0),Centrum!$A$3:$CB$130,AK$132,0))</f>
        <v>23</v>
      </c>
      <c r="AL17" s="318">
        <f ca="1">IF(OR($A17="",TYPE(VLOOKUP($A17,Centrum!$D$3:$M$130,10,0))&gt;3),"",VLOOKUP(VLOOKUP($A17,Centrum!$D$3:$M$130,10,0),Centrum!$A$3:$CB$130,AL$132,0))</f>
        <v>0</v>
      </c>
      <c r="AM17" s="318">
        <f ca="1">IF(OR($A17="",TYPE(VLOOKUP($A17,Centrum!$D$3:$M$130,10,0))&gt;3),"",VLOOKUP(VLOOKUP($A17,Centrum!$D$3:$M$130,10,0),Centrum!$A$3:$CB$130,AM$132,0))</f>
        <v>-10</v>
      </c>
      <c r="AT17" s="318">
        <f ca="1">IF(OR(OR($A17="",TYPE(VLOOKUP($A17,Centrum!$D$3:$M$130,10,0))&gt;3),$A$1&lt;4),"",VLOOKUP(VLOOKUP($A17,Centrum!$D$3:$M$130,10,0),Centrum!$A$3:$CB$130,AT$132,0))</f>
        <v>11</v>
      </c>
      <c r="AU17" s="318">
        <f ca="1">IF(OR(OR($A17="",TYPE(VLOOKUP($A17,Centrum!$D$3:$M$130,10,0))&gt;3),$A$1&lt;4),"",VLOOKUP(VLOOKUP($A17,Centrum!$D$3:$M$130,10,0),Centrum!$A$3:$CB$130,AU$132,0))</f>
        <v>1</v>
      </c>
      <c r="AV17" s="318">
        <f ca="1">IF(OR(OR($A17="",TYPE(VLOOKUP($A17,Centrum!$D$3:$M$130,10,0))&gt;3),$A$1&lt;4),"",VLOOKUP(VLOOKUP($A17,Centrum!$D$3:$M$130,10,0),Centrum!$A$3:$CB$130,AV$132,0))</f>
        <v>6</v>
      </c>
      <c r="BC17" s="318" t="str">
        <f ca="1">IF(OR(OR($A17="",TYPE(VLOOKUP($A17,Centrum!$D$3:$M$130,10,0))&gt;3),$A$1&lt;5),"",VLOOKUP(VLOOKUP($A17,Centrum!$D$3:$M$130,10,0),Centrum!$A$3:$CB$130,BC$132,0))</f>
        <v/>
      </c>
      <c r="BD17" s="318" t="str">
        <f ca="1">IF(OR(OR($A17="",TYPE(VLOOKUP($A17,Centrum!$D$3:$M$130,10,0))&gt;3),$A$1&lt;5),"",VLOOKUP(VLOOKUP($A17,Centrum!$D$3:$M$130,10,0),Centrum!$A$3:$CB$130,BD$132,0))</f>
        <v/>
      </c>
      <c r="BE17" s="318" t="str">
        <f ca="1">IF(OR(OR($A17="",TYPE(VLOOKUP($A17,Centrum!$D$3:$M$130,10,0))&gt;3),$A$1&lt;5),"",VLOOKUP(VLOOKUP($A17,Centrum!$D$3:$M$130,10,0),Centrum!$A$3:$CB$130,BE$132,0))</f>
        <v/>
      </c>
      <c r="BL17" s="318" t="str">
        <f ca="1">IF(OR(OR($A17="",TYPE(VLOOKUP($A17,Centrum!$D$3:$M$130,10,0))&gt;3),$A$1&lt;6),"",VLOOKUP(VLOOKUP($A17,Centrum!$D$3:$M$130,10,0),Centrum!$A$3:$CB$130,BL$132,0))</f>
        <v/>
      </c>
      <c r="BM17" s="318" t="str">
        <f ca="1">IF(OR(OR($A17="",TYPE(VLOOKUP($A17,Centrum!$D$3:$M$130,10,0))&gt;3),$A$1&lt;6),"",VLOOKUP(VLOOKUP($A17,Centrum!$D$3:$M$130,10,0),Centrum!$A$3:$CB$130,BM$132,0))</f>
        <v/>
      </c>
      <c r="BN17" s="318" t="str">
        <f ca="1">IF(OR(OR($A17="",TYPE(VLOOKUP($A17,Centrum!$D$3:$M$130,10,0))&gt;3),$A$1&lt;6),"",VLOOKUP(VLOOKUP($A17,Centrum!$D$3:$M$130,10,0),Centrum!$A$3:$CB$130,BN$132,0))</f>
        <v/>
      </c>
    </row>
    <row r="18" spans="1:66" x14ac:dyDescent="0.4">
      <c r="A18" s="318">
        <f ca="1">Centrum!A18</f>
        <v>16</v>
      </c>
      <c r="B18" s="421" t="str">
        <f ca="1">IF(OR($A18="",TYPE(VLOOKUP($A18,Centrum!$D$3:$M$130,10,0))&gt;3),"",VLOOKUP(VLOOKUP(A18,Centrum!$D$3:$M$130,10,0),Centrum!$A$3:$CB$130,B$132,0))</f>
        <v>24 SK Pétanque Řepy - Váňová Věra</v>
      </c>
      <c r="C18" s="318">
        <f ca="1">IF(OR($A18="",TYPE(VLOOKUP($A18,Centrum!$D$3:$M$130,10,0))&gt;3),"",VLOOKUP($A18,Centrum!$D$3:$M$130,10,0))</f>
        <v>24</v>
      </c>
      <c r="E18" s="318">
        <f ca="1">IF(OR($A18="",TYPE(VLOOKUP($A18,Centrum!$D$3:$M$130,10,0))&gt;3),"",VLOOKUP(VLOOKUP($A18,Centrum!$D$3:$M$130,10,0),Centrum!$A$3:$CB$130,E$132,0))</f>
        <v>3</v>
      </c>
      <c r="F18" s="318">
        <f ca="1">IF(OR($A18="",TYPE(VLOOKUP($A18,Centrum!$D$3:$M$130,10,0))&gt;3),"",VLOOKUP(VLOOKUP($A18,Centrum!$D$3:$M$130,10,0),Centrum!$A$3:$CB$130,F$132,0))</f>
        <v>8</v>
      </c>
      <c r="G18" s="318">
        <f ca="1">IF(OR($A18="",TYPE(VLOOKUP($A18,Centrum!$D$3:$M$130,10,0))&gt;3),"",VLOOKUP(VLOOKUP($A18,Centrum!$D$3:$M$130,10,0),Centrum!$A$3:$CB$130,G$132,0))</f>
        <v>31</v>
      </c>
      <c r="H18" s="318">
        <f ca="1">IF($A18="","",VLOOKUP(VLOOKUP($A18,Centrum!$D$3:$M$130,10,0),Centrum!$A$3:$CB$130,H$132,0))</f>
        <v>5</v>
      </c>
      <c r="I18" s="318">
        <f ca="1">IF($A18="","",VLOOKUP(VLOOKUP($A18,Centrum!$D$3:$M$130,10,0),Centrum!$A$3:$CB$130,I$132,0))</f>
        <v>0</v>
      </c>
      <c r="J18" s="318">
        <f ca="1">IF(OR($A18="",TYPE(VLOOKUP($A18,Centrum!$D$3:$M$130,10,0))&gt;3),"",VLOOKUP(VLOOKUP($A18,Centrum!$D$3:$M$130,10,0),Centrum!$A$3:$CB$130,J$132,0))</f>
        <v>12</v>
      </c>
      <c r="L18" s="318">
        <f ca="1">IF(OR($A18="",TYPE(VLOOKUP($A18,Centrum!$D$3:$M$130,10,0))&gt;3),"",VLOOKUP(VLOOKUP($A18,Centrum!$D$3:$M$130,10,0),Centrum!$A$3:$CB$130,L$132,0))</f>
        <v>52</v>
      </c>
      <c r="M18" s="318">
        <f ca="1">IF(OR($A18="",TYPE(VLOOKUP($A18,Centrum!$D$3:$M$130,10,0))&gt;3),"",VLOOKUP(VLOOKUP($A18,Centrum!$D$3:$M$130,10,0),Centrum!$A$3:$CB$130,M$132,0))</f>
        <v>32</v>
      </c>
      <c r="N18" s="318">
        <f ca="1">IF(OR($A18="",TYPE(VLOOKUP($A18,Centrum!$D$3:$M$130,10,0))&gt;3),"",VLOOKUP(VLOOKUP($A18,Centrum!$D$3:$M$130,10,0),Centrum!$A$3:$CB$130,N$132,0))</f>
        <v>29</v>
      </c>
      <c r="O18" s="318">
        <f ca="1">IF(OR($A18="",TYPE(VLOOKUP($A18,Centrum!$D$3:$M$130,10,0))&gt;3),"",VLOOKUP(VLOOKUP($A18,Centrum!$D$3:$M$130,10,0),Centrum!$A$3:$CB$130,O$132,0))</f>
        <v>45</v>
      </c>
      <c r="P18" s="318">
        <f ca="1">IF(OR($A18="",TYPE(VLOOKUP($A18,Centrum!$D$3:$M$130,10,0))&gt;3),"",VLOOKUP(VLOOKUP($A18,Centrum!$D$3:$M$130,10,0),Centrum!$A$3:$CB$130,P$132,0))</f>
        <v>0</v>
      </c>
      <c r="Q18" s="318">
        <f ca="1">IF(OR($A18="",TYPE(VLOOKUP($A18,Centrum!$D$3:$M$130,10,0))&gt;3),"",VLOOKUP(VLOOKUP($A18,Centrum!$D$3:$M$130,10,0),Centrum!$A$3:$CB$130,Q$132,0))</f>
        <v>0</v>
      </c>
      <c r="S18" s="318">
        <f ca="1">IF(OR($A18="",TYPE(VLOOKUP($A18,Centrum!$D$3:$M$130,10,0))&gt;3),"",VLOOKUP(VLOOKUP($A18,Centrum!$D$3:$M$130,10,0),Centrum!$A$3:$CB$130,S$132,0))</f>
        <v>52</v>
      </c>
      <c r="T18" s="318">
        <f ca="1">IF(OR($A18="",TYPE(VLOOKUP($A18,Centrum!$D$3:$M$130,10,0))&gt;3),"",VLOOKUP(VLOOKUP($A18,Centrum!$D$3:$M$130,10,0),Centrum!$A$3:$CB$130,T$132,0))</f>
        <v>0</v>
      </c>
      <c r="U18" s="318">
        <f ca="1">IF(OR($A18="",TYPE(VLOOKUP($A18,Centrum!$D$3:$M$130,10,0))&gt;3),"",VLOOKUP(VLOOKUP($A18,Centrum!$D$3:$M$130,10,0),Centrum!$A$3:$CB$130,U$132,0))</f>
        <v>-3</v>
      </c>
      <c r="AB18" s="318">
        <f ca="1">IF(OR($A18="",TYPE(VLOOKUP($A18,Centrum!$D$3:$M$130,10,0))&gt;3),"",VLOOKUP(VLOOKUP($A18,Centrum!$D$3:$M$130,10,0),Centrum!$A$3:$CB$130,AB$132,0))</f>
        <v>32</v>
      </c>
      <c r="AC18" s="318">
        <f ca="1">IF(OR($A18="",TYPE(VLOOKUP($A18,Centrum!$D$3:$M$130,10,0))&gt;3),"",VLOOKUP(VLOOKUP($A18,Centrum!$D$3:$M$130,10,0),Centrum!$A$3:$CB$130,AC$132,0))</f>
        <v>1</v>
      </c>
      <c r="AD18" s="318">
        <f ca="1">IF(OR($A18="",TYPE(VLOOKUP($A18,Centrum!$D$3:$M$130,10,0))&gt;3),"",VLOOKUP(VLOOKUP($A18,Centrum!$D$3:$M$130,10,0),Centrum!$A$3:$CB$130,AD$132,0))</f>
        <v>8</v>
      </c>
      <c r="AK18" s="318">
        <f ca="1">IF(OR($A18="",TYPE(VLOOKUP($A18,Centrum!$D$3:$M$130,10,0))&gt;3),"",VLOOKUP(VLOOKUP($A18,Centrum!$D$3:$M$130,10,0),Centrum!$A$3:$CB$130,AK$132,0))</f>
        <v>29</v>
      </c>
      <c r="AL18" s="318">
        <f ca="1">IF(OR($A18="",TYPE(VLOOKUP($A18,Centrum!$D$3:$M$130,10,0))&gt;3),"",VLOOKUP(VLOOKUP($A18,Centrum!$D$3:$M$130,10,0),Centrum!$A$3:$CB$130,AL$132,0))</f>
        <v>1</v>
      </c>
      <c r="AM18" s="318">
        <f ca="1">IF(OR($A18="",TYPE(VLOOKUP($A18,Centrum!$D$3:$M$130,10,0))&gt;3),"",VLOOKUP(VLOOKUP($A18,Centrum!$D$3:$M$130,10,0),Centrum!$A$3:$CB$130,AM$132,0))</f>
        <v>1</v>
      </c>
      <c r="AT18" s="318">
        <f ca="1">IF(OR(OR($A18="",TYPE(VLOOKUP($A18,Centrum!$D$3:$M$130,10,0))&gt;3),$A$1&lt;4),"",VLOOKUP(VLOOKUP($A18,Centrum!$D$3:$M$130,10,0),Centrum!$A$3:$CB$130,AT$132,0))</f>
        <v>45</v>
      </c>
      <c r="AU18" s="318">
        <f ca="1">IF(OR(OR($A18="",TYPE(VLOOKUP($A18,Centrum!$D$3:$M$130,10,0))&gt;3),$A$1&lt;4),"",VLOOKUP(VLOOKUP($A18,Centrum!$D$3:$M$130,10,0),Centrum!$A$3:$CB$130,AU$132,0))</f>
        <v>1</v>
      </c>
      <c r="AV18" s="318">
        <f ca="1">IF(OR(OR($A18="",TYPE(VLOOKUP($A18,Centrum!$D$3:$M$130,10,0))&gt;3),$A$1&lt;4),"",VLOOKUP(VLOOKUP($A18,Centrum!$D$3:$M$130,10,0),Centrum!$A$3:$CB$130,AV$132,0))</f>
        <v>6</v>
      </c>
      <c r="BC18" s="318" t="str">
        <f ca="1">IF(OR(OR($A18="",TYPE(VLOOKUP($A18,Centrum!$D$3:$M$130,10,0))&gt;3),$A$1&lt;5),"",VLOOKUP(VLOOKUP($A18,Centrum!$D$3:$M$130,10,0),Centrum!$A$3:$CB$130,BC$132,0))</f>
        <v/>
      </c>
      <c r="BD18" s="318" t="str">
        <f ca="1">IF(OR(OR($A18="",TYPE(VLOOKUP($A18,Centrum!$D$3:$M$130,10,0))&gt;3),$A$1&lt;5),"",VLOOKUP(VLOOKUP($A18,Centrum!$D$3:$M$130,10,0),Centrum!$A$3:$CB$130,BD$132,0))</f>
        <v/>
      </c>
      <c r="BE18" s="318" t="str">
        <f ca="1">IF(OR(OR($A18="",TYPE(VLOOKUP($A18,Centrum!$D$3:$M$130,10,0))&gt;3),$A$1&lt;5),"",VLOOKUP(VLOOKUP($A18,Centrum!$D$3:$M$130,10,0),Centrum!$A$3:$CB$130,BE$132,0))</f>
        <v/>
      </c>
      <c r="BL18" s="318" t="str">
        <f ca="1">IF(OR(OR($A18="",TYPE(VLOOKUP($A18,Centrum!$D$3:$M$130,10,0))&gt;3),$A$1&lt;6),"",VLOOKUP(VLOOKUP($A18,Centrum!$D$3:$M$130,10,0),Centrum!$A$3:$CB$130,BL$132,0))</f>
        <v/>
      </c>
      <c r="BM18" s="318" t="str">
        <f ca="1">IF(OR(OR($A18="",TYPE(VLOOKUP($A18,Centrum!$D$3:$M$130,10,0))&gt;3),$A$1&lt;6),"",VLOOKUP(VLOOKUP($A18,Centrum!$D$3:$M$130,10,0),Centrum!$A$3:$CB$130,BM$132,0))</f>
        <v/>
      </c>
      <c r="BN18" s="318" t="str">
        <f ca="1">IF(OR(OR($A18="",TYPE(VLOOKUP($A18,Centrum!$D$3:$M$130,10,0))&gt;3),$A$1&lt;6),"",VLOOKUP(VLOOKUP($A18,Centrum!$D$3:$M$130,10,0),Centrum!$A$3:$CB$130,BN$132,0))</f>
        <v/>
      </c>
    </row>
    <row r="19" spans="1:66" x14ac:dyDescent="0.4">
      <c r="A19" s="318">
        <f ca="1">Centrum!A19</f>
        <v>17</v>
      </c>
      <c r="B19" s="421" t="str">
        <f ca="1">IF(OR($A19="",TYPE(VLOOKUP($A19,Centrum!$D$3:$M$130,10,0))&gt;3),"",VLOOKUP(VLOOKUP(A19,Centrum!$D$3:$M$130,10,0),Centrum!$A$3:$CB$130,B$132,0))</f>
        <v>15 Sokol Kostomlaty - Vlach Jaromír</v>
      </c>
      <c r="C19" s="318">
        <f ca="1">IF(OR($A19="",TYPE(VLOOKUP($A19,Centrum!$D$3:$M$130,10,0))&gt;3),"",VLOOKUP($A19,Centrum!$D$3:$M$130,10,0))</f>
        <v>15</v>
      </c>
      <c r="E19" s="318">
        <f ca="1">IF(OR($A19="",TYPE(VLOOKUP($A19,Centrum!$D$3:$M$130,10,0))&gt;3),"",VLOOKUP(VLOOKUP($A19,Centrum!$D$3:$M$130,10,0),Centrum!$A$3:$CB$130,E$132,0))</f>
        <v>3</v>
      </c>
      <c r="F19" s="318">
        <f ca="1">IF(OR($A19="",TYPE(VLOOKUP($A19,Centrum!$D$3:$M$130,10,0))&gt;3),"",VLOOKUP(VLOOKUP($A19,Centrum!$D$3:$M$130,10,0),Centrum!$A$3:$CB$130,F$132,0))</f>
        <v>7</v>
      </c>
      <c r="G19" s="318">
        <f ca="1">IF(OR($A19="",TYPE(VLOOKUP($A19,Centrum!$D$3:$M$130,10,0))&gt;3),"",VLOOKUP(VLOOKUP($A19,Centrum!$D$3:$M$130,10,0),Centrum!$A$3:$CB$130,G$132,0))</f>
        <v>37</v>
      </c>
      <c r="H19" s="318">
        <f ca="1">IF($A19="","",VLOOKUP(VLOOKUP($A19,Centrum!$D$3:$M$130,10,0),Centrum!$A$3:$CB$130,H$132,0))</f>
        <v>4</v>
      </c>
      <c r="I19" s="318">
        <f ca="1">IF($A19="","",VLOOKUP(VLOOKUP($A19,Centrum!$D$3:$M$130,10,0),Centrum!$A$3:$CB$130,I$132,0))</f>
        <v>0</v>
      </c>
      <c r="J19" s="318">
        <f ca="1">IF(OR($A19="",TYPE(VLOOKUP($A19,Centrum!$D$3:$M$130,10,0))&gt;3),"",VLOOKUP(VLOOKUP($A19,Centrum!$D$3:$M$130,10,0),Centrum!$A$3:$CB$130,J$132,0))</f>
        <v>18</v>
      </c>
      <c r="L19" s="318">
        <f ca="1">IF(OR($A19="",TYPE(VLOOKUP($A19,Centrum!$D$3:$M$130,10,0))&gt;3),"",VLOOKUP(VLOOKUP($A19,Centrum!$D$3:$M$130,10,0),Centrum!$A$3:$CB$130,L$132,0))</f>
        <v>43</v>
      </c>
      <c r="M19" s="318">
        <f ca="1">IF(OR($A19="",TYPE(VLOOKUP($A19,Centrum!$D$3:$M$130,10,0))&gt;3),"",VLOOKUP(VLOOKUP($A19,Centrum!$D$3:$M$130,10,0),Centrum!$A$3:$CB$130,M$132,0))</f>
        <v>34</v>
      </c>
      <c r="N19" s="318">
        <f ca="1">IF(OR($A19="",TYPE(VLOOKUP($A19,Centrum!$D$3:$M$130,10,0))&gt;3),"",VLOOKUP(VLOOKUP($A19,Centrum!$D$3:$M$130,10,0),Centrum!$A$3:$CB$130,N$132,0))</f>
        <v>22</v>
      </c>
      <c r="O19" s="318">
        <f ca="1">IF(OR($A19="",TYPE(VLOOKUP($A19,Centrum!$D$3:$M$130,10,0))&gt;3),"",VLOOKUP(VLOOKUP($A19,Centrum!$D$3:$M$130,10,0),Centrum!$A$3:$CB$130,O$132,0))</f>
        <v>54</v>
      </c>
      <c r="P19" s="318">
        <f ca="1">IF(OR($A19="",TYPE(VLOOKUP($A19,Centrum!$D$3:$M$130,10,0))&gt;3),"",VLOOKUP(VLOOKUP($A19,Centrum!$D$3:$M$130,10,0),Centrum!$A$3:$CB$130,P$132,0))</f>
        <v>0</v>
      </c>
      <c r="Q19" s="318">
        <f ca="1">IF(OR($A19="",TYPE(VLOOKUP($A19,Centrum!$D$3:$M$130,10,0))&gt;3),"",VLOOKUP(VLOOKUP($A19,Centrum!$D$3:$M$130,10,0),Centrum!$A$3:$CB$130,Q$132,0))</f>
        <v>0</v>
      </c>
      <c r="S19" s="318">
        <f ca="1">IF(OR($A19="",TYPE(VLOOKUP($A19,Centrum!$D$3:$M$130,10,0))&gt;3),"",VLOOKUP(VLOOKUP($A19,Centrum!$D$3:$M$130,10,0),Centrum!$A$3:$CB$130,S$132,0))</f>
        <v>43</v>
      </c>
      <c r="T19" s="318">
        <f ca="1">IF(OR($A19="",TYPE(VLOOKUP($A19,Centrum!$D$3:$M$130,10,0))&gt;3),"",VLOOKUP(VLOOKUP($A19,Centrum!$D$3:$M$130,10,0),Centrum!$A$3:$CB$130,T$132,0))</f>
        <v>1</v>
      </c>
      <c r="U19" s="318">
        <f ca="1">IF(OR($A19="",TYPE(VLOOKUP($A19,Centrum!$D$3:$M$130,10,0))&gt;3),"",VLOOKUP(VLOOKUP($A19,Centrum!$D$3:$M$130,10,0),Centrum!$A$3:$CB$130,U$132,0))</f>
        <v>10</v>
      </c>
      <c r="AB19" s="318">
        <f ca="1">IF(OR($A19="",TYPE(VLOOKUP($A19,Centrum!$D$3:$M$130,10,0))&gt;3),"",VLOOKUP(VLOOKUP($A19,Centrum!$D$3:$M$130,10,0),Centrum!$A$3:$CB$130,AB$132,0))</f>
        <v>34</v>
      </c>
      <c r="AC19" s="318">
        <f ca="1">IF(OR($A19="",TYPE(VLOOKUP($A19,Centrum!$D$3:$M$130,10,0))&gt;3),"",VLOOKUP(VLOOKUP($A19,Centrum!$D$3:$M$130,10,0),Centrum!$A$3:$CB$130,AC$132,0))</f>
        <v>0</v>
      </c>
      <c r="AD19" s="318">
        <f ca="1">IF(OR($A19="",TYPE(VLOOKUP($A19,Centrum!$D$3:$M$130,10,0))&gt;3),"",VLOOKUP(VLOOKUP($A19,Centrum!$D$3:$M$130,10,0),Centrum!$A$3:$CB$130,AD$132,0))</f>
        <v>-5</v>
      </c>
      <c r="AK19" s="318">
        <f ca="1">IF(OR($A19="",TYPE(VLOOKUP($A19,Centrum!$D$3:$M$130,10,0))&gt;3),"",VLOOKUP(VLOOKUP($A19,Centrum!$D$3:$M$130,10,0),Centrum!$A$3:$CB$130,AK$132,0))</f>
        <v>22</v>
      </c>
      <c r="AL19" s="318">
        <f ca="1">IF(OR($A19="",TYPE(VLOOKUP($A19,Centrum!$D$3:$M$130,10,0))&gt;3),"",VLOOKUP(VLOOKUP($A19,Centrum!$D$3:$M$130,10,0),Centrum!$A$3:$CB$130,AL$132,0))</f>
        <v>1</v>
      </c>
      <c r="AM19" s="318">
        <f ca="1">IF(OR($A19="",TYPE(VLOOKUP($A19,Centrum!$D$3:$M$130,10,0))&gt;3),"",VLOOKUP(VLOOKUP($A19,Centrum!$D$3:$M$130,10,0),Centrum!$A$3:$CB$130,AM$132,0))</f>
        <v>4</v>
      </c>
      <c r="AT19" s="318">
        <f ca="1">IF(OR(OR($A19="",TYPE(VLOOKUP($A19,Centrum!$D$3:$M$130,10,0))&gt;3),$A$1&lt;4),"",VLOOKUP(VLOOKUP($A19,Centrum!$D$3:$M$130,10,0),Centrum!$A$3:$CB$130,AT$132,0))</f>
        <v>54</v>
      </c>
      <c r="AU19" s="318">
        <f ca="1">IF(OR(OR($A19="",TYPE(VLOOKUP($A19,Centrum!$D$3:$M$130,10,0))&gt;3),$A$1&lt;4),"",VLOOKUP(VLOOKUP($A19,Centrum!$D$3:$M$130,10,0),Centrum!$A$3:$CB$130,AU$132,0))</f>
        <v>1</v>
      </c>
      <c r="AV19" s="318">
        <f ca="1">IF(OR(OR($A19="",TYPE(VLOOKUP($A19,Centrum!$D$3:$M$130,10,0))&gt;3),$A$1&lt;4),"",VLOOKUP(VLOOKUP($A19,Centrum!$D$3:$M$130,10,0),Centrum!$A$3:$CB$130,AV$132,0))</f>
        <v>9</v>
      </c>
      <c r="BC19" s="318" t="str">
        <f ca="1">IF(OR(OR($A19="",TYPE(VLOOKUP($A19,Centrum!$D$3:$M$130,10,0))&gt;3),$A$1&lt;5),"",VLOOKUP(VLOOKUP($A19,Centrum!$D$3:$M$130,10,0),Centrum!$A$3:$CB$130,BC$132,0))</f>
        <v/>
      </c>
      <c r="BD19" s="318" t="str">
        <f ca="1">IF(OR(OR($A19="",TYPE(VLOOKUP($A19,Centrum!$D$3:$M$130,10,0))&gt;3),$A$1&lt;5),"",VLOOKUP(VLOOKUP($A19,Centrum!$D$3:$M$130,10,0),Centrum!$A$3:$CB$130,BD$132,0))</f>
        <v/>
      </c>
      <c r="BE19" s="318" t="str">
        <f ca="1">IF(OR(OR($A19="",TYPE(VLOOKUP($A19,Centrum!$D$3:$M$130,10,0))&gt;3),$A$1&lt;5),"",VLOOKUP(VLOOKUP($A19,Centrum!$D$3:$M$130,10,0),Centrum!$A$3:$CB$130,BE$132,0))</f>
        <v/>
      </c>
      <c r="BL19" s="318" t="str">
        <f ca="1">IF(OR(OR($A19="",TYPE(VLOOKUP($A19,Centrum!$D$3:$M$130,10,0))&gt;3),$A$1&lt;6),"",VLOOKUP(VLOOKUP($A19,Centrum!$D$3:$M$130,10,0),Centrum!$A$3:$CB$130,BL$132,0))</f>
        <v/>
      </c>
      <c r="BM19" s="318" t="str">
        <f ca="1">IF(OR(OR($A19="",TYPE(VLOOKUP($A19,Centrum!$D$3:$M$130,10,0))&gt;3),$A$1&lt;6),"",VLOOKUP(VLOOKUP($A19,Centrum!$D$3:$M$130,10,0),Centrum!$A$3:$CB$130,BM$132,0))</f>
        <v/>
      </c>
      <c r="BN19" s="318" t="str">
        <f ca="1">IF(OR(OR($A19="",TYPE(VLOOKUP($A19,Centrum!$D$3:$M$130,10,0))&gt;3),$A$1&lt;6),"",VLOOKUP(VLOOKUP($A19,Centrum!$D$3:$M$130,10,0),Centrum!$A$3:$CB$130,BN$132,0))</f>
        <v/>
      </c>
    </row>
    <row r="20" spans="1:66" x14ac:dyDescent="0.4">
      <c r="A20" s="318">
        <f ca="1">Centrum!A20</f>
        <v>18</v>
      </c>
      <c r="B20" s="421" t="str">
        <f ca="1">IF(OR($A20="",TYPE(VLOOKUP($A20,Centrum!$D$3:$M$130,10,0))&gt;3),"",VLOOKUP(VLOOKUP(A20,Centrum!$D$3:$M$130,10,0),Centrum!$A$3:$CB$130,B$132,0))</f>
        <v xml:space="preserve">56   - Lohss, Hartmut, Německo  </v>
      </c>
      <c r="C20" s="318">
        <f ca="1">IF(OR($A20="",TYPE(VLOOKUP($A20,Centrum!$D$3:$M$130,10,0))&gt;3),"",VLOOKUP($A20,Centrum!$D$3:$M$130,10,0))</f>
        <v>56</v>
      </c>
      <c r="E20" s="318">
        <f ca="1">IF(OR($A20="",TYPE(VLOOKUP($A20,Centrum!$D$3:$M$130,10,0))&gt;3),"",VLOOKUP(VLOOKUP($A20,Centrum!$D$3:$M$130,10,0),Centrum!$A$3:$CB$130,E$132,0))</f>
        <v>3</v>
      </c>
      <c r="F20" s="318">
        <f ca="1">IF(OR($A20="",TYPE(VLOOKUP($A20,Centrum!$D$3:$M$130,10,0))&gt;3),"",VLOOKUP(VLOOKUP($A20,Centrum!$D$3:$M$130,10,0),Centrum!$A$3:$CB$130,F$132,0))</f>
        <v>6</v>
      </c>
      <c r="G20" s="318">
        <f ca="1">IF(OR($A20="",TYPE(VLOOKUP($A20,Centrum!$D$3:$M$130,10,0))&gt;3),"",VLOOKUP(VLOOKUP($A20,Centrum!$D$3:$M$130,10,0),Centrum!$A$3:$CB$130,G$132,0))</f>
        <v>39</v>
      </c>
      <c r="H20" s="318">
        <f ca="1">IF($A20="","",VLOOKUP(VLOOKUP($A20,Centrum!$D$3:$M$130,10,0),Centrum!$A$3:$CB$130,H$132,0))</f>
        <v>3</v>
      </c>
      <c r="I20" s="318">
        <f ca="1">IF($A20="","",VLOOKUP(VLOOKUP($A20,Centrum!$D$3:$M$130,10,0),Centrum!$A$3:$CB$130,I$132,0))</f>
        <v>3</v>
      </c>
      <c r="J20" s="318">
        <f ca="1">IF(OR($A20="",TYPE(VLOOKUP($A20,Centrum!$D$3:$M$130,10,0))&gt;3),"",VLOOKUP(VLOOKUP($A20,Centrum!$D$3:$M$130,10,0),Centrum!$A$3:$CB$130,J$132,0))</f>
        <v>14</v>
      </c>
      <c r="L20" s="318">
        <f ca="1">IF(OR($A20="",TYPE(VLOOKUP($A20,Centrum!$D$3:$M$130,10,0))&gt;3),"",VLOOKUP(VLOOKUP($A20,Centrum!$D$3:$M$130,10,0),Centrum!$A$3:$CB$130,L$132,0))</f>
        <v>28</v>
      </c>
      <c r="M20" s="318">
        <f ca="1">IF(OR($A20="",TYPE(VLOOKUP($A20,Centrum!$D$3:$M$130,10,0))&gt;3),"",VLOOKUP(VLOOKUP($A20,Centrum!$D$3:$M$130,10,0),Centrum!$A$3:$CB$130,M$132,0))</f>
        <v>43</v>
      </c>
      <c r="N20" s="318">
        <f ca="1">IF(OR($A20="",TYPE(VLOOKUP($A20,Centrum!$D$3:$M$130,10,0))&gt;3),"",VLOOKUP(VLOOKUP($A20,Centrum!$D$3:$M$130,10,0),Centrum!$A$3:$CB$130,N$132,0))</f>
        <v>13</v>
      </c>
      <c r="O20" s="318">
        <f ca="1">IF(OR($A20="",TYPE(VLOOKUP($A20,Centrum!$D$3:$M$130,10,0))&gt;3),"",VLOOKUP(VLOOKUP($A20,Centrum!$D$3:$M$130,10,0),Centrum!$A$3:$CB$130,O$132,0))</f>
        <v>39</v>
      </c>
      <c r="P20" s="318">
        <f ca="1">IF(OR($A20="",TYPE(VLOOKUP($A20,Centrum!$D$3:$M$130,10,0))&gt;3),"",VLOOKUP(VLOOKUP($A20,Centrum!$D$3:$M$130,10,0),Centrum!$A$3:$CB$130,P$132,0))</f>
        <v>0</v>
      </c>
      <c r="Q20" s="318">
        <f ca="1">IF(OR($A20="",TYPE(VLOOKUP($A20,Centrum!$D$3:$M$130,10,0))&gt;3),"",VLOOKUP(VLOOKUP($A20,Centrum!$D$3:$M$130,10,0),Centrum!$A$3:$CB$130,Q$132,0))</f>
        <v>0</v>
      </c>
      <c r="S20" s="318">
        <f ca="1">IF(OR($A20="",TYPE(VLOOKUP($A20,Centrum!$D$3:$M$130,10,0))&gt;3),"",VLOOKUP(VLOOKUP($A20,Centrum!$D$3:$M$130,10,0),Centrum!$A$3:$CB$130,S$132,0))</f>
        <v>28</v>
      </c>
      <c r="T20" s="318">
        <f ca="1">IF(OR($A20="",TYPE(VLOOKUP($A20,Centrum!$D$3:$M$130,10,0))&gt;3),"",VLOOKUP(VLOOKUP($A20,Centrum!$D$3:$M$130,10,0),Centrum!$A$3:$CB$130,T$132,0))</f>
        <v>0</v>
      </c>
      <c r="U20" s="318">
        <f ca="1">IF(OR($A20="",TYPE(VLOOKUP($A20,Centrum!$D$3:$M$130,10,0))&gt;3),"",VLOOKUP(VLOOKUP($A20,Centrum!$D$3:$M$130,10,0),Centrum!$A$3:$CB$130,U$132,0))</f>
        <v>-5</v>
      </c>
      <c r="AB20" s="318">
        <f ca="1">IF(OR($A20="",TYPE(VLOOKUP($A20,Centrum!$D$3:$M$130,10,0))&gt;3),"",VLOOKUP(VLOOKUP($A20,Centrum!$D$3:$M$130,10,0),Centrum!$A$3:$CB$130,AB$132,0))</f>
        <v>43</v>
      </c>
      <c r="AC20" s="318">
        <f ca="1">IF(OR($A20="",TYPE(VLOOKUP($A20,Centrum!$D$3:$M$130,10,0))&gt;3),"",VLOOKUP(VLOOKUP($A20,Centrum!$D$3:$M$130,10,0),Centrum!$A$3:$CB$130,AC$132,0))</f>
        <v>1</v>
      </c>
      <c r="AD20" s="318">
        <f ca="1">IF(OR($A20="",TYPE(VLOOKUP($A20,Centrum!$D$3:$M$130,10,0))&gt;3),"",VLOOKUP(VLOOKUP($A20,Centrum!$D$3:$M$130,10,0),Centrum!$A$3:$CB$130,AD$132,0))</f>
        <v>8</v>
      </c>
      <c r="AK20" s="318">
        <f ca="1">IF(OR($A20="",TYPE(VLOOKUP($A20,Centrum!$D$3:$M$130,10,0))&gt;3),"",VLOOKUP(VLOOKUP($A20,Centrum!$D$3:$M$130,10,0),Centrum!$A$3:$CB$130,AK$132,0))</f>
        <v>13</v>
      </c>
      <c r="AL20" s="318">
        <f ca="1">IF(OR($A20="",TYPE(VLOOKUP($A20,Centrum!$D$3:$M$130,10,0))&gt;3),"",VLOOKUP(VLOOKUP($A20,Centrum!$D$3:$M$130,10,0),Centrum!$A$3:$CB$130,AL$132,0))</f>
        <v>1</v>
      </c>
      <c r="AM20" s="318">
        <f ca="1">IF(OR($A20="",TYPE(VLOOKUP($A20,Centrum!$D$3:$M$130,10,0))&gt;3),"",VLOOKUP(VLOOKUP($A20,Centrum!$D$3:$M$130,10,0),Centrum!$A$3:$CB$130,AM$132,0))</f>
        <v>6</v>
      </c>
      <c r="AT20" s="318">
        <f ca="1">IF(OR(OR($A20="",TYPE(VLOOKUP($A20,Centrum!$D$3:$M$130,10,0))&gt;3),$A$1&lt;4),"",VLOOKUP(VLOOKUP($A20,Centrum!$D$3:$M$130,10,0),Centrum!$A$3:$CB$130,AT$132,0))</f>
        <v>39</v>
      </c>
      <c r="AU20" s="318">
        <f ca="1">IF(OR(OR($A20="",TYPE(VLOOKUP($A20,Centrum!$D$3:$M$130,10,0))&gt;3),$A$1&lt;4),"",VLOOKUP(VLOOKUP($A20,Centrum!$D$3:$M$130,10,0),Centrum!$A$3:$CB$130,AU$132,0))</f>
        <v>1</v>
      </c>
      <c r="AV20" s="318">
        <f ca="1">IF(OR(OR($A20="",TYPE(VLOOKUP($A20,Centrum!$D$3:$M$130,10,0))&gt;3),$A$1&lt;4),"",VLOOKUP(VLOOKUP($A20,Centrum!$D$3:$M$130,10,0),Centrum!$A$3:$CB$130,AV$132,0))</f>
        <v>5</v>
      </c>
      <c r="BC20" s="318" t="str">
        <f ca="1">IF(OR(OR($A20="",TYPE(VLOOKUP($A20,Centrum!$D$3:$M$130,10,0))&gt;3),$A$1&lt;5),"",VLOOKUP(VLOOKUP($A20,Centrum!$D$3:$M$130,10,0),Centrum!$A$3:$CB$130,BC$132,0))</f>
        <v/>
      </c>
      <c r="BD20" s="318" t="str">
        <f ca="1">IF(OR(OR($A20="",TYPE(VLOOKUP($A20,Centrum!$D$3:$M$130,10,0))&gt;3),$A$1&lt;5),"",VLOOKUP(VLOOKUP($A20,Centrum!$D$3:$M$130,10,0),Centrum!$A$3:$CB$130,BD$132,0))</f>
        <v/>
      </c>
      <c r="BE20" s="318" t="str">
        <f ca="1">IF(OR(OR($A20="",TYPE(VLOOKUP($A20,Centrum!$D$3:$M$130,10,0))&gt;3),$A$1&lt;5),"",VLOOKUP(VLOOKUP($A20,Centrum!$D$3:$M$130,10,0),Centrum!$A$3:$CB$130,BE$132,0))</f>
        <v/>
      </c>
      <c r="BL20" s="318" t="str">
        <f ca="1">IF(OR(OR($A20="",TYPE(VLOOKUP($A20,Centrum!$D$3:$M$130,10,0))&gt;3),$A$1&lt;6),"",VLOOKUP(VLOOKUP($A20,Centrum!$D$3:$M$130,10,0),Centrum!$A$3:$CB$130,BL$132,0))</f>
        <v/>
      </c>
      <c r="BM20" s="318" t="str">
        <f ca="1">IF(OR(OR($A20="",TYPE(VLOOKUP($A20,Centrum!$D$3:$M$130,10,0))&gt;3),$A$1&lt;6),"",VLOOKUP(VLOOKUP($A20,Centrum!$D$3:$M$130,10,0),Centrum!$A$3:$CB$130,BM$132,0))</f>
        <v/>
      </c>
      <c r="BN20" s="318" t="str">
        <f ca="1">IF(OR(OR($A20="",TYPE(VLOOKUP($A20,Centrum!$D$3:$M$130,10,0))&gt;3),$A$1&lt;6),"",VLOOKUP(VLOOKUP($A20,Centrum!$D$3:$M$130,10,0),Centrum!$A$3:$CB$130,BN$132,0))</f>
        <v/>
      </c>
    </row>
    <row r="21" spans="1:66" x14ac:dyDescent="0.4">
      <c r="A21" s="318">
        <f ca="1">Centrum!A21</f>
        <v>19</v>
      </c>
      <c r="B21" s="421" t="str">
        <f ca="1">IF(OR($A21="",TYPE(VLOOKUP($A21,Centrum!$D$3:$M$130,10,0))&gt;3),"",VLOOKUP(VLOOKUP(A21,Centrum!$D$3:$M$130,10,0),Centrum!$A$3:$CB$130,B$132,0))</f>
        <v>10 JAPKO - Stejskal Václav</v>
      </c>
      <c r="C21" s="318">
        <f ca="1">IF(OR($A21="",TYPE(VLOOKUP($A21,Centrum!$D$3:$M$130,10,0))&gt;3),"",VLOOKUP($A21,Centrum!$D$3:$M$130,10,0))</f>
        <v>10</v>
      </c>
      <c r="E21" s="318">
        <f ca="1">IF(OR($A21="",TYPE(VLOOKUP($A21,Centrum!$D$3:$M$130,10,0))&gt;3),"",VLOOKUP(VLOOKUP($A21,Centrum!$D$3:$M$130,10,0),Centrum!$A$3:$CB$130,E$132,0))</f>
        <v>2</v>
      </c>
      <c r="F21" s="318">
        <f ca="1">IF(OR($A21="",TYPE(VLOOKUP($A21,Centrum!$D$3:$M$130,10,0))&gt;3),"",VLOOKUP(VLOOKUP($A21,Centrum!$D$3:$M$130,10,0),Centrum!$A$3:$CB$130,F$132,0))</f>
        <v>11</v>
      </c>
      <c r="G21" s="318">
        <f ca="1">IF(OR($A21="",TYPE(VLOOKUP($A21,Centrum!$D$3:$M$130,10,0))&gt;3),"",VLOOKUP(VLOOKUP($A21,Centrum!$D$3:$M$130,10,0),Centrum!$A$3:$CB$130,G$132,0))</f>
        <v>37</v>
      </c>
      <c r="H21" s="318">
        <f ca="1">IF($A21="","",VLOOKUP(VLOOKUP($A21,Centrum!$D$3:$M$130,10,0),Centrum!$A$3:$CB$130,H$132,0))</f>
        <v>5</v>
      </c>
      <c r="I21" s="318">
        <f ca="1">IF($A21="","",VLOOKUP(VLOOKUP($A21,Centrum!$D$3:$M$130,10,0),Centrum!$A$3:$CB$130,I$132,0))</f>
        <v>0</v>
      </c>
      <c r="J21" s="318">
        <f ca="1">IF(OR($A21="",TYPE(VLOOKUP($A21,Centrum!$D$3:$M$130,10,0))&gt;3),"",VLOOKUP(VLOOKUP($A21,Centrum!$D$3:$M$130,10,0),Centrum!$A$3:$CB$130,J$132,0))</f>
        <v>-1</v>
      </c>
      <c r="L21" s="318">
        <f ca="1">IF(OR($A21="",TYPE(VLOOKUP($A21,Centrum!$D$3:$M$130,10,0))&gt;3),"",VLOOKUP(VLOOKUP($A21,Centrum!$D$3:$M$130,10,0),Centrum!$A$3:$CB$130,L$132,0))</f>
        <v>38</v>
      </c>
      <c r="M21" s="318">
        <f ca="1">IF(OR($A21="",TYPE(VLOOKUP($A21,Centrum!$D$3:$M$130,10,0))&gt;3),"",VLOOKUP(VLOOKUP($A21,Centrum!$D$3:$M$130,10,0),Centrum!$A$3:$CB$130,M$132,0))</f>
        <v>52</v>
      </c>
      <c r="N21" s="318">
        <f ca="1">IF(OR($A21="",TYPE(VLOOKUP($A21,Centrum!$D$3:$M$130,10,0))&gt;3),"",VLOOKUP(VLOOKUP($A21,Centrum!$D$3:$M$130,10,0),Centrum!$A$3:$CB$130,N$132,0))</f>
        <v>28</v>
      </c>
      <c r="O21" s="318">
        <f ca="1">IF(OR($A21="",TYPE(VLOOKUP($A21,Centrum!$D$3:$M$130,10,0))&gt;3),"",VLOOKUP(VLOOKUP($A21,Centrum!$D$3:$M$130,10,0),Centrum!$A$3:$CB$130,O$132,0))</f>
        <v>34</v>
      </c>
      <c r="P21" s="318">
        <f ca="1">IF(OR($A21="",TYPE(VLOOKUP($A21,Centrum!$D$3:$M$130,10,0))&gt;3),"",VLOOKUP(VLOOKUP($A21,Centrum!$D$3:$M$130,10,0),Centrum!$A$3:$CB$130,P$132,0))</f>
        <v>0</v>
      </c>
      <c r="Q21" s="318">
        <f ca="1">IF(OR($A21="",TYPE(VLOOKUP($A21,Centrum!$D$3:$M$130,10,0))&gt;3),"",VLOOKUP(VLOOKUP($A21,Centrum!$D$3:$M$130,10,0),Centrum!$A$3:$CB$130,Q$132,0))</f>
        <v>0</v>
      </c>
      <c r="S21" s="318">
        <f ca="1">IF(OR($A21="",TYPE(VLOOKUP($A21,Centrum!$D$3:$M$130,10,0))&gt;3),"",VLOOKUP(VLOOKUP($A21,Centrum!$D$3:$M$130,10,0),Centrum!$A$3:$CB$130,S$132,0))</f>
        <v>38</v>
      </c>
      <c r="T21" s="318">
        <f ca="1">IF(OR($A21="",TYPE(VLOOKUP($A21,Centrum!$D$3:$M$130,10,0))&gt;3),"",VLOOKUP(VLOOKUP($A21,Centrum!$D$3:$M$130,10,0),Centrum!$A$3:$CB$130,T$132,0))</f>
        <v>1</v>
      </c>
      <c r="U21" s="318">
        <f ca="1">IF(OR($A21="",TYPE(VLOOKUP($A21,Centrum!$D$3:$M$130,10,0))&gt;3),"",VLOOKUP(VLOOKUP($A21,Centrum!$D$3:$M$130,10,0),Centrum!$A$3:$CB$130,U$132,0))</f>
        <v>7</v>
      </c>
      <c r="AB21" s="318">
        <f ca="1">IF(OR($A21="",TYPE(VLOOKUP($A21,Centrum!$D$3:$M$130,10,0))&gt;3),"",VLOOKUP(VLOOKUP($A21,Centrum!$D$3:$M$130,10,0),Centrum!$A$3:$CB$130,AB$132,0))</f>
        <v>52</v>
      </c>
      <c r="AC21" s="318">
        <f ca="1">IF(OR($A21="",TYPE(VLOOKUP($A21,Centrum!$D$3:$M$130,10,0))&gt;3),"",VLOOKUP(VLOOKUP($A21,Centrum!$D$3:$M$130,10,0),Centrum!$A$3:$CB$130,AC$132,0))</f>
        <v>1</v>
      </c>
      <c r="AD21" s="318">
        <f ca="1">IF(OR($A21="",TYPE(VLOOKUP($A21,Centrum!$D$3:$M$130,10,0))&gt;3),"",VLOOKUP(VLOOKUP($A21,Centrum!$D$3:$M$130,10,0),Centrum!$A$3:$CB$130,AD$132,0))</f>
        <v>2</v>
      </c>
      <c r="AK21" s="318">
        <f ca="1">IF(OR($A21="",TYPE(VLOOKUP($A21,Centrum!$D$3:$M$130,10,0))&gt;3),"",VLOOKUP(VLOOKUP($A21,Centrum!$D$3:$M$130,10,0),Centrum!$A$3:$CB$130,AK$132,0))</f>
        <v>28</v>
      </c>
      <c r="AL21" s="318">
        <f ca="1">IF(OR($A21="",TYPE(VLOOKUP($A21,Centrum!$D$3:$M$130,10,0))&gt;3),"",VLOOKUP(VLOOKUP($A21,Centrum!$D$3:$M$130,10,0),Centrum!$A$3:$CB$130,AL$132,0))</f>
        <v>0</v>
      </c>
      <c r="AM21" s="318">
        <f ca="1">IF(OR($A21="",TYPE(VLOOKUP($A21,Centrum!$D$3:$M$130,10,0))&gt;3),"",VLOOKUP(VLOOKUP($A21,Centrum!$D$3:$M$130,10,0),Centrum!$A$3:$CB$130,AM$132,0))</f>
        <v>-3</v>
      </c>
      <c r="AT21" s="318">
        <f ca="1">IF(OR(OR($A21="",TYPE(VLOOKUP($A21,Centrum!$D$3:$M$130,10,0))&gt;3),$A$1&lt;4),"",VLOOKUP(VLOOKUP($A21,Centrum!$D$3:$M$130,10,0),Centrum!$A$3:$CB$130,AT$132,0))</f>
        <v>34</v>
      </c>
      <c r="AU21" s="318">
        <f ca="1">IF(OR(OR($A21="",TYPE(VLOOKUP($A21,Centrum!$D$3:$M$130,10,0))&gt;3),$A$1&lt;4),"",VLOOKUP(VLOOKUP($A21,Centrum!$D$3:$M$130,10,0),Centrum!$A$3:$CB$130,AU$132,0))</f>
        <v>0</v>
      </c>
      <c r="AV21" s="318">
        <f ca="1">IF(OR(OR($A21="",TYPE(VLOOKUP($A21,Centrum!$D$3:$M$130,10,0))&gt;3),$A$1&lt;4),"",VLOOKUP(VLOOKUP($A21,Centrum!$D$3:$M$130,10,0),Centrum!$A$3:$CB$130,AV$132,0))</f>
        <v>-7</v>
      </c>
      <c r="BC21" s="318" t="str">
        <f ca="1">IF(OR(OR($A21="",TYPE(VLOOKUP($A21,Centrum!$D$3:$M$130,10,0))&gt;3),$A$1&lt;5),"",VLOOKUP(VLOOKUP($A21,Centrum!$D$3:$M$130,10,0),Centrum!$A$3:$CB$130,BC$132,0))</f>
        <v/>
      </c>
      <c r="BD21" s="318" t="str">
        <f ca="1">IF(OR(OR($A21="",TYPE(VLOOKUP($A21,Centrum!$D$3:$M$130,10,0))&gt;3),$A$1&lt;5),"",VLOOKUP(VLOOKUP($A21,Centrum!$D$3:$M$130,10,0),Centrum!$A$3:$CB$130,BD$132,0))</f>
        <v/>
      </c>
      <c r="BE21" s="318" t="str">
        <f ca="1">IF(OR(OR($A21="",TYPE(VLOOKUP($A21,Centrum!$D$3:$M$130,10,0))&gt;3),$A$1&lt;5),"",VLOOKUP(VLOOKUP($A21,Centrum!$D$3:$M$130,10,0),Centrum!$A$3:$CB$130,BE$132,0))</f>
        <v/>
      </c>
      <c r="BL21" s="318" t="str">
        <f ca="1">IF(OR(OR($A21="",TYPE(VLOOKUP($A21,Centrum!$D$3:$M$130,10,0))&gt;3),$A$1&lt;6),"",VLOOKUP(VLOOKUP($A21,Centrum!$D$3:$M$130,10,0),Centrum!$A$3:$CB$130,BL$132,0))</f>
        <v/>
      </c>
      <c r="BM21" s="318" t="str">
        <f ca="1">IF(OR(OR($A21="",TYPE(VLOOKUP($A21,Centrum!$D$3:$M$130,10,0))&gt;3),$A$1&lt;6),"",VLOOKUP(VLOOKUP($A21,Centrum!$D$3:$M$130,10,0),Centrum!$A$3:$CB$130,BM$132,0))</f>
        <v/>
      </c>
      <c r="BN21" s="318" t="str">
        <f ca="1">IF(OR(OR($A21="",TYPE(VLOOKUP($A21,Centrum!$D$3:$M$130,10,0))&gt;3),$A$1&lt;6),"",VLOOKUP(VLOOKUP($A21,Centrum!$D$3:$M$130,10,0),Centrum!$A$3:$CB$130,BN$132,0))</f>
        <v/>
      </c>
    </row>
    <row r="22" spans="1:66" x14ac:dyDescent="0.4">
      <c r="A22" s="318">
        <f ca="1">Centrum!A22</f>
        <v>20</v>
      </c>
      <c r="B22" s="421" t="str">
        <f ca="1">IF(OR($A22="",TYPE(VLOOKUP($A22,Centrum!$D$3:$M$130,10,0))&gt;3),"",VLOOKUP(VLOOKUP(A22,Centrum!$D$3:$M$130,10,0),Centrum!$A$3:$CB$130,B$132,0))</f>
        <v xml:space="preserve">49   - František Kožený  </v>
      </c>
      <c r="C22" s="318">
        <f ca="1">IF(OR($A22="",TYPE(VLOOKUP($A22,Centrum!$D$3:$M$130,10,0))&gt;3),"",VLOOKUP($A22,Centrum!$D$3:$M$130,10,0))</f>
        <v>49</v>
      </c>
      <c r="E22" s="318">
        <f ca="1">IF(OR($A22="",TYPE(VLOOKUP($A22,Centrum!$D$3:$M$130,10,0))&gt;3),"",VLOOKUP(VLOOKUP($A22,Centrum!$D$3:$M$130,10,0),Centrum!$A$3:$CB$130,E$132,0))</f>
        <v>2</v>
      </c>
      <c r="F22" s="318">
        <f ca="1">IF(OR($A22="",TYPE(VLOOKUP($A22,Centrum!$D$3:$M$130,10,0))&gt;3),"",VLOOKUP(VLOOKUP($A22,Centrum!$D$3:$M$130,10,0),Centrum!$A$3:$CB$130,F$132,0))</f>
        <v>10</v>
      </c>
      <c r="G22" s="318">
        <f ca="1">IF(OR($A22="",TYPE(VLOOKUP($A22,Centrum!$D$3:$M$130,10,0))&gt;3),"",VLOOKUP(VLOOKUP($A22,Centrum!$D$3:$M$130,10,0),Centrum!$A$3:$CB$130,G$132,0))</f>
        <v>34</v>
      </c>
      <c r="H22" s="318">
        <f ca="1">IF($A22="","",VLOOKUP(VLOOKUP($A22,Centrum!$D$3:$M$130,10,0),Centrum!$A$3:$CB$130,H$132,0))</f>
        <v>3</v>
      </c>
      <c r="I22" s="318">
        <f ca="1">IF($A22="","",VLOOKUP(VLOOKUP($A22,Centrum!$D$3:$M$130,10,0),Centrum!$A$3:$CB$130,I$132,0))</f>
        <v>2</v>
      </c>
      <c r="J22" s="318">
        <f ca="1">IF(OR($A22="",TYPE(VLOOKUP($A22,Centrum!$D$3:$M$130,10,0))&gt;3),"",VLOOKUP(VLOOKUP($A22,Centrum!$D$3:$M$130,10,0),Centrum!$A$3:$CB$130,J$132,0))</f>
        <v>-5</v>
      </c>
      <c r="L22" s="318">
        <f ca="1">IF(OR($A22="",TYPE(VLOOKUP($A22,Centrum!$D$3:$M$130,10,0))&gt;3),"",VLOOKUP(VLOOKUP($A22,Centrum!$D$3:$M$130,10,0),Centrum!$A$3:$CB$130,L$132,0))</f>
        <v>21</v>
      </c>
      <c r="M22" s="318">
        <f ca="1">IF(OR($A22="",TYPE(VLOOKUP($A22,Centrum!$D$3:$M$130,10,0))&gt;3),"",VLOOKUP(VLOOKUP($A22,Centrum!$D$3:$M$130,10,0),Centrum!$A$3:$CB$130,M$132,0))</f>
        <v>50</v>
      </c>
      <c r="N22" s="318">
        <f ca="1">IF(OR($A22="",TYPE(VLOOKUP($A22,Centrum!$D$3:$M$130,10,0))&gt;3),"",VLOOKUP(VLOOKUP($A22,Centrum!$D$3:$M$130,10,0),Centrum!$A$3:$CB$130,N$132,0))</f>
        <v>1</v>
      </c>
      <c r="O22" s="318">
        <f ca="1">IF(OR($A22="",TYPE(VLOOKUP($A22,Centrum!$D$3:$M$130,10,0))&gt;3),"",VLOOKUP(VLOOKUP($A22,Centrum!$D$3:$M$130,10,0),Centrum!$A$3:$CB$130,O$132,0))</f>
        <v>8</v>
      </c>
      <c r="P22" s="318">
        <f ca="1">IF(OR($A22="",TYPE(VLOOKUP($A22,Centrum!$D$3:$M$130,10,0))&gt;3),"",VLOOKUP(VLOOKUP($A22,Centrum!$D$3:$M$130,10,0),Centrum!$A$3:$CB$130,P$132,0))</f>
        <v>0</v>
      </c>
      <c r="Q22" s="318">
        <f ca="1">IF(OR($A22="",TYPE(VLOOKUP($A22,Centrum!$D$3:$M$130,10,0))&gt;3),"",VLOOKUP(VLOOKUP($A22,Centrum!$D$3:$M$130,10,0),Centrum!$A$3:$CB$130,Q$132,0))</f>
        <v>0</v>
      </c>
      <c r="S22" s="318">
        <f ca="1">IF(OR($A22="",TYPE(VLOOKUP($A22,Centrum!$D$3:$M$130,10,0))&gt;3),"",VLOOKUP(VLOOKUP($A22,Centrum!$D$3:$M$130,10,0),Centrum!$A$3:$CB$130,S$132,0))</f>
        <v>21</v>
      </c>
      <c r="T22" s="318">
        <f ca="1">IF(OR($A22="",TYPE(VLOOKUP($A22,Centrum!$D$3:$M$130,10,0))&gt;3),"",VLOOKUP(VLOOKUP($A22,Centrum!$D$3:$M$130,10,0),Centrum!$A$3:$CB$130,T$132,0))</f>
        <v>0</v>
      </c>
      <c r="U22" s="318">
        <f ca="1">IF(OR($A22="",TYPE(VLOOKUP($A22,Centrum!$D$3:$M$130,10,0))&gt;3),"",VLOOKUP(VLOOKUP($A22,Centrum!$D$3:$M$130,10,0),Centrum!$A$3:$CB$130,U$132,0))</f>
        <v>-11</v>
      </c>
      <c r="AB22" s="318">
        <f ca="1">IF(OR($A22="",TYPE(VLOOKUP($A22,Centrum!$D$3:$M$130,10,0))&gt;3),"",VLOOKUP(VLOOKUP($A22,Centrum!$D$3:$M$130,10,0),Centrum!$A$3:$CB$130,AB$132,0))</f>
        <v>50</v>
      </c>
      <c r="AC22" s="318">
        <f ca="1">IF(OR($A22="",TYPE(VLOOKUP($A22,Centrum!$D$3:$M$130,10,0))&gt;3),"",VLOOKUP(VLOOKUP($A22,Centrum!$D$3:$M$130,10,0),Centrum!$A$3:$CB$130,AC$132,0))</f>
        <v>1</v>
      </c>
      <c r="AD22" s="318">
        <f ca="1">IF(OR($A22="",TYPE(VLOOKUP($A22,Centrum!$D$3:$M$130,10,0))&gt;3),"",VLOOKUP(VLOOKUP($A22,Centrum!$D$3:$M$130,10,0),Centrum!$A$3:$CB$130,AD$132,0))</f>
        <v>9</v>
      </c>
      <c r="AK22" s="318">
        <f ca="1">IF(OR($A22="",TYPE(VLOOKUP($A22,Centrum!$D$3:$M$130,10,0))&gt;3),"",VLOOKUP(VLOOKUP($A22,Centrum!$D$3:$M$130,10,0),Centrum!$A$3:$CB$130,AK$132,0))</f>
        <v>1</v>
      </c>
      <c r="AL22" s="318">
        <f ca="1">IF(OR($A22="",TYPE(VLOOKUP($A22,Centrum!$D$3:$M$130,10,0))&gt;3),"",VLOOKUP(VLOOKUP($A22,Centrum!$D$3:$M$130,10,0),Centrum!$A$3:$CB$130,AL$132,0))</f>
        <v>0</v>
      </c>
      <c r="AM22" s="318">
        <f ca="1">IF(OR($A22="",TYPE(VLOOKUP($A22,Centrum!$D$3:$M$130,10,0))&gt;3),"",VLOOKUP(VLOOKUP($A22,Centrum!$D$3:$M$130,10,0),Centrum!$A$3:$CB$130,AM$132,0))</f>
        <v>-7</v>
      </c>
      <c r="AT22" s="318">
        <f ca="1">IF(OR(OR($A22="",TYPE(VLOOKUP($A22,Centrum!$D$3:$M$130,10,0))&gt;3),$A$1&lt;4),"",VLOOKUP(VLOOKUP($A22,Centrum!$D$3:$M$130,10,0),Centrum!$A$3:$CB$130,AT$132,0))</f>
        <v>8</v>
      </c>
      <c r="AU22" s="318">
        <f ca="1">IF(OR(OR($A22="",TYPE(VLOOKUP($A22,Centrum!$D$3:$M$130,10,0))&gt;3),$A$1&lt;4),"",VLOOKUP(VLOOKUP($A22,Centrum!$D$3:$M$130,10,0),Centrum!$A$3:$CB$130,AU$132,0))</f>
        <v>1</v>
      </c>
      <c r="AV22" s="318">
        <f ca="1">IF(OR(OR($A22="",TYPE(VLOOKUP($A22,Centrum!$D$3:$M$130,10,0))&gt;3),$A$1&lt;4),"",VLOOKUP(VLOOKUP($A22,Centrum!$D$3:$M$130,10,0),Centrum!$A$3:$CB$130,AV$132,0))</f>
        <v>4</v>
      </c>
      <c r="BC22" s="318" t="str">
        <f ca="1">IF(OR(OR($A22="",TYPE(VLOOKUP($A22,Centrum!$D$3:$M$130,10,0))&gt;3),$A$1&lt;5),"",VLOOKUP(VLOOKUP($A22,Centrum!$D$3:$M$130,10,0),Centrum!$A$3:$CB$130,BC$132,0))</f>
        <v/>
      </c>
      <c r="BD22" s="318" t="str">
        <f ca="1">IF(OR(OR($A22="",TYPE(VLOOKUP($A22,Centrum!$D$3:$M$130,10,0))&gt;3),$A$1&lt;5),"",VLOOKUP(VLOOKUP($A22,Centrum!$D$3:$M$130,10,0),Centrum!$A$3:$CB$130,BD$132,0))</f>
        <v/>
      </c>
      <c r="BE22" s="318" t="str">
        <f ca="1">IF(OR(OR($A22="",TYPE(VLOOKUP($A22,Centrum!$D$3:$M$130,10,0))&gt;3),$A$1&lt;5),"",VLOOKUP(VLOOKUP($A22,Centrum!$D$3:$M$130,10,0),Centrum!$A$3:$CB$130,BE$132,0))</f>
        <v/>
      </c>
      <c r="BL22" s="318" t="str">
        <f ca="1">IF(OR(OR($A22="",TYPE(VLOOKUP($A22,Centrum!$D$3:$M$130,10,0))&gt;3),$A$1&lt;6),"",VLOOKUP(VLOOKUP($A22,Centrum!$D$3:$M$130,10,0),Centrum!$A$3:$CB$130,BL$132,0))</f>
        <v/>
      </c>
      <c r="BM22" s="318" t="str">
        <f ca="1">IF(OR(OR($A22="",TYPE(VLOOKUP($A22,Centrum!$D$3:$M$130,10,0))&gt;3),$A$1&lt;6),"",VLOOKUP(VLOOKUP($A22,Centrum!$D$3:$M$130,10,0),Centrum!$A$3:$CB$130,BM$132,0))</f>
        <v/>
      </c>
      <c r="BN22" s="318" t="str">
        <f ca="1">IF(OR(OR($A22="",TYPE(VLOOKUP($A22,Centrum!$D$3:$M$130,10,0))&gt;3),$A$1&lt;6),"",VLOOKUP(VLOOKUP($A22,Centrum!$D$3:$M$130,10,0),Centrum!$A$3:$CB$130,BN$132,0))</f>
        <v/>
      </c>
    </row>
    <row r="23" spans="1:66" x14ac:dyDescent="0.4">
      <c r="A23" s="318">
        <f ca="1">Centrum!A23</f>
        <v>21</v>
      </c>
      <c r="B23" s="421" t="str">
        <f ca="1">IF(OR($A23="",TYPE(VLOOKUP($A23,Centrum!$D$3:$M$130,10,0))&gt;3),"",VLOOKUP(VLOOKUP(A23,Centrum!$D$3:$M$130,10,0),Centrum!$A$3:$CB$130,B$132,0))</f>
        <v>27 SK Pétanque Řepy - Hladík Jaroslav</v>
      </c>
      <c r="C23" s="318">
        <f ca="1">IF(OR($A23="",TYPE(VLOOKUP($A23,Centrum!$D$3:$M$130,10,0))&gt;3),"",VLOOKUP($A23,Centrum!$D$3:$M$130,10,0))</f>
        <v>27</v>
      </c>
      <c r="E23" s="318">
        <f ca="1">IF(OR($A23="",TYPE(VLOOKUP($A23,Centrum!$D$3:$M$130,10,0))&gt;3),"",VLOOKUP(VLOOKUP($A23,Centrum!$D$3:$M$130,10,0),Centrum!$A$3:$CB$130,E$132,0))</f>
        <v>2</v>
      </c>
      <c r="F23" s="318">
        <f ca="1">IF(OR($A23="",TYPE(VLOOKUP($A23,Centrum!$D$3:$M$130,10,0))&gt;3),"",VLOOKUP(VLOOKUP($A23,Centrum!$D$3:$M$130,10,0),Centrum!$A$3:$CB$130,F$132,0))</f>
        <v>10</v>
      </c>
      <c r="G23" s="318">
        <f ca="1">IF(OR($A23="",TYPE(VLOOKUP($A23,Centrum!$D$3:$M$130,10,0))&gt;3),"",VLOOKUP(VLOOKUP($A23,Centrum!$D$3:$M$130,10,0),Centrum!$A$3:$CB$130,G$132,0))</f>
        <v>31</v>
      </c>
      <c r="H23" s="318">
        <f ca="1">IF($A23="","",VLOOKUP(VLOOKUP($A23,Centrum!$D$3:$M$130,10,0),Centrum!$A$3:$CB$130,H$132,0))</f>
        <v>3</v>
      </c>
      <c r="I23" s="318">
        <f ca="1">IF($A23="","",VLOOKUP(VLOOKUP($A23,Centrum!$D$3:$M$130,10,0),Centrum!$A$3:$CB$130,I$132,0))</f>
        <v>0</v>
      </c>
      <c r="J23" s="318">
        <f ca="1">IF(OR($A23="",TYPE(VLOOKUP($A23,Centrum!$D$3:$M$130,10,0))&gt;3),"",VLOOKUP(VLOOKUP($A23,Centrum!$D$3:$M$130,10,0),Centrum!$A$3:$CB$130,J$132,0))</f>
        <v>-7</v>
      </c>
      <c r="L23" s="318">
        <f ca="1">IF(OR($A23="",TYPE(VLOOKUP($A23,Centrum!$D$3:$M$130,10,0))&gt;3),"",VLOOKUP(VLOOKUP($A23,Centrum!$D$3:$M$130,10,0),Centrum!$A$3:$CB$130,L$132,0))</f>
        <v>55</v>
      </c>
      <c r="M23" s="318">
        <f ca="1">IF(OR($A23="",TYPE(VLOOKUP($A23,Centrum!$D$3:$M$130,10,0))&gt;3),"",VLOOKUP(VLOOKUP($A23,Centrum!$D$3:$M$130,10,0),Centrum!$A$3:$CB$130,M$132,0))</f>
        <v>1</v>
      </c>
      <c r="N23" s="318">
        <f ca="1">IF(OR($A23="",TYPE(VLOOKUP($A23,Centrum!$D$3:$M$130,10,0))&gt;3),"",VLOOKUP(VLOOKUP($A23,Centrum!$D$3:$M$130,10,0),Centrum!$A$3:$CB$130,N$132,0))</f>
        <v>37</v>
      </c>
      <c r="O23" s="318">
        <f ca="1">IF(OR($A23="",TYPE(VLOOKUP($A23,Centrum!$D$3:$M$130,10,0))&gt;3),"",VLOOKUP(VLOOKUP($A23,Centrum!$D$3:$M$130,10,0),Centrum!$A$3:$CB$130,O$132,0))</f>
        <v>12</v>
      </c>
      <c r="P23" s="318">
        <f ca="1">IF(OR($A23="",TYPE(VLOOKUP($A23,Centrum!$D$3:$M$130,10,0))&gt;3),"",VLOOKUP(VLOOKUP($A23,Centrum!$D$3:$M$130,10,0),Centrum!$A$3:$CB$130,P$132,0))</f>
        <v>0</v>
      </c>
      <c r="Q23" s="318">
        <f ca="1">IF(OR($A23="",TYPE(VLOOKUP($A23,Centrum!$D$3:$M$130,10,0))&gt;3),"",VLOOKUP(VLOOKUP($A23,Centrum!$D$3:$M$130,10,0),Centrum!$A$3:$CB$130,Q$132,0))</f>
        <v>0</v>
      </c>
      <c r="S23" s="318">
        <f ca="1">IF(OR($A23="",TYPE(VLOOKUP($A23,Centrum!$D$3:$M$130,10,0))&gt;3),"",VLOOKUP(VLOOKUP($A23,Centrum!$D$3:$M$130,10,0),Centrum!$A$3:$CB$130,S$132,0))</f>
        <v>55</v>
      </c>
      <c r="T23" s="318">
        <f ca="1">IF(OR($A23="",TYPE(VLOOKUP($A23,Centrum!$D$3:$M$130,10,0))&gt;3),"",VLOOKUP(VLOOKUP($A23,Centrum!$D$3:$M$130,10,0),Centrum!$A$3:$CB$130,T$132,0))</f>
        <v>1</v>
      </c>
      <c r="U23" s="318">
        <f ca="1">IF(OR($A23="",TYPE(VLOOKUP($A23,Centrum!$D$3:$M$130,10,0))&gt;3),"",VLOOKUP(VLOOKUP($A23,Centrum!$D$3:$M$130,10,0),Centrum!$A$3:$CB$130,U$132,0))</f>
        <v>3</v>
      </c>
      <c r="AB23" s="318">
        <f ca="1">IF(OR($A23="",TYPE(VLOOKUP($A23,Centrum!$D$3:$M$130,10,0))&gt;3),"",VLOOKUP(VLOOKUP($A23,Centrum!$D$3:$M$130,10,0),Centrum!$A$3:$CB$130,AB$132,0))</f>
        <v>1</v>
      </c>
      <c r="AC23" s="318">
        <f ca="1">IF(OR($A23="",TYPE(VLOOKUP($A23,Centrum!$D$3:$M$130,10,0))&gt;3),"",VLOOKUP(VLOOKUP($A23,Centrum!$D$3:$M$130,10,0),Centrum!$A$3:$CB$130,AC$132,0))</f>
        <v>0</v>
      </c>
      <c r="AD23" s="318">
        <f ca="1">IF(OR($A23="",TYPE(VLOOKUP($A23,Centrum!$D$3:$M$130,10,0))&gt;3),"",VLOOKUP(VLOOKUP($A23,Centrum!$D$3:$M$130,10,0),Centrum!$A$3:$CB$130,AD$132,0))</f>
        <v>-12</v>
      </c>
      <c r="AK23" s="318">
        <f ca="1">IF(OR($A23="",TYPE(VLOOKUP($A23,Centrum!$D$3:$M$130,10,0))&gt;3),"",VLOOKUP(VLOOKUP($A23,Centrum!$D$3:$M$130,10,0),Centrum!$A$3:$CB$130,AK$132,0))</f>
        <v>37</v>
      </c>
      <c r="AL23" s="318">
        <f ca="1">IF(OR($A23="",TYPE(VLOOKUP($A23,Centrum!$D$3:$M$130,10,0))&gt;3),"",VLOOKUP(VLOOKUP($A23,Centrum!$D$3:$M$130,10,0),Centrum!$A$3:$CB$130,AL$132,0))</f>
        <v>1</v>
      </c>
      <c r="AM23" s="318">
        <f ca="1">IF(OR($A23="",TYPE(VLOOKUP($A23,Centrum!$D$3:$M$130,10,0))&gt;3),"",VLOOKUP(VLOOKUP($A23,Centrum!$D$3:$M$130,10,0),Centrum!$A$3:$CB$130,AM$132,0))</f>
        <v>6</v>
      </c>
      <c r="AT23" s="318">
        <f ca="1">IF(OR(OR($A23="",TYPE(VLOOKUP($A23,Centrum!$D$3:$M$130,10,0))&gt;3),$A$1&lt;4),"",VLOOKUP(VLOOKUP($A23,Centrum!$D$3:$M$130,10,0),Centrum!$A$3:$CB$130,AT$132,0))</f>
        <v>12</v>
      </c>
      <c r="AU23" s="318">
        <f ca="1">IF(OR(OR($A23="",TYPE(VLOOKUP($A23,Centrum!$D$3:$M$130,10,0))&gt;3),$A$1&lt;4),"",VLOOKUP(VLOOKUP($A23,Centrum!$D$3:$M$130,10,0),Centrum!$A$3:$CB$130,AU$132,0))</f>
        <v>0</v>
      </c>
      <c r="AV23" s="318">
        <f ca="1">IF(OR(OR($A23="",TYPE(VLOOKUP($A23,Centrum!$D$3:$M$130,10,0))&gt;3),$A$1&lt;4),"",VLOOKUP(VLOOKUP($A23,Centrum!$D$3:$M$130,10,0),Centrum!$A$3:$CB$130,AV$132,0))</f>
        <v>-4</v>
      </c>
      <c r="BC23" s="318" t="str">
        <f ca="1">IF(OR(OR($A23="",TYPE(VLOOKUP($A23,Centrum!$D$3:$M$130,10,0))&gt;3),$A$1&lt;5),"",VLOOKUP(VLOOKUP($A23,Centrum!$D$3:$M$130,10,0),Centrum!$A$3:$CB$130,BC$132,0))</f>
        <v/>
      </c>
      <c r="BD23" s="318" t="str">
        <f ca="1">IF(OR(OR($A23="",TYPE(VLOOKUP($A23,Centrum!$D$3:$M$130,10,0))&gt;3),$A$1&lt;5),"",VLOOKUP(VLOOKUP($A23,Centrum!$D$3:$M$130,10,0),Centrum!$A$3:$CB$130,BD$132,0))</f>
        <v/>
      </c>
      <c r="BE23" s="318" t="str">
        <f ca="1">IF(OR(OR($A23="",TYPE(VLOOKUP($A23,Centrum!$D$3:$M$130,10,0))&gt;3),$A$1&lt;5),"",VLOOKUP(VLOOKUP($A23,Centrum!$D$3:$M$130,10,0),Centrum!$A$3:$CB$130,BE$132,0))</f>
        <v/>
      </c>
      <c r="BL23" s="318" t="str">
        <f ca="1">IF(OR(OR($A23="",TYPE(VLOOKUP($A23,Centrum!$D$3:$M$130,10,0))&gt;3),$A$1&lt;6),"",VLOOKUP(VLOOKUP($A23,Centrum!$D$3:$M$130,10,0),Centrum!$A$3:$CB$130,BL$132,0))</f>
        <v/>
      </c>
      <c r="BM23" s="318" t="str">
        <f ca="1">IF(OR(OR($A23="",TYPE(VLOOKUP($A23,Centrum!$D$3:$M$130,10,0))&gt;3),$A$1&lt;6),"",VLOOKUP(VLOOKUP($A23,Centrum!$D$3:$M$130,10,0),Centrum!$A$3:$CB$130,BM$132,0))</f>
        <v/>
      </c>
      <c r="BN23" s="318" t="str">
        <f ca="1">IF(OR(OR($A23="",TYPE(VLOOKUP($A23,Centrum!$D$3:$M$130,10,0))&gt;3),$A$1&lt;6),"",VLOOKUP(VLOOKUP($A23,Centrum!$D$3:$M$130,10,0),Centrum!$A$3:$CB$130,BN$132,0))</f>
        <v/>
      </c>
    </row>
    <row r="24" spans="1:66" x14ac:dyDescent="0.4">
      <c r="A24" s="318">
        <f ca="1">Centrum!A24</f>
        <v>22</v>
      </c>
      <c r="B24" s="421" t="str">
        <f ca="1">IF(OR($A24="",TYPE(VLOOKUP($A24,Centrum!$D$3:$M$130,10,0))&gt;3),"",VLOOKUP(VLOOKUP(A24,Centrum!$D$3:$M$130,10,0),Centrum!$A$3:$CB$130,B$132,0))</f>
        <v>39 PC Přítkov - Šnejdr Josef</v>
      </c>
      <c r="C24" s="318">
        <f ca="1">IF(OR($A24="",TYPE(VLOOKUP($A24,Centrum!$D$3:$M$130,10,0))&gt;3),"",VLOOKUP($A24,Centrum!$D$3:$M$130,10,0))</f>
        <v>39</v>
      </c>
      <c r="E24" s="318">
        <f ca="1">IF(OR($A24="",TYPE(VLOOKUP($A24,Centrum!$D$3:$M$130,10,0))&gt;3),"",VLOOKUP(VLOOKUP($A24,Centrum!$D$3:$M$130,10,0),Centrum!$A$3:$CB$130,E$132,0))</f>
        <v>2</v>
      </c>
      <c r="F24" s="318">
        <f ca="1">IF(OR($A24="",TYPE(VLOOKUP($A24,Centrum!$D$3:$M$130,10,0))&gt;3),"",VLOOKUP(VLOOKUP($A24,Centrum!$D$3:$M$130,10,0),Centrum!$A$3:$CB$130,F$132,0))</f>
        <v>10</v>
      </c>
      <c r="G24" s="318">
        <f ca="1">IF(OR($A24="",TYPE(VLOOKUP($A24,Centrum!$D$3:$M$130,10,0))&gt;3),"",VLOOKUP(VLOOKUP($A24,Centrum!$D$3:$M$130,10,0),Centrum!$A$3:$CB$130,G$132,0))</f>
        <v>29</v>
      </c>
      <c r="H24" s="318">
        <f ca="1">IF($A24="","",VLOOKUP(VLOOKUP($A24,Centrum!$D$3:$M$130,10,0),Centrum!$A$3:$CB$130,H$132,0))</f>
        <v>4</v>
      </c>
      <c r="I24" s="318">
        <f ca="1">IF($A24="","",VLOOKUP(VLOOKUP($A24,Centrum!$D$3:$M$130,10,0),Centrum!$A$3:$CB$130,I$132,0))</f>
        <v>2</v>
      </c>
      <c r="J24" s="318">
        <f ca="1">IF(OR($A24="",TYPE(VLOOKUP($A24,Centrum!$D$3:$M$130,10,0))&gt;3),"",VLOOKUP(VLOOKUP($A24,Centrum!$D$3:$M$130,10,0),Centrum!$A$3:$CB$130,J$132,0))</f>
        <v>-5</v>
      </c>
      <c r="L24" s="318">
        <f ca="1">IF(OR($A24="",TYPE(VLOOKUP($A24,Centrum!$D$3:$M$130,10,0))&gt;3),"",VLOOKUP(VLOOKUP($A24,Centrum!$D$3:$M$130,10,0),Centrum!$A$3:$CB$130,L$132,0))</f>
        <v>11</v>
      </c>
      <c r="M24" s="318">
        <f ca="1">IF(OR($A24="",TYPE(VLOOKUP($A24,Centrum!$D$3:$M$130,10,0))&gt;3),"",VLOOKUP(VLOOKUP($A24,Centrum!$D$3:$M$130,10,0),Centrum!$A$3:$CB$130,M$132,0))</f>
        <v>5</v>
      </c>
      <c r="N24" s="318">
        <f ca="1">IF(OR($A24="",TYPE(VLOOKUP($A24,Centrum!$D$3:$M$130,10,0))&gt;3),"",VLOOKUP(VLOOKUP($A24,Centrum!$D$3:$M$130,10,0),Centrum!$A$3:$CB$130,N$132,0))</f>
        <v>18</v>
      </c>
      <c r="O24" s="318">
        <f ca="1">IF(OR($A24="",TYPE(VLOOKUP($A24,Centrum!$D$3:$M$130,10,0))&gt;3),"",VLOOKUP(VLOOKUP($A24,Centrum!$D$3:$M$130,10,0),Centrum!$A$3:$CB$130,O$132,0))</f>
        <v>56</v>
      </c>
      <c r="P24" s="318">
        <f ca="1">IF(OR($A24="",TYPE(VLOOKUP($A24,Centrum!$D$3:$M$130,10,0))&gt;3),"",VLOOKUP(VLOOKUP($A24,Centrum!$D$3:$M$130,10,0),Centrum!$A$3:$CB$130,P$132,0))</f>
        <v>0</v>
      </c>
      <c r="Q24" s="318">
        <f ca="1">IF(OR($A24="",TYPE(VLOOKUP($A24,Centrum!$D$3:$M$130,10,0))&gt;3),"",VLOOKUP(VLOOKUP($A24,Centrum!$D$3:$M$130,10,0),Centrum!$A$3:$CB$130,Q$132,0))</f>
        <v>0</v>
      </c>
      <c r="S24" s="318">
        <f ca="1">IF(OR($A24="",TYPE(VLOOKUP($A24,Centrum!$D$3:$M$130,10,0))&gt;3),"",VLOOKUP(VLOOKUP($A24,Centrum!$D$3:$M$130,10,0),Centrum!$A$3:$CB$130,S$132,0))</f>
        <v>11</v>
      </c>
      <c r="T24" s="318">
        <f ca="1">IF(OR($A24="",TYPE(VLOOKUP($A24,Centrum!$D$3:$M$130,10,0))&gt;3),"",VLOOKUP(VLOOKUP($A24,Centrum!$D$3:$M$130,10,0),Centrum!$A$3:$CB$130,T$132,0))</f>
        <v>1</v>
      </c>
      <c r="U24" s="318">
        <f ca="1">IF(OR($A24="",TYPE(VLOOKUP($A24,Centrum!$D$3:$M$130,10,0))&gt;3),"",VLOOKUP(VLOOKUP($A24,Centrum!$D$3:$M$130,10,0),Centrum!$A$3:$CB$130,U$132,0))</f>
        <v>1</v>
      </c>
      <c r="AB24" s="318">
        <f ca="1">IF(OR($A24="",TYPE(VLOOKUP($A24,Centrum!$D$3:$M$130,10,0))&gt;3),"",VLOOKUP(VLOOKUP($A24,Centrum!$D$3:$M$130,10,0),Centrum!$A$3:$CB$130,AB$132,0))</f>
        <v>5</v>
      </c>
      <c r="AC24" s="318">
        <f ca="1">IF(OR($A24="",TYPE(VLOOKUP($A24,Centrum!$D$3:$M$130,10,0))&gt;3),"",VLOOKUP(VLOOKUP($A24,Centrum!$D$3:$M$130,10,0),Centrum!$A$3:$CB$130,AC$132,0))</f>
        <v>0</v>
      </c>
      <c r="AD24" s="318">
        <f ca="1">IF(OR($A24="",TYPE(VLOOKUP($A24,Centrum!$D$3:$M$130,10,0))&gt;3),"",VLOOKUP(VLOOKUP($A24,Centrum!$D$3:$M$130,10,0),Centrum!$A$3:$CB$130,AD$132,0))</f>
        <v>-5</v>
      </c>
      <c r="AK24" s="318">
        <f ca="1">IF(OR($A24="",TYPE(VLOOKUP($A24,Centrum!$D$3:$M$130,10,0))&gt;3),"",VLOOKUP(VLOOKUP($A24,Centrum!$D$3:$M$130,10,0),Centrum!$A$3:$CB$130,AK$132,0))</f>
        <v>18</v>
      </c>
      <c r="AL24" s="318">
        <f ca="1">IF(OR($A24="",TYPE(VLOOKUP($A24,Centrum!$D$3:$M$130,10,0))&gt;3),"",VLOOKUP(VLOOKUP($A24,Centrum!$D$3:$M$130,10,0),Centrum!$A$3:$CB$130,AL$132,0))</f>
        <v>1</v>
      </c>
      <c r="AM24" s="318">
        <f ca="1">IF(OR($A24="",TYPE(VLOOKUP($A24,Centrum!$D$3:$M$130,10,0))&gt;3),"",VLOOKUP(VLOOKUP($A24,Centrum!$D$3:$M$130,10,0),Centrum!$A$3:$CB$130,AM$132,0))</f>
        <v>4</v>
      </c>
      <c r="AT24" s="318">
        <f ca="1">IF(OR(OR($A24="",TYPE(VLOOKUP($A24,Centrum!$D$3:$M$130,10,0))&gt;3),$A$1&lt;4),"",VLOOKUP(VLOOKUP($A24,Centrum!$D$3:$M$130,10,0),Centrum!$A$3:$CB$130,AT$132,0))</f>
        <v>56</v>
      </c>
      <c r="AU24" s="318">
        <f ca="1">IF(OR(OR($A24="",TYPE(VLOOKUP($A24,Centrum!$D$3:$M$130,10,0))&gt;3),$A$1&lt;4),"",VLOOKUP(VLOOKUP($A24,Centrum!$D$3:$M$130,10,0),Centrum!$A$3:$CB$130,AU$132,0))</f>
        <v>0</v>
      </c>
      <c r="AV24" s="318">
        <f ca="1">IF(OR(OR($A24="",TYPE(VLOOKUP($A24,Centrum!$D$3:$M$130,10,0))&gt;3),$A$1&lt;4),"",VLOOKUP(VLOOKUP($A24,Centrum!$D$3:$M$130,10,0),Centrum!$A$3:$CB$130,AV$132,0))</f>
        <v>-5</v>
      </c>
      <c r="BC24" s="318" t="str">
        <f ca="1">IF(OR(OR($A24="",TYPE(VLOOKUP($A24,Centrum!$D$3:$M$130,10,0))&gt;3),$A$1&lt;5),"",VLOOKUP(VLOOKUP($A24,Centrum!$D$3:$M$130,10,0),Centrum!$A$3:$CB$130,BC$132,0))</f>
        <v/>
      </c>
      <c r="BD24" s="318" t="str">
        <f ca="1">IF(OR(OR($A24="",TYPE(VLOOKUP($A24,Centrum!$D$3:$M$130,10,0))&gt;3),$A$1&lt;5),"",VLOOKUP(VLOOKUP($A24,Centrum!$D$3:$M$130,10,0),Centrum!$A$3:$CB$130,BD$132,0))</f>
        <v/>
      </c>
      <c r="BE24" s="318" t="str">
        <f ca="1">IF(OR(OR($A24="",TYPE(VLOOKUP($A24,Centrum!$D$3:$M$130,10,0))&gt;3),$A$1&lt;5),"",VLOOKUP(VLOOKUP($A24,Centrum!$D$3:$M$130,10,0),Centrum!$A$3:$CB$130,BE$132,0))</f>
        <v/>
      </c>
      <c r="BL24" s="318" t="str">
        <f ca="1">IF(OR(OR($A24="",TYPE(VLOOKUP($A24,Centrum!$D$3:$M$130,10,0))&gt;3),$A$1&lt;6),"",VLOOKUP(VLOOKUP($A24,Centrum!$D$3:$M$130,10,0),Centrum!$A$3:$CB$130,BL$132,0))</f>
        <v/>
      </c>
      <c r="BM24" s="318" t="str">
        <f ca="1">IF(OR(OR($A24="",TYPE(VLOOKUP($A24,Centrum!$D$3:$M$130,10,0))&gt;3),$A$1&lt;6),"",VLOOKUP(VLOOKUP($A24,Centrum!$D$3:$M$130,10,0),Centrum!$A$3:$CB$130,BM$132,0))</f>
        <v/>
      </c>
      <c r="BN24" s="318" t="str">
        <f ca="1">IF(OR(OR($A24="",TYPE(VLOOKUP($A24,Centrum!$D$3:$M$130,10,0))&gt;3),$A$1&lt;6),"",VLOOKUP(VLOOKUP($A24,Centrum!$D$3:$M$130,10,0),Centrum!$A$3:$CB$130,BN$132,0))</f>
        <v/>
      </c>
    </row>
    <row r="25" spans="1:66" x14ac:dyDescent="0.4">
      <c r="A25" s="318">
        <f ca="1">Centrum!A25</f>
        <v>23</v>
      </c>
      <c r="B25" s="421" t="str">
        <f ca="1">IF(OR($A25="",TYPE(VLOOKUP($A25,Centrum!$D$3:$M$130,10,0))&gt;3),"",VLOOKUP(VLOOKUP(A25,Centrum!$D$3:$M$130,10,0),Centrum!$A$3:$CB$130,B$132,0))</f>
        <v>22 SKP Kulová osma - Pilát Petr</v>
      </c>
      <c r="C25" s="318">
        <f ca="1">IF(OR($A25="",TYPE(VLOOKUP($A25,Centrum!$D$3:$M$130,10,0))&gt;3),"",VLOOKUP($A25,Centrum!$D$3:$M$130,10,0))</f>
        <v>22</v>
      </c>
      <c r="E25" s="318">
        <f ca="1">IF(OR($A25="",TYPE(VLOOKUP($A25,Centrum!$D$3:$M$130,10,0))&gt;3),"",VLOOKUP(VLOOKUP($A25,Centrum!$D$3:$M$130,10,0),Centrum!$A$3:$CB$130,E$132,0))</f>
        <v>2</v>
      </c>
      <c r="F25" s="318">
        <f ca="1">IF(OR($A25="",TYPE(VLOOKUP($A25,Centrum!$D$3:$M$130,10,0))&gt;3),"",VLOOKUP(VLOOKUP($A25,Centrum!$D$3:$M$130,10,0),Centrum!$A$3:$CB$130,F$132,0))</f>
        <v>9</v>
      </c>
      <c r="G25" s="318">
        <f ca="1">IF(OR($A25="",TYPE(VLOOKUP($A25,Centrum!$D$3:$M$130,10,0))&gt;3),"",VLOOKUP(VLOOKUP($A25,Centrum!$D$3:$M$130,10,0),Centrum!$A$3:$CB$130,G$132,0))</f>
        <v>33</v>
      </c>
      <c r="H25" s="318">
        <f ca="1">IF($A25="","",VLOOKUP(VLOOKUP($A25,Centrum!$D$3:$M$130,10,0),Centrum!$A$3:$CB$130,H$132,0))</f>
        <v>3</v>
      </c>
      <c r="I25" s="318">
        <f ca="1">IF($A25="","",VLOOKUP(VLOOKUP($A25,Centrum!$D$3:$M$130,10,0),Centrum!$A$3:$CB$130,I$132,0))</f>
        <v>0</v>
      </c>
      <c r="J25" s="318">
        <f ca="1">IF(OR($A25="",TYPE(VLOOKUP($A25,Centrum!$D$3:$M$130,10,0))&gt;3),"",VLOOKUP(VLOOKUP($A25,Centrum!$D$3:$M$130,10,0),Centrum!$A$3:$CB$130,J$132,0))</f>
        <v>8</v>
      </c>
      <c r="L25" s="318">
        <f ca="1">IF(OR($A25="",TYPE(VLOOKUP($A25,Centrum!$D$3:$M$130,10,0))&gt;3),"",VLOOKUP(VLOOKUP($A25,Centrum!$D$3:$M$130,10,0),Centrum!$A$3:$CB$130,L$132,0))</f>
        <v>50</v>
      </c>
      <c r="M25" s="318">
        <f ca="1">IF(OR($A25="",TYPE(VLOOKUP($A25,Centrum!$D$3:$M$130,10,0))&gt;3),"",VLOOKUP(VLOOKUP($A25,Centrum!$D$3:$M$130,10,0),Centrum!$A$3:$CB$130,M$132,0))</f>
        <v>28</v>
      </c>
      <c r="N25" s="318">
        <f ca="1">IF(OR($A25="",TYPE(VLOOKUP($A25,Centrum!$D$3:$M$130,10,0))&gt;3),"",VLOOKUP(VLOOKUP($A25,Centrum!$D$3:$M$130,10,0),Centrum!$A$3:$CB$130,N$132,0))</f>
        <v>15</v>
      </c>
      <c r="O25" s="318">
        <f ca="1">IF(OR($A25="",TYPE(VLOOKUP($A25,Centrum!$D$3:$M$130,10,0))&gt;3),"",VLOOKUP(VLOOKUP($A25,Centrum!$D$3:$M$130,10,0),Centrum!$A$3:$CB$130,O$132,0))</f>
        <v>13</v>
      </c>
      <c r="P25" s="318">
        <f ca="1">IF(OR($A25="",TYPE(VLOOKUP($A25,Centrum!$D$3:$M$130,10,0))&gt;3),"",VLOOKUP(VLOOKUP($A25,Centrum!$D$3:$M$130,10,0),Centrum!$A$3:$CB$130,P$132,0))</f>
        <v>0</v>
      </c>
      <c r="Q25" s="318">
        <f ca="1">IF(OR($A25="",TYPE(VLOOKUP($A25,Centrum!$D$3:$M$130,10,0))&gt;3),"",VLOOKUP(VLOOKUP($A25,Centrum!$D$3:$M$130,10,0),Centrum!$A$3:$CB$130,Q$132,0))</f>
        <v>0</v>
      </c>
      <c r="S25" s="318">
        <f ca="1">IF(OR($A25="",TYPE(VLOOKUP($A25,Centrum!$D$3:$M$130,10,0))&gt;3),"",VLOOKUP(VLOOKUP($A25,Centrum!$D$3:$M$130,10,0),Centrum!$A$3:$CB$130,S$132,0))</f>
        <v>50</v>
      </c>
      <c r="T25" s="318">
        <f ca="1">IF(OR($A25="",TYPE(VLOOKUP($A25,Centrum!$D$3:$M$130,10,0))&gt;3),"",VLOOKUP(VLOOKUP($A25,Centrum!$D$3:$M$130,10,0),Centrum!$A$3:$CB$130,T$132,0))</f>
        <v>1</v>
      </c>
      <c r="U25" s="318">
        <f ca="1">IF(OR($A25="",TYPE(VLOOKUP($A25,Centrum!$D$3:$M$130,10,0))&gt;3),"",VLOOKUP(VLOOKUP($A25,Centrum!$D$3:$M$130,10,0),Centrum!$A$3:$CB$130,U$132,0))</f>
        <v>12</v>
      </c>
      <c r="AB25" s="318">
        <f ca="1">IF(OR($A25="",TYPE(VLOOKUP($A25,Centrum!$D$3:$M$130,10,0))&gt;3),"",VLOOKUP(VLOOKUP($A25,Centrum!$D$3:$M$130,10,0),Centrum!$A$3:$CB$130,AB$132,0))</f>
        <v>28</v>
      </c>
      <c r="AC25" s="318">
        <f ca="1">IF(OR($A25="",TYPE(VLOOKUP($A25,Centrum!$D$3:$M$130,10,0))&gt;3),"",VLOOKUP(VLOOKUP($A25,Centrum!$D$3:$M$130,10,0),Centrum!$A$3:$CB$130,AC$132,0))</f>
        <v>0</v>
      </c>
      <c r="AD25" s="318">
        <f ca="1">IF(OR($A25="",TYPE(VLOOKUP($A25,Centrum!$D$3:$M$130,10,0))&gt;3),"",VLOOKUP(VLOOKUP($A25,Centrum!$D$3:$M$130,10,0),Centrum!$A$3:$CB$130,AD$132,0))</f>
        <v>-1</v>
      </c>
      <c r="AK25" s="318">
        <f ca="1">IF(OR($A25="",TYPE(VLOOKUP($A25,Centrum!$D$3:$M$130,10,0))&gt;3),"",VLOOKUP(VLOOKUP($A25,Centrum!$D$3:$M$130,10,0),Centrum!$A$3:$CB$130,AK$132,0))</f>
        <v>15</v>
      </c>
      <c r="AL25" s="318">
        <f ca="1">IF(OR($A25="",TYPE(VLOOKUP($A25,Centrum!$D$3:$M$130,10,0))&gt;3),"",VLOOKUP(VLOOKUP($A25,Centrum!$D$3:$M$130,10,0),Centrum!$A$3:$CB$130,AL$132,0))</f>
        <v>0</v>
      </c>
      <c r="AM25" s="318">
        <f ca="1">IF(OR($A25="",TYPE(VLOOKUP($A25,Centrum!$D$3:$M$130,10,0))&gt;3),"",VLOOKUP(VLOOKUP($A25,Centrum!$D$3:$M$130,10,0),Centrum!$A$3:$CB$130,AM$132,0))</f>
        <v>-4</v>
      </c>
      <c r="AT25" s="318">
        <f ca="1">IF(OR(OR($A25="",TYPE(VLOOKUP($A25,Centrum!$D$3:$M$130,10,0))&gt;3),$A$1&lt;4),"",VLOOKUP(VLOOKUP($A25,Centrum!$D$3:$M$130,10,0),Centrum!$A$3:$CB$130,AT$132,0))</f>
        <v>13</v>
      </c>
      <c r="AU25" s="318">
        <f ca="1">IF(OR(OR($A25="",TYPE(VLOOKUP($A25,Centrum!$D$3:$M$130,10,0))&gt;3),$A$1&lt;4),"",VLOOKUP(VLOOKUP($A25,Centrum!$D$3:$M$130,10,0),Centrum!$A$3:$CB$130,AU$132,0))</f>
        <v>1</v>
      </c>
      <c r="AV25" s="318">
        <f ca="1">IF(OR(OR($A25="",TYPE(VLOOKUP($A25,Centrum!$D$3:$M$130,10,0))&gt;3),$A$1&lt;4),"",VLOOKUP(VLOOKUP($A25,Centrum!$D$3:$M$130,10,0),Centrum!$A$3:$CB$130,AV$132,0))</f>
        <v>1</v>
      </c>
      <c r="BC25" s="318" t="str">
        <f ca="1">IF(OR(OR($A25="",TYPE(VLOOKUP($A25,Centrum!$D$3:$M$130,10,0))&gt;3),$A$1&lt;5),"",VLOOKUP(VLOOKUP($A25,Centrum!$D$3:$M$130,10,0),Centrum!$A$3:$CB$130,BC$132,0))</f>
        <v/>
      </c>
      <c r="BD25" s="318" t="str">
        <f ca="1">IF(OR(OR($A25="",TYPE(VLOOKUP($A25,Centrum!$D$3:$M$130,10,0))&gt;3),$A$1&lt;5),"",VLOOKUP(VLOOKUP($A25,Centrum!$D$3:$M$130,10,0),Centrum!$A$3:$CB$130,BD$132,0))</f>
        <v/>
      </c>
      <c r="BE25" s="318" t="str">
        <f ca="1">IF(OR(OR($A25="",TYPE(VLOOKUP($A25,Centrum!$D$3:$M$130,10,0))&gt;3),$A$1&lt;5),"",VLOOKUP(VLOOKUP($A25,Centrum!$D$3:$M$130,10,0),Centrum!$A$3:$CB$130,BE$132,0))</f>
        <v/>
      </c>
      <c r="BL25" s="318" t="str">
        <f ca="1">IF(OR(OR($A25="",TYPE(VLOOKUP($A25,Centrum!$D$3:$M$130,10,0))&gt;3),$A$1&lt;6),"",VLOOKUP(VLOOKUP($A25,Centrum!$D$3:$M$130,10,0),Centrum!$A$3:$CB$130,BL$132,0))</f>
        <v/>
      </c>
      <c r="BM25" s="318" t="str">
        <f ca="1">IF(OR(OR($A25="",TYPE(VLOOKUP($A25,Centrum!$D$3:$M$130,10,0))&gt;3),$A$1&lt;6),"",VLOOKUP(VLOOKUP($A25,Centrum!$D$3:$M$130,10,0),Centrum!$A$3:$CB$130,BM$132,0))</f>
        <v/>
      </c>
      <c r="BN25" s="318" t="str">
        <f ca="1">IF(OR(OR($A25="",TYPE(VLOOKUP($A25,Centrum!$D$3:$M$130,10,0))&gt;3),$A$1&lt;6),"",VLOOKUP(VLOOKUP($A25,Centrum!$D$3:$M$130,10,0),Centrum!$A$3:$CB$130,BN$132,0))</f>
        <v/>
      </c>
    </row>
    <row r="26" spans="1:66" x14ac:dyDescent="0.4">
      <c r="A26" s="318">
        <f ca="1">Centrum!A26</f>
        <v>24</v>
      </c>
      <c r="B26" s="421" t="str">
        <f ca="1">IF(OR($A26="",TYPE(VLOOKUP($A26,Centrum!$D$3:$M$130,10,0))&gt;3),"",VLOOKUP(VLOOKUP(A26,Centrum!$D$3:$M$130,10,0),Centrum!$A$3:$CB$130,B$132,0))</f>
        <v>3 PC Sokol Lipník - Froňková Kateřina</v>
      </c>
      <c r="C26" s="318">
        <f ca="1">IF(OR($A26="",TYPE(VLOOKUP($A26,Centrum!$D$3:$M$130,10,0))&gt;3),"",VLOOKUP($A26,Centrum!$D$3:$M$130,10,0))</f>
        <v>3</v>
      </c>
      <c r="E26" s="318">
        <f ca="1">IF(OR($A26="",TYPE(VLOOKUP($A26,Centrum!$D$3:$M$130,10,0))&gt;3),"",VLOOKUP(VLOOKUP($A26,Centrum!$D$3:$M$130,10,0),Centrum!$A$3:$CB$130,E$132,0))</f>
        <v>2</v>
      </c>
      <c r="F26" s="318">
        <f ca="1">IF(OR($A26="",TYPE(VLOOKUP($A26,Centrum!$D$3:$M$130,10,0))&gt;3),"",VLOOKUP(VLOOKUP($A26,Centrum!$D$3:$M$130,10,0),Centrum!$A$3:$CB$130,F$132,0))</f>
        <v>9</v>
      </c>
      <c r="G26" s="318">
        <f ca="1">IF(OR($A26="",TYPE(VLOOKUP($A26,Centrum!$D$3:$M$130,10,0))&gt;3),"",VLOOKUP(VLOOKUP($A26,Centrum!$D$3:$M$130,10,0),Centrum!$A$3:$CB$130,G$132,0))</f>
        <v>32</v>
      </c>
      <c r="H26" s="318">
        <f ca="1">IF($A26="","",VLOOKUP(VLOOKUP($A26,Centrum!$D$3:$M$130,10,0),Centrum!$A$3:$CB$130,H$132,0))</f>
        <v>2</v>
      </c>
      <c r="I26" s="318">
        <f ca="1">IF($A26="","",VLOOKUP(VLOOKUP($A26,Centrum!$D$3:$M$130,10,0),Centrum!$A$3:$CB$130,I$132,0))</f>
        <v>0</v>
      </c>
      <c r="J26" s="318">
        <f ca="1">IF(OR($A26="",TYPE(VLOOKUP($A26,Centrum!$D$3:$M$130,10,0))&gt;3),"",VLOOKUP(VLOOKUP($A26,Centrum!$D$3:$M$130,10,0),Centrum!$A$3:$CB$130,J$132,0))</f>
        <v>7</v>
      </c>
      <c r="L26" s="318">
        <f ca="1">IF(OR($A26="",TYPE(VLOOKUP($A26,Centrum!$D$3:$M$130,10,0))&gt;3),"",VLOOKUP(VLOOKUP($A26,Centrum!$D$3:$M$130,10,0),Centrum!$A$3:$CB$130,L$132,0))</f>
        <v>31</v>
      </c>
      <c r="M26" s="318">
        <f ca="1">IF(OR($A26="",TYPE(VLOOKUP($A26,Centrum!$D$3:$M$130,10,0))&gt;3),"",VLOOKUP(VLOOKUP($A26,Centrum!$D$3:$M$130,10,0),Centrum!$A$3:$CB$130,M$132,0))</f>
        <v>4</v>
      </c>
      <c r="N26" s="318">
        <f ca="1">IF(OR($A26="",TYPE(VLOOKUP($A26,Centrum!$D$3:$M$130,10,0))&gt;3),"",VLOOKUP(VLOOKUP($A26,Centrum!$D$3:$M$130,10,0),Centrum!$A$3:$CB$130,N$132,0))</f>
        <v>35</v>
      </c>
      <c r="O26" s="318">
        <f ca="1">IF(OR($A26="",TYPE(VLOOKUP($A26,Centrum!$D$3:$M$130,10,0))&gt;3),"",VLOOKUP(VLOOKUP($A26,Centrum!$D$3:$M$130,10,0),Centrum!$A$3:$CB$130,O$132,0))</f>
        <v>9</v>
      </c>
      <c r="P26" s="318">
        <f ca="1">IF(OR($A26="",TYPE(VLOOKUP($A26,Centrum!$D$3:$M$130,10,0))&gt;3),"",VLOOKUP(VLOOKUP($A26,Centrum!$D$3:$M$130,10,0),Centrum!$A$3:$CB$130,P$132,0))</f>
        <v>0</v>
      </c>
      <c r="Q26" s="318">
        <f ca="1">IF(OR($A26="",TYPE(VLOOKUP($A26,Centrum!$D$3:$M$130,10,0))&gt;3),"",VLOOKUP(VLOOKUP($A26,Centrum!$D$3:$M$130,10,0),Centrum!$A$3:$CB$130,Q$132,0))</f>
        <v>0</v>
      </c>
      <c r="S26" s="318">
        <f ca="1">IF(OR($A26="",TYPE(VLOOKUP($A26,Centrum!$D$3:$M$130,10,0))&gt;3),"",VLOOKUP(VLOOKUP($A26,Centrum!$D$3:$M$130,10,0),Centrum!$A$3:$CB$130,S$132,0))</f>
        <v>31</v>
      </c>
      <c r="T26" s="318">
        <f ca="1">IF(OR($A26="",TYPE(VLOOKUP($A26,Centrum!$D$3:$M$130,10,0))&gt;3),"",VLOOKUP(VLOOKUP($A26,Centrum!$D$3:$M$130,10,0),Centrum!$A$3:$CB$130,T$132,0))</f>
        <v>1</v>
      </c>
      <c r="U26" s="318">
        <f ca="1">IF(OR($A26="",TYPE(VLOOKUP($A26,Centrum!$D$3:$M$130,10,0))&gt;3),"",VLOOKUP(VLOOKUP($A26,Centrum!$D$3:$M$130,10,0),Centrum!$A$3:$CB$130,U$132,0))</f>
        <v>12</v>
      </c>
      <c r="AB26" s="318">
        <f ca="1">IF(OR($A26="",TYPE(VLOOKUP($A26,Centrum!$D$3:$M$130,10,0))&gt;3),"",VLOOKUP(VLOOKUP($A26,Centrum!$D$3:$M$130,10,0),Centrum!$A$3:$CB$130,AB$132,0))</f>
        <v>4</v>
      </c>
      <c r="AC26" s="318">
        <f ca="1">IF(OR($A26="",TYPE(VLOOKUP($A26,Centrum!$D$3:$M$130,10,0))&gt;3),"",VLOOKUP(VLOOKUP($A26,Centrum!$D$3:$M$130,10,0),Centrum!$A$3:$CB$130,AC$132,0))</f>
        <v>0</v>
      </c>
      <c r="AD26" s="318">
        <f ca="1">IF(OR($A26="",TYPE(VLOOKUP($A26,Centrum!$D$3:$M$130,10,0))&gt;3),"",VLOOKUP(VLOOKUP($A26,Centrum!$D$3:$M$130,10,0),Centrum!$A$3:$CB$130,AD$132,0))</f>
        <v>-10</v>
      </c>
      <c r="AK26" s="318">
        <f ca="1">IF(OR($A26="",TYPE(VLOOKUP($A26,Centrum!$D$3:$M$130,10,0))&gt;3),"",VLOOKUP(VLOOKUP($A26,Centrum!$D$3:$M$130,10,0),Centrum!$A$3:$CB$130,AK$132,0))</f>
        <v>35</v>
      </c>
      <c r="AL26" s="318">
        <f ca="1">IF(OR($A26="",TYPE(VLOOKUP($A26,Centrum!$D$3:$M$130,10,0))&gt;3),"",VLOOKUP(VLOOKUP($A26,Centrum!$D$3:$M$130,10,0),Centrum!$A$3:$CB$130,AL$132,0))</f>
        <v>1</v>
      </c>
      <c r="AM26" s="318">
        <f ca="1">IF(OR($A26="",TYPE(VLOOKUP($A26,Centrum!$D$3:$M$130,10,0))&gt;3),"",VLOOKUP(VLOOKUP($A26,Centrum!$D$3:$M$130,10,0),Centrum!$A$3:$CB$130,AM$132,0))</f>
        <v>10</v>
      </c>
      <c r="AT26" s="318">
        <f ca="1">IF(OR(OR($A26="",TYPE(VLOOKUP($A26,Centrum!$D$3:$M$130,10,0))&gt;3),$A$1&lt;4),"",VLOOKUP(VLOOKUP($A26,Centrum!$D$3:$M$130,10,0),Centrum!$A$3:$CB$130,AT$132,0))</f>
        <v>9</v>
      </c>
      <c r="AU26" s="318">
        <f ca="1">IF(OR(OR($A26="",TYPE(VLOOKUP($A26,Centrum!$D$3:$M$130,10,0))&gt;3),$A$1&lt;4),"",VLOOKUP(VLOOKUP($A26,Centrum!$D$3:$M$130,10,0),Centrum!$A$3:$CB$130,AU$132,0))</f>
        <v>0</v>
      </c>
      <c r="AV26" s="318">
        <f ca="1">IF(OR(OR($A26="",TYPE(VLOOKUP($A26,Centrum!$D$3:$M$130,10,0))&gt;3),$A$1&lt;4),"",VLOOKUP(VLOOKUP($A26,Centrum!$D$3:$M$130,10,0),Centrum!$A$3:$CB$130,AV$132,0))</f>
        <v>-5</v>
      </c>
      <c r="BC26" s="318" t="str">
        <f ca="1">IF(OR(OR($A26="",TYPE(VLOOKUP($A26,Centrum!$D$3:$M$130,10,0))&gt;3),$A$1&lt;5),"",VLOOKUP(VLOOKUP($A26,Centrum!$D$3:$M$130,10,0),Centrum!$A$3:$CB$130,BC$132,0))</f>
        <v/>
      </c>
      <c r="BD26" s="318" t="str">
        <f ca="1">IF(OR(OR($A26="",TYPE(VLOOKUP($A26,Centrum!$D$3:$M$130,10,0))&gt;3),$A$1&lt;5),"",VLOOKUP(VLOOKUP($A26,Centrum!$D$3:$M$130,10,0),Centrum!$A$3:$CB$130,BD$132,0))</f>
        <v/>
      </c>
      <c r="BE26" s="318" t="str">
        <f ca="1">IF(OR(OR($A26="",TYPE(VLOOKUP($A26,Centrum!$D$3:$M$130,10,0))&gt;3),$A$1&lt;5),"",VLOOKUP(VLOOKUP($A26,Centrum!$D$3:$M$130,10,0),Centrum!$A$3:$CB$130,BE$132,0))</f>
        <v/>
      </c>
      <c r="BL26" s="318" t="str">
        <f ca="1">IF(OR(OR($A26="",TYPE(VLOOKUP($A26,Centrum!$D$3:$M$130,10,0))&gt;3),$A$1&lt;6),"",VLOOKUP(VLOOKUP($A26,Centrum!$D$3:$M$130,10,0),Centrum!$A$3:$CB$130,BL$132,0))</f>
        <v/>
      </c>
      <c r="BM26" s="318" t="str">
        <f ca="1">IF(OR(OR($A26="",TYPE(VLOOKUP($A26,Centrum!$D$3:$M$130,10,0))&gt;3),$A$1&lt;6),"",VLOOKUP(VLOOKUP($A26,Centrum!$D$3:$M$130,10,0),Centrum!$A$3:$CB$130,BM$132,0))</f>
        <v/>
      </c>
      <c r="BN26" s="318" t="str">
        <f ca="1">IF(OR(OR($A26="",TYPE(VLOOKUP($A26,Centrum!$D$3:$M$130,10,0))&gt;3),$A$1&lt;6),"",VLOOKUP(VLOOKUP($A26,Centrum!$D$3:$M$130,10,0),Centrum!$A$3:$CB$130,BN$132,0))</f>
        <v/>
      </c>
    </row>
    <row r="27" spans="1:66" x14ac:dyDescent="0.4">
      <c r="A27" s="318">
        <f ca="1">Centrum!A27</f>
        <v>25</v>
      </c>
      <c r="B27" s="421" t="str">
        <f ca="1">IF(OR($A27="",TYPE(VLOOKUP($A27,Centrum!$D$3:$M$130,10,0))&gt;3),"",VLOOKUP(VLOOKUP(A27,Centrum!$D$3:$M$130,10,0),Centrum!$A$3:$CB$130,B$132,0))</f>
        <v>17 PC Damníkov - Brandes Valter</v>
      </c>
      <c r="C27" s="318">
        <f ca="1">IF(OR($A27="",TYPE(VLOOKUP($A27,Centrum!$D$3:$M$130,10,0))&gt;3),"",VLOOKUP($A27,Centrum!$D$3:$M$130,10,0))</f>
        <v>17</v>
      </c>
      <c r="E27" s="318">
        <f ca="1">IF(OR($A27="",TYPE(VLOOKUP($A27,Centrum!$D$3:$M$130,10,0))&gt;3),"",VLOOKUP(VLOOKUP($A27,Centrum!$D$3:$M$130,10,0),Centrum!$A$3:$CB$130,E$132,0))</f>
        <v>2</v>
      </c>
      <c r="F27" s="318">
        <f ca="1">IF(OR($A27="",TYPE(VLOOKUP($A27,Centrum!$D$3:$M$130,10,0))&gt;3),"",VLOOKUP(VLOOKUP($A27,Centrum!$D$3:$M$130,10,0),Centrum!$A$3:$CB$130,F$132,0))</f>
        <v>9</v>
      </c>
      <c r="G27" s="318">
        <f ca="1">IF(OR($A27="",TYPE(VLOOKUP($A27,Centrum!$D$3:$M$130,10,0))&gt;3),"",VLOOKUP(VLOOKUP($A27,Centrum!$D$3:$M$130,10,0),Centrum!$A$3:$CB$130,G$132,0))</f>
        <v>31</v>
      </c>
      <c r="H27" s="318">
        <f ca="1">IF($A27="","",VLOOKUP(VLOOKUP($A27,Centrum!$D$3:$M$130,10,0),Centrum!$A$3:$CB$130,H$132,0))</f>
        <v>3</v>
      </c>
      <c r="I27" s="318">
        <f ca="1">IF($A27="","",VLOOKUP(VLOOKUP($A27,Centrum!$D$3:$M$130,10,0),Centrum!$A$3:$CB$130,I$132,0))</f>
        <v>0</v>
      </c>
      <c r="J27" s="318">
        <f ca="1">IF(OR($A27="",TYPE(VLOOKUP($A27,Centrum!$D$3:$M$130,10,0))&gt;3),"",VLOOKUP(VLOOKUP($A27,Centrum!$D$3:$M$130,10,0),Centrum!$A$3:$CB$130,J$132,0))</f>
        <v>-10</v>
      </c>
      <c r="L27" s="318">
        <f ca="1">IF(OR($A27="",TYPE(VLOOKUP($A27,Centrum!$D$3:$M$130,10,0))&gt;3),"",VLOOKUP(VLOOKUP($A27,Centrum!$D$3:$M$130,10,0),Centrum!$A$3:$CB$130,L$132,0))</f>
        <v>45</v>
      </c>
      <c r="M27" s="318">
        <f ca="1">IF(OR($A27="",TYPE(VLOOKUP($A27,Centrum!$D$3:$M$130,10,0))&gt;3),"",VLOOKUP(VLOOKUP($A27,Centrum!$D$3:$M$130,10,0),Centrum!$A$3:$CB$130,M$132,0))</f>
        <v>12</v>
      </c>
      <c r="N27" s="318">
        <f ca="1">IF(OR($A27="",TYPE(VLOOKUP($A27,Centrum!$D$3:$M$130,10,0))&gt;3),"",VLOOKUP(VLOOKUP($A27,Centrum!$D$3:$M$130,10,0),Centrum!$A$3:$CB$130,N$132,0))</f>
        <v>16</v>
      </c>
      <c r="O27" s="318">
        <f ca="1">IF(OR($A27="",TYPE(VLOOKUP($A27,Centrum!$D$3:$M$130,10,0))&gt;3),"",VLOOKUP(VLOOKUP($A27,Centrum!$D$3:$M$130,10,0),Centrum!$A$3:$CB$130,O$132,0))</f>
        <v>52</v>
      </c>
      <c r="P27" s="318">
        <f ca="1">IF(OR($A27="",TYPE(VLOOKUP($A27,Centrum!$D$3:$M$130,10,0))&gt;3),"",VLOOKUP(VLOOKUP($A27,Centrum!$D$3:$M$130,10,0),Centrum!$A$3:$CB$130,P$132,0))</f>
        <v>0</v>
      </c>
      <c r="Q27" s="318">
        <f ca="1">IF(OR($A27="",TYPE(VLOOKUP($A27,Centrum!$D$3:$M$130,10,0))&gt;3),"",VLOOKUP(VLOOKUP($A27,Centrum!$D$3:$M$130,10,0),Centrum!$A$3:$CB$130,Q$132,0))</f>
        <v>0</v>
      </c>
      <c r="S27" s="318">
        <f ca="1">IF(OR($A27="",TYPE(VLOOKUP($A27,Centrum!$D$3:$M$130,10,0))&gt;3),"",VLOOKUP(VLOOKUP($A27,Centrum!$D$3:$M$130,10,0),Centrum!$A$3:$CB$130,S$132,0))</f>
        <v>45</v>
      </c>
      <c r="T27" s="318">
        <f ca="1">IF(OR($A27="",TYPE(VLOOKUP($A27,Centrum!$D$3:$M$130,10,0))&gt;3),"",VLOOKUP(VLOOKUP($A27,Centrum!$D$3:$M$130,10,0),Centrum!$A$3:$CB$130,T$132,0))</f>
        <v>1</v>
      </c>
      <c r="U27" s="318">
        <f ca="1">IF(OR($A27="",TYPE(VLOOKUP($A27,Centrum!$D$3:$M$130,10,0))&gt;3),"",VLOOKUP(VLOOKUP($A27,Centrum!$D$3:$M$130,10,0),Centrum!$A$3:$CB$130,U$132,0))</f>
        <v>3</v>
      </c>
      <c r="AB27" s="318">
        <f ca="1">IF(OR($A27="",TYPE(VLOOKUP($A27,Centrum!$D$3:$M$130,10,0))&gt;3),"",VLOOKUP(VLOOKUP($A27,Centrum!$D$3:$M$130,10,0),Centrum!$A$3:$CB$130,AB$132,0))</f>
        <v>12</v>
      </c>
      <c r="AC27" s="318">
        <f ca="1">IF(OR($A27="",TYPE(VLOOKUP($A27,Centrum!$D$3:$M$130,10,0))&gt;3),"",VLOOKUP(VLOOKUP($A27,Centrum!$D$3:$M$130,10,0),Centrum!$A$3:$CB$130,AC$132,0))</f>
        <v>0</v>
      </c>
      <c r="AD27" s="318">
        <f ca="1">IF(OR($A27="",TYPE(VLOOKUP($A27,Centrum!$D$3:$M$130,10,0))&gt;3),"",VLOOKUP(VLOOKUP($A27,Centrum!$D$3:$M$130,10,0),Centrum!$A$3:$CB$130,AD$132,0))</f>
        <v>-8</v>
      </c>
      <c r="AK27" s="318">
        <f ca="1">IF(OR($A27="",TYPE(VLOOKUP($A27,Centrum!$D$3:$M$130,10,0))&gt;3),"",VLOOKUP(VLOOKUP($A27,Centrum!$D$3:$M$130,10,0),Centrum!$A$3:$CB$130,AK$132,0))</f>
        <v>16</v>
      </c>
      <c r="AL27" s="318">
        <f ca="1">IF(OR($A27="",TYPE(VLOOKUP($A27,Centrum!$D$3:$M$130,10,0))&gt;3),"",VLOOKUP(VLOOKUP($A27,Centrum!$D$3:$M$130,10,0),Centrum!$A$3:$CB$130,AL$132,0))</f>
        <v>1</v>
      </c>
      <c r="AM27" s="318">
        <f ca="1">IF(OR($A27="",TYPE(VLOOKUP($A27,Centrum!$D$3:$M$130,10,0))&gt;3),"",VLOOKUP(VLOOKUP($A27,Centrum!$D$3:$M$130,10,0),Centrum!$A$3:$CB$130,AM$132,0))</f>
        <v>3</v>
      </c>
      <c r="AT27" s="318">
        <f ca="1">IF(OR(OR($A27="",TYPE(VLOOKUP($A27,Centrum!$D$3:$M$130,10,0))&gt;3),$A$1&lt;4),"",VLOOKUP(VLOOKUP($A27,Centrum!$D$3:$M$130,10,0),Centrum!$A$3:$CB$130,AT$132,0))</f>
        <v>52</v>
      </c>
      <c r="AU27" s="318">
        <f ca="1">IF(OR(OR($A27="",TYPE(VLOOKUP($A27,Centrum!$D$3:$M$130,10,0))&gt;3),$A$1&lt;4),"",VLOOKUP(VLOOKUP($A27,Centrum!$D$3:$M$130,10,0),Centrum!$A$3:$CB$130,AU$132,0))</f>
        <v>0</v>
      </c>
      <c r="AV27" s="318">
        <f ca="1">IF(OR(OR($A27="",TYPE(VLOOKUP($A27,Centrum!$D$3:$M$130,10,0))&gt;3),$A$1&lt;4),"",VLOOKUP(VLOOKUP($A27,Centrum!$D$3:$M$130,10,0),Centrum!$A$3:$CB$130,AV$132,0))</f>
        <v>-8</v>
      </c>
      <c r="BC27" s="318" t="str">
        <f ca="1">IF(OR(OR($A27="",TYPE(VLOOKUP($A27,Centrum!$D$3:$M$130,10,0))&gt;3),$A$1&lt;5),"",VLOOKUP(VLOOKUP($A27,Centrum!$D$3:$M$130,10,0),Centrum!$A$3:$CB$130,BC$132,0))</f>
        <v/>
      </c>
      <c r="BD27" s="318" t="str">
        <f ca="1">IF(OR(OR($A27="",TYPE(VLOOKUP($A27,Centrum!$D$3:$M$130,10,0))&gt;3),$A$1&lt;5),"",VLOOKUP(VLOOKUP($A27,Centrum!$D$3:$M$130,10,0),Centrum!$A$3:$CB$130,BD$132,0))</f>
        <v/>
      </c>
      <c r="BE27" s="318" t="str">
        <f ca="1">IF(OR(OR($A27="",TYPE(VLOOKUP($A27,Centrum!$D$3:$M$130,10,0))&gt;3),$A$1&lt;5),"",VLOOKUP(VLOOKUP($A27,Centrum!$D$3:$M$130,10,0),Centrum!$A$3:$CB$130,BE$132,0))</f>
        <v/>
      </c>
      <c r="BL27" s="318" t="str">
        <f ca="1">IF(OR(OR($A27="",TYPE(VLOOKUP($A27,Centrum!$D$3:$M$130,10,0))&gt;3),$A$1&lt;6),"",VLOOKUP(VLOOKUP($A27,Centrum!$D$3:$M$130,10,0),Centrum!$A$3:$CB$130,BL$132,0))</f>
        <v/>
      </c>
      <c r="BM27" s="318" t="str">
        <f ca="1">IF(OR(OR($A27="",TYPE(VLOOKUP($A27,Centrum!$D$3:$M$130,10,0))&gt;3),$A$1&lt;6),"",VLOOKUP(VLOOKUP($A27,Centrum!$D$3:$M$130,10,0),Centrum!$A$3:$CB$130,BM$132,0))</f>
        <v/>
      </c>
      <c r="BN27" s="318" t="str">
        <f ca="1">IF(OR(OR($A27="",TYPE(VLOOKUP($A27,Centrum!$D$3:$M$130,10,0))&gt;3),$A$1&lt;6),"",VLOOKUP(VLOOKUP($A27,Centrum!$D$3:$M$130,10,0),Centrum!$A$3:$CB$130,BN$132,0))</f>
        <v/>
      </c>
    </row>
    <row r="28" spans="1:66" x14ac:dyDescent="0.4">
      <c r="A28" s="318">
        <f ca="1">Centrum!A28</f>
        <v>26</v>
      </c>
      <c r="B28" s="421" t="str">
        <f ca="1">IF(OR($A28="",TYPE(VLOOKUP($A28,Centrum!$D$3:$M$130,10,0))&gt;3),"",VLOOKUP(VLOOKUP(A28,Centrum!$D$3:$M$130,10,0),Centrum!$A$3:$CB$130,B$132,0))</f>
        <v xml:space="preserve">54   - Schwede Detlef, Chemnitz, Německo  </v>
      </c>
      <c r="C28" s="318">
        <f ca="1">IF(OR($A28="",TYPE(VLOOKUP($A28,Centrum!$D$3:$M$130,10,0))&gt;3),"",VLOOKUP($A28,Centrum!$D$3:$M$130,10,0))</f>
        <v>54</v>
      </c>
      <c r="E28" s="318">
        <f ca="1">IF(OR($A28="",TYPE(VLOOKUP($A28,Centrum!$D$3:$M$130,10,0))&gt;3),"",VLOOKUP(VLOOKUP($A28,Centrum!$D$3:$M$130,10,0),Centrum!$A$3:$CB$130,E$132,0))</f>
        <v>2</v>
      </c>
      <c r="F28" s="318">
        <f ca="1">IF(OR($A28="",TYPE(VLOOKUP($A28,Centrum!$D$3:$M$130,10,0))&gt;3),"",VLOOKUP(VLOOKUP($A28,Centrum!$D$3:$M$130,10,0),Centrum!$A$3:$CB$130,F$132,0))</f>
        <v>9</v>
      </c>
      <c r="G28" s="318">
        <f ca="1">IF(OR($A28="",TYPE(VLOOKUP($A28,Centrum!$D$3:$M$130,10,0))&gt;3),"",VLOOKUP(VLOOKUP($A28,Centrum!$D$3:$M$130,10,0),Centrum!$A$3:$CB$130,G$132,0))</f>
        <v>25</v>
      </c>
      <c r="H28" s="318">
        <f ca="1">IF($A28="","",VLOOKUP(VLOOKUP($A28,Centrum!$D$3:$M$130,10,0),Centrum!$A$3:$CB$130,H$132,0))</f>
        <v>2</v>
      </c>
      <c r="I28" s="318">
        <f ca="1">IF($A28="","",VLOOKUP(VLOOKUP($A28,Centrum!$D$3:$M$130,10,0),Centrum!$A$3:$CB$130,I$132,0))</f>
        <v>2</v>
      </c>
      <c r="J28" s="318">
        <f ca="1">IF(OR($A28="",TYPE(VLOOKUP($A28,Centrum!$D$3:$M$130,10,0))&gt;3),"",VLOOKUP(VLOOKUP($A28,Centrum!$D$3:$M$130,10,0),Centrum!$A$3:$CB$130,J$132,0))</f>
        <v>-11</v>
      </c>
      <c r="L28" s="318">
        <f ca="1">IF(OR($A28="",TYPE(VLOOKUP($A28,Centrum!$D$3:$M$130,10,0))&gt;3),"",VLOOKUP(VLOOKUP($A28,Centrum!$D$3:$M$130,10,0),Centrum!$A$3:$CB$130,L$132,0))</f>
        <v>26</v>
      </c>
      <c r="M28" s="318">
        <f ca="1">IF(OR($A28="",TYPE(VLOOKUP($A28,Centrum!$D$3:$M$130,10,0))&gt;3),"",VLOOKUP(VLOOKUP($A28,Centrum!$D$3:$M$130,10,0),Centrum!$A$3:$CB$130,M$132,0))</f>
        <v>33</v>
      </c>
      <c r="N28" s="318">
        <f ca="1">IF(OR($A28="",TYPE(VLOOKUP($A28,Centrum!$D$3:$M$130,10,0))&gt;3),"",VLOOKUP(VLOOKUP($A28,Centrum!$D$3:$M$130,10,0),Centrum!$A$3:$CB$130,N$132,0))</f>
        <v>7</v>
      </c>
      <c r="O28" s="318">
        <f ca="1">IF(OR($A28="",TYPE(VLOOKUP($A28,Centrum!$D$3:$M$130,10,0))&gt;3),"",VLOOKUP(VLOOKUP($A28,Centrum!$D$3:$M$130,10,0),Centrum!$A$3:$CB$130,O$132,0))</f>
        <v>15</v>
      </c>
      <c r="P28" s="318">
        <f ca="1">IF(OR($A28="",TYPE(VLOOKUP($A28,Centrum!$D$3:$M$130,10,0))&gt;3),"",VLOOKUP(VLOOKUP($A28,Centrum!$D$3:$M$130,10,0),Centrum!$A$3:$CB$130,P$132,0))</f>
        <v>0</v>
      </c>
      <c r="Q28" s="318">
        <f ca="1">IF(OR($A28="",TYPE(VLOOKUP($A28,Centrum!$D$3:$M$130,10,0))&gt;3),"",VLOOKUP(VLOOKUP($A28,Centrum!$D$3:$M$130,10,0),Centrum!$A$3:$CB$130,Q$132,0))</f>
        <v>0</v>
      </c>
      <c r="S28" s="318">
        <f ca="1">IF(OR($A28="",TYPE(VLOOKUP($A28,Centrum!$D$3:$M$130,10,0))&gt;3),"",VLOOKUP(VLOOKUP($A28,Centrum!$D$3:$M$130,10,0),Centrum!$A$3:$CB$130,S$132,0))</f>
        <v>26</v>
      </c>
      <c r="T28" s="318">
        <f ca="1">IF(OR($A28="",TYPE(VLOOKUP($A28,Centrum!$D$3:$M$130,10,0))&gt;3),"",VLOOKUP(VLOOKUP($A28,Centrum!$D$3:$M$130,10,0),Centrum!$A$3:$CB$130,T$132,0))</f>
        <v>1</v>
      </c>
      <c r="U28" s="318">
        <f ca="1">IF(OR($A28="",TYPE(VLOOKUP($A28,Centrum!$D$3:$M$130,10,0))&gt;3),"",VLOOKUP(VLOOKUP($A28,Centrum!$D$3:$M$130,10,0),Centrum!$A$3:$CB$130,U$132,0))</f>
        <v>1</v>
      </c>
      <c r="AB28" s="318">
        <f ca="1">IF(OR($A28="",TYPE(VLOOKUP($A28,Centrum!$D$3:$M$130,10,0))&gt;3),"",VLOOKUP(VLOOKUP($A28,Centrum!$D$3:$M$130,10,0),Centrum!$A$3:$CB$130,AB$132,0))</f>
        <v>33</v>
      </c>
      <c r="AC28" s="318">
        <f ca="1">IF(OR($A28="",TYPE(VLOOKUP($A28,Centrum!$D$3:$M$130,10,0))&gt;3),"",VLOOKUP(VLOOKUP($A28,Centrum!$D$3:$M$130,10,0),Centrum!$A$3:$CB$130,AC$132,0))</f>
        <v>1</v>
      </c>
      <c r="AD28" s="318">
        <f ca="1">IF(OR($A28="",TYPE(VLOOKUP($A28,Centrum!$D$3:$M$130,10,0))&gt;3),"",VLOOKUP(VLOOKUP($A28,Centrum!$D$3:$M$130,10,0),Centrum!$A$3:$CB$130,AD$132,0))</f>
        <v>5</v>
      </c>
      <c r="AK28" s="318">
        <f ca="1">IF(OR($A28="",TYPE(VLOOKUP($A28,Centrum!$D$3:$M$130,10,0))&gt;3),"",VLOOKUP(VLOOKUP($A28,Centrum!$D$3:$M$130,10,0),Centrum!$A$3:$CB$130,AK$132,0))</f>
        <v>7</v>
      </c>
      <c r="AL28" s="318">
        <f ca="1">IF(OR($A28="",TYPE(VLOOKUP($A28,Centrum!$D$3:$M$130,10,0))&gt;3),"",VLOOKUP(VLOOKUP($A28,Centrum!$D$3:$M$130,10,0),Centrum!$A$3:$CB$130,AL$132,0))</f>
        <v>0</v>
      </c>
      <c r="AM28" s="318">
        <f ca="1">IF(OR($A28="",TYPE(VLOOKUP($A28,Centrum!$D$3:$M$130,10,0))&gt;3),"",VLOOKUP(VLOOKUP($A28,Centrum!$D$3:$M$130,10,0),Centrum!$A$3:$CB$130,AM$132,0))</f>
        <v>-8</v>
      </c>
      <c r="AT28" s="318">
        <f ca="1">IF(OR(OR($A28="",TYPE(VLOOKUP($A28,Centrum!$D$3:$M$130,10,0))&gt;3),$A$1&lt;4),"",VLOOKUP(VLOOKUP($A28,Centrum!$D$3:$M$130,10,0),Centrum!$A$3:$CB$130,AT$132,0))</f>
        <v>15</v>
      </c>
      <c r="AU28" s="318">
        <f ca="1">IF(OR(OR($A28="",TYPE(VLOOKUP($A28,Centrum!$D$3:$M$130,10,0))&gt;3),$A$1&lt;4),"",VLOOKUP(VLOOKUP($A28,Centrum!$D$3:$M$130,10,0),Centrum!$A$3:$CB$130,AU$132,0))</f>
        <v>0</v>
      </c>
      <c r="AV28" s="318">
        <f ca="1">IF(OR(OR($A28="",TYPE(VLOOKUP($A28,Centrum!$D$3:$M$130,10,0))&gt;3),$A$1&lt;4),"",VLOOKUP(VLOOKUP($A28,Centrum!$D$3:$M$130,10,0),Centrum!$A$3:$CB$130,AV$132,0))</f>
        <v>-9</v>
      </c>
      <c r="BC28" s="318" t="str">
        <f ca="1">IF(OR(OR($A28="",TYPE(VLOOKUP($A28,Centrum!$D$3:$M$130,10,0))&gt;3),$A$1&lt;5),"",VLOOKUP(VLOOKUP($A28,Centrum!$D$3:$M$130,10,0),Centrum!$A$3:$CB$130,BC$132,0))</f>
        <v/>
      </c>
      <c r="BD28" s="318" t="str">
        <f ca="1">IF(OR(OR($A28="",TYPE(VLOOKUP($A28,Centrum!$D$3:$M$130,10,0))&gt;3),$A$1&lt;5),"",VLOOKUP(VLOOKUP($A28,Centrum!$D$3:$M$130,10,0),Centrum!$A$3:$CB$130,BD$132,0))</f>
        <v/>
      </c>
      <c r="BE28" s="318" t="str">
        <f ca="1">IF(OR(OR($A28="",TYPE(VLOOKUP($A28,Centrum!$D$3:$M$130,10,0))&gt;3),$A$1&lt;5),"",VLOOKUP(VLOOKUP($A28,Centrum!$D$3:$M$130,10,0),Centrum!$A$3:$CB$130,BE$132,0))</f>
        <v/>
      </c>
      <c r="BL28" s="318" t="str">
        <f ca="1">IF(OR(OR($A28="",TYPE(VLOOKUP($A28,Centrum!$D$3:$M$130,10,0))&gt;3),$A$1&lt;6),"",VLOOKUP(VLOOKUP($A28,Centrum!$D$3:$M$130,10,0),Centrum!$A$3:$CB$130,BL$132,0))</f>
        <v/>
      </c>
      <c r="BM28" s="318" t="str">
        <f ca="1">IF(OR(OR($A28="",TYPE(VLOOKUP($A28,Centrum!$D$3:$M$130,10,0))&gt;3),$A$1&lt;6),"",VLOOKUP(VLOOKUP($A28,Centrum!$D$3:$M$130,10,0),Centrum!$A$3:$CB$130,BM$132,0))</f>
        <v/>
      </c>
      <c r="BN28" s="318" t="str">
        <f ca="1">IF(OR(OR($A28="",TYPE(VLOOKUP($A28,Centrum!$D$3:$M$130,10,0))&gt;3),$A$1&lt;6),"",VLOOKUP(VLOOKUP($A28,Centrum!$D$3:$M$130,10,0),Centrum!$A$3:$CB$130,BN$132,0))</f>
        <v/>
      </c>
    </row>
    <row r="29" spans="1:66" x14ac:dyDescent="0.4">
      <c r="A29" s="318">
        <f ca="1">Centrum!A29</f>
        <v>27</v>
      </c>
      <c r="B29" s="421" t="str">
        <f ca="1">IF(OR($A29="",TYPE(VLOOKUP($A29,Centrum!$D$3:$M$130,10,0))&gt;3),"",VLOOKUP(VLOOKUP(A29,Centrum!$D$3:$M$130,10,0),Centrum!$A$3:$CB$130,B$132,0))</f>
        <v>42 C.T.P. Club Ořech - Leiský Leander</v>
      </c>
      <c r="C29" s="318">
        <f ca="1">IF(OR($A29="",TYPE(VLOOKUP($A29,Centrum!$D$3:$M$130,10,0))&gt;3),"",VLOOKUP($A29,Centrum!$D$3:$M$130,10,0))</f>
        <v>42</v>
      </c>
      <c r="E29" s="318">
        <f ca="1">IF(OR($A29="",TYPE(VLOOKUP($A29,Centrum!$D$3:$M$130,10,0))&gt;3),"",VLOOKUP(VLOOKUP($A29,Centrum!$D$3:$M$130,10,0),Centrum!$A$3:$CB$130,E$132,0))</f>
        <v>2</v>
      </c>
      <c r="F29" s="318">
        <f ca="1">IF(OR($A29="",TYPE(VLOOKUP($A29,Centrum!$D$3:$M$130,10,0))&gt;3),"",VLOOKUP(VLOOKUP($A29,Centrum!$D$3:$M$130,10,0),Centrum!$A$3:$CB$130,F$132,0))</f>
        <v>8</v>
      </c>
      <c r="G29" s="318">
        <f ca="1">IF(OR($A29="",TYPE(VLOOKUP($A29,Centrum!$D$3:$M$130,10,0))&gt;3),"",VLOOKUP(VLOOKUP($A29,Centrum!$D$3:$M$130,10,0),Centrum!$A$3:$CB$130,G$132,0))</f>
        <v>34</v>
      </c>
      <c r="H29" s="318">
        <f ca="1">IF($A29="","",VLOOKUP(VLOOKUP($A29,Centrum!$D$3:$M$130,10,0),Centrum!$A$3:$CB$130,H$132,0))</f>
        <v>2</v>
      </c>
      <c r="I29" s="318">
        <f ca="1">IF($A29="","",VLOOKUP(VLOOKUP($A29,Centrum!$D$3:$M$130,10,0),Centrum!$A$3:$CB$130,I$132,0))</f>
        <v>2</v>
      </c>
      <c r="J29" s="318">
        <f ca="1">IF(OR($A29="",TYPE(VLOOKUP($A29,Centrum!$D$3:$M$130,10,0))&gt;3),"",VLOOKUP(VLOOKUP($A29,Centrum!$D$3:$M$130,10,0),Centrum!$A$3:$CB$130,J$132,0))</f>
        <v>-1</v>
      </c>
      <c r="L29" s="318">
        <f ca="1">IF(OR($A29="",TYPE(VLOOKUP($A29,Centrum!$D$3:$M$130,10,0))&gt;3),"",VLOOKUP(VLOOKUP($A29,Centrum!$D$3:$M$130,10,0),Centrum!$A$3:$CB$130,L$132,0))</f>
        <v>14</v>
      </c>
      <c r="M29" s="318">
        <f ca="1">IF(OR($A29="",TYPE(VLOOKUP($A29,Centrum!$D$3:$M$130,10,0))&gt;3),"",VLOOKUP(VLOOKUP($A29,Centrum!$D$3:$M$130,10,0),Centrum!$A$3:$CB$130,M$132,0))</f>
        <v>51</v>
      </c>
      <c r="N29" s="318">
        <f ca="1">IF(OR($A29="",TYPE(VLOOKUP($A29,Centrum!$D$3:$M$130,10,0))&gt;3),"",VLOOKUP(VLOOKUP($A29,Centrum!$D$3:$M$130,10,0),Centrum!$A$3:$CB$130,N$132,0))</f>
        <v>31</v>
      </c>
      <c r="O29" s="318">
        <f ca="1">IF(OR($A29="",TYPE(VLOOKUP($A29,Centrum!$D$3:$M$130,10,0))&gt;3),"",VLOOKUP(VLOOKUP($A29,Centrum!$D$3:$M$130,10,0),Centrum!$A$3:$CB$130,O$132,0))</f>
        <v>46</v>
      </c>
      <c r="P29" s="318">
        <f ca="1">IF(OR($A29="",TYPE(VLOOKUP($A29,Centrum!$D$3:$M$130,10,0))&gt;3),"",VLOOKUP(VLOOKUP($A29,Centrum!$D$3:$M$130,10,0),Centrum!$A$3:$CB$130,P$132,0))</f>
        <v>0</v>
      </c>
      <c r="Q29" s="318">
        <f ca="1">IF(OR($A29="",TYPE(VLOOKUP($A29,Centrum!$D$3:$M$130,10,0))&gt;3),"",VLOOKUP(VLOOKUP($A29,Centrum!$D$3:$M$130,10,0),Centrum!$A$3:$CB$130,Q$132,0))</f>
        <v>0</v>
      </c>
      <c r="S29" s="318">
        <f ca="1">IF(OR($A29="",TYPE(VLOOKUP($A29,Centrum!$D$3:$M$130,10,0))&gt;3),"",VLOOKUP(VLOOKUP($A29,Centrum!$D$3:$M$130,10,0),Centrum!$A$3:$CB$130,S$132,0))</f>
        <v>14</v>
      </c>
      <c r="T29" s="318">
        <f ca="1">IF(OR($A29="",TYPE(VLOOKUP($A29,Centrum!$D$3:$M$130,10,0))&gt;3),"",VLOOKUP(VLOOKUP($A29,Centrum!$D$3:$M$130,10,0),Centrum!$A$3:$CB$130,T$132,0))</f>
        <v>0</v>
      </c>
      <c r="U29" s="318">
        <f ca="1">IF(OR($A29="",TYPE(VLOOKUP($A29,Centrum!$D$3:$M$130,10,0))&gt;3),"",VLOOKUP(VLOOKUP($A29,Centrum!$D$3:$M$130,10,0),Centrum!$A$3:$CB$130,U$132,0))</f>
        <v>-11</v>
      </c>
      <c r="AB29" s="318">
        <f ca="1">IF(OR($A29="",TYPE(VLOOKUP($A29,Centrum!$D$3:$M$130,10,0))&gt;3),"",VLOOKUP(VLOOKUP($A29,Centrum!$D$3:$M$130,10,0),Centrum!$A$3:$CB$130,AB$132,0))</f>
        <v>51</v>
      </c>
      <c r="AC29" s="318">
        <f ca="1">IF(OR($A29="",TYPE(VLOOKUP($A29,Centrum!$D$3:$M$130,10,0))&gt;3),"",VLOOKUP(VLOOKUP($A29,Centrum!$D$3:$M$130,10,0),Centrum!$A$3:$CB$130,AC$132,0))</f>
        <v>0</v>
      </c>
      <c r="AD29" s="318">
        <f ca="1">IF(OR($A29="",TYPE(VLOOKUP($A29,Centrum!$D$3:$M$130,10,0))&gt;3),"",VLOOKUP(VLOOKUP($A29,Centrum!$D$3:$M$130,10,0),Centrum!$A$3:$CB$130,AD$132,0))</f>
        <v>-3</v>
      </c>
      <c r="AK29" s="318">
        <f ca="1">IF(OR($A29="",TYPE(VLOOKUP($A29,Centrum!$D$3:$M$130,10,0))&gt;3),"",VLOOKUP(VLOOKUP($A29,Centrum!$D$3:$M$130,10,0),Centrum!$A$3:$CB$130,AK$132,0))</f>
        <v>31</v>
      </c>
      <c r="AL29" s="318">
        <f ca="1">IF(OR($A29="",TYPE(VLOOKUP($A29,Centrum!$D$3:$M$130,10,0))&gt;3),"",VLOOKUP(VLOOKUP($A29,Centrum!$D$3:$M$130,10,0),Centrum!$A$3:$CB$130,AL$132,0))</f>
        <v>1</v>
      </c>
      <c r="AM29" s="318">
        <f ca="1">IF(OR($A29="",TYPE(VLOOKUP($A29,Centrum!$D$3:$M$130,10,0))&gt;3),"",VLOOKUP(VLOOKUP($A29,Centrum!$D$3:$M$130,10,0),Centrum!$A$3:$CB$130,AM$132,0))</f>
        <v>11</v>
      </c>
      <c r="AT29" s="318">
        <f ca="1">IF(OR(OR($A29="",TYPE(VLOOKUP($A29,Centrum!$D$3:$M$130,10,0))&gt;3),$A$1&lt;4),"",VLOOKUP(VLOOKUP($A29,Centrum!$D$3:$M$130,10,0),Centrum!$A$3:$CB$130,AT$132,0))</f>
        <v>46</v>
      </c>
      <c r="AU29" s="318">
        <f ca="1">IF(OR(OR($A29="",TYPE(VLOOKUP($A29,Centrum!$D$3:$M$130,10,0))&gt;3),$A$1&lt;4),"",VLOOKUP(VLOOKUP($A29,Centrum!$D$3:$M$130,10,0),Centrum!$A$3:$CB$130,AU$132,0))</f>
        <v>1</v>
      </c>
      <c r="AV29" s="318">
        <f ca="1">IF(OR(OR($A29="",TYPE(VLOOKUP($A29,Centrum!$D$3:$M$130,10,0))&gt;3),$A$1&lt;4),"",VLOOKUP(VLOOKUP($A29,Centrum!$D$3:$M$130,10,0),Centrum!$A$3:$CB$130,AV$132,0))</f>
        <v>2</v>
      </c>
      <c r="BC29" s="318" t="str">
        <f ca="1">IF(OR(OR($A29="",TYPE(VLOOKUP($A29,Centrum!$D$3:$M$130,10,0))&gt;3),$A$1&lt;5),"",VLOOKUP(VLOOKUP($A29,Centrum!$D$3:$M$130,10,0),Centrum!$A$3:$CB$130,BC$132,0))</f>
        <v/>
      </c>
      <c r="BD29" s="318" t="str">
        <f ca="1">IF(OR(OR($A29="",TYPE(VLOOKUP($A29,Centrum!$D$3:$M$130,10,0))&gt;3),$A$1&lt;5),"",VLOOKUP(VLOOKUP($A29,Centrum!$D$3:$M$130,10,0),Centrum!$A$3:$CB$130,BD$132,0))</f>
        <v/>
      </c>
      <c r="BE29" s="318" t="str">
        <f ca="1">IF(OR(OR($A29="",TYPE(VLOOKUP($A29,Centrum!$D$3:$M$130,10,0))&gt;3),$A$1&lt;5),"",VLOOKUP(VLOOKUP($A29,Centrum!$D$3:$M$130,10,0),Centrum!$A$3:$CB$130,BE$132,0))</f>
        <v/>
      </c>
      <c r="BL29" s="318" t="str">
        <f ca="1">IF(OR(OR($A29="",TYPE(VLOOKUP($A29,Centrum!$D$3:$M$130,10,0))&gt;3),$A$1&lt;6),"",VLOOKUP(VLOOKUP($A29,Centrum!$D$3:$M$130,10,0),Centrum!$A$3:$CB$130,BL$132,0))</f>
        <v/>
      </c>
      <c r="BM29" s="318" t="str">
        <f ca="1">IF(OR(OR($A29="",TYPE(VLOOKUP($A29,Centrum!$D$3:$M$130,10,0))&gt;3),$A$1&lt;6),"",VLOOKUP(VLOOKUP($A29,Centrum!$D$3:$M$130,10,0),Centrum!$A$3:$CB$130,BM$132,0))</f>
        <v/>
      </c>
      <c r="BN29" s="318" t="str">
        <f ca="1">IF(OR(OR($A29="",TYPE(VLOOKUP($A29,Centrum!$D$3:$M$130,10,0))&gt;3),$A$1&lt;6),"",VLOOKUP(VLOOKUP($A29,Centrum!$D$3:$M$130,10,0),Centrum!$A$3:$CB$130,BN$132,0))</f>
        <v/>
      </c>
    </row>
    <row r="30" spans="1:66" x14ac:dyDescent="0.4">
      <c r="A30" s="318">
        <f ca="1">Centrum!A30</f>
        <v>28</v>
      </c>
      <c r="B30" s="421" t="str">
        <f ca="1">IF(OR($A30="",TYPE(VLOOKUP($A30,Centrum!$D$3:$M$130,10,0))&gt;3),"",VLOOKUP(VLOOKUP(A30,Centrum!$D$3:$M$130,10,0),Centrum!$A$3:$CB$130,B$132,0))</f>
        <v>29 PC Mimo Done - Zikmunda Martin</v>
      </c>
      <c r="C30" s="318">
        <f ca="1">IF(OR($A30="",TYPE(VLOOKUP($A30,Centrum!$D$3:$M$130,10,0))&gt;3),"",VLOOKUP($A30,Centrum!$D$3:$M$130,10,0))</f>
        <v>29</v>
      </c>
      <c r="E30" s="318">
        <f ca="1">IF(OR($A30="",TYPE(VLOOKUP($A30,Centrum!$D$3:$M$130,10,0))&gt;3),"",VLOOKUP(VLOOKUP($A30,Centrum!$D$3:$M$130,10,0),Centrum!$A$3:$CB$130,E$132,0))</f>
        <v>2</v>
      </c>
      <c r="F30" s="318">
        <f ca="1">IF(OR($A30="",TYPE(VLOOKUP($A30,Centrum!$D$3:$M$130,10,0))&gt;3),"",VLOOKUP(VLOOKUP($A30,Centrum!$D$3:$M$130,10,0),Centrum!$A$3:$CB$130,F$132,0))</f>
        <v>8</v>
      </c>
      <c r="G30" s="318">
        <f ca="1">IF(OR($A30="",TYPE(VLOOKUP($A30,Centrum!$D$3:$M$130,10,0))&gt;3),"",VLOOKUP(VLOOKUP($A30,Centrum!$D$3:$M$130,10,0),Centrum!$A$3:$CB$130,G$132,0))</f>
        <v>33</v>
      </c>
      <c r="H30" s="318">
        <f ca="1">IF($A30="","",VLOOKUP(VLOOKUP($A30,Centrum!$D$3:$M$130,10,0),Centrum!$A$3:$CB$130,H$132,0))</f>
        <v>1</v>
      </c>
      <c r="I30" s="318">
        <f ca="1">IF($A30="","",VLOOKUP(VLOOKUP($A30,Centrum!$D$3:$M$130,10,0),Centrum!$A$3:$CB$130,I$132,0))</f>
        <v>2</v>
      </c>
      <c r="J30" s="318">
        <f ca="1">IF(OR($A30="",TYPE(VLOOKUP($A30,Centrum!$D$3:$M$130,10,0))&gt;3),"",VLOOKUP(VLOOKUP($A30,Centrum!$D$3:$M$130,10,0),Centrum!$A$3:$CB$130,J$132,0))</f>
        <v>10</v>
      </c>
      <c r="L30" s="318">
        <f ca="1">IF(OR($A30="",TYPE(VLOOKUP($A30,Centrum!$D$3:$M$130,10,0))&gt;3),"",VLOOKUP(VLOOKUP($A30,Centrum!$D$3:$M$130,10,0),Centrum!$A$3:$CB$130,L$132,0))</f>
        <v>1</v>
      </c>
      <c r="M30" s="318">
        <f ca="1">IF(OR($A30="",TYPE(VLOOKUP($A30,Centrum!$D$3:$M$130,10,0))&gt;3),"",VLOOKUP(VLOOKUP($A30,Centrum!$D$3:$M$130,10,0),Centrum!$A$3:$CB$130,M$132,0))</f>
        <v>31</v>
      </c>
      <c r="N30" s="318">
        <f ca="1">IF(OR($A30="",TYPE(VLOOKUP($A30,Centrum!$D$3:$M$130,10,0))&gt;3),"",VLOOKUP(VLOOKUP($A30,Centrum!$D$3:$M$130,10,0),Centrum!$A$3:$CB$130,N$132,0))</f>
        <v>24</v>
      </c>
      <c r="O30" s="318">
        <f ca="1">IF(OR($A30="",TYPE(VLOOKUP($A30,Centrum!$D$3:$M$130,10,0))&gt;3),"",VLOOKUP(VLOOKUP($A30,Centrum!$D$3:$M$130,10,0),Centrum!$A$3:$CB$130,O$132,0))</f>
        <v>30</v>
      </c>
      <c r="P30" s="318">
        <f ca="1">IF(OR($A30="",TYPE(VLOOKUP($A30,Centrum!$D$3:$M$130,10,0))&gt;3),"",VLOOKUP(VLOOKUP($A30,Centrum!$D$3:$M$130,10,0),Centrum!$A$3:$CB$130,P$132,0))</f>
        <v>0</v>
      </c>
      <c r="Q30" s="318">
        <f ca="1">IF(OR($A30="",TYPE(VLOOKUP($A30,Centrum!$D$3:$M$130,10,0))&gt;3),"",VLOOKUP(VLOOKUP($A30,Centrum!$D$3:$M$130,10,0),Centrum!$A$3:$CB$130,Q$132,0))</f>
        <v>0</v>
      </c>
      <c r="S30" s="318">
        <f ca="1">IF(OR($A30="",TYPE(VLOOKUP($A30,Centrum!$D$3:$M$130,10,0))&gt;3),"",VLOOKUP(VLOOKUP($A30,Centrum!$D$3:$M$130,10,0),Centrum!$A$3:$CB$130,S$132,0))</f>
        <v>1</v>
      </c>
      <c r="T30" s="318">
        <f ca="1">IF(OR($A30="",TYPE(VLOOKUP($A30,Centrum!$D$3:$M$130,10,0))&gt;3),"",VLOOKUP(VLOOKUP($A30,Centrum!$D$3:$M$130,10,0),Centrum!$A$3:$CB$130,T$132,0))</f>
        <v>0</v>
      </c>
      <c r="U30" s="318">
        <f ca="1">IF(OR($A30="",TYPE(VLOOKUP($A30,Centrum!$D$3:$M$130,10,0))&gt;3),"",VLOOKUP(VLOOKUP($A30,Centrum!$D$3:$M$130,10,0),Centrum!$A$3:$CB$130,U$132,0))</f>
        <v>-4</v>
      </c>
      <c r="AB30" s="318">
        <f ca="1">IF(OR($A30="",TYPE(VLOOKUP($A30,Centrum!$D$3:$M$130,10,0))&gt;3),"",VLOOKUP(VLOOKUP($A30,Centrum!$D$3:$M$130,10,0),Centrum!$A$3:$CB$130,AB$132,0))</f>
        <v>31</v>
      </c>
      <c r="AC30" s="318">
        <f ca="1">IF(OR($A30="",TYPE(VLOOKUP($A30,Centrum!$D$3:$M$130,10,0))&gt;3),"",VLOOKUP(VLOOKUP($A30,Centrum!$D$3:$M$130,10,0),Centrum!$A$3:$CB$130,AC$132,0))</f>
        <v>1</v>
      </c>
      <c r="AD30" s="318">
        <f ca="1">IF(OR($A30="",TYPE(VLOOKUP($A30,Centrum!$D$3:$M$130,10,0))&gt;3),"",VLOOKUP(VLOOKUP($A30,Centrum!$D$3:$M$130,10,0),Centrum!$A$3:$CB$130,AD$132,0))</f>
        <v>9</v>
      </c>
      <c r="AK30" s="318">
        <f ca="1">IF(OR($A30="",TYPE(VLOOKUP($A30,Centrum!$D$3:$M$130,10,0))&gt;3),"",VLOOKUP(VLOOKUP($A30,Centrum!$D$3:$M$130,10,0),Centrum!$A$3:$CB$130,AK$132,0))</f>
        <v>24</v>
      </c>
      <c r="AL30" s="318">
        <f ca="1">IF(OR($A30="",TYPE(VLOOKUP($A30,Centrum!$D$3:$M$130,10,0))&gt;3),"",VLOOKUP(VLOOKUP($A30,Centrum!$D$3:$M$130,10,0),Centrum!$A$3:$CB$130,AL$132,0))</f>
        <v>0</v>
      </c>
      <c r="AM30" s="318">
        <f ca="1">IF(OR($A30="",TYPE(VLOOKUP($A30,Centrum!$D$3:$M$130,10,0))&gt;3),"",VLOOKUP(VLOOKUP($A30,Centrum!$D$3:$M$130,10,0),Centrum!$A$3:$CB$130,AM$132,0))</f>
        <v>-1</v>
      </c>
      <c r="AT30" s="318">
        <f ca="1">IF(OR(OR($A30="",TYPE(VLOOKUP($A30,Centrum!$D$3:$M$130,10,0))&gt;3),$A$1&lt;4),"",VLOOKUP(VLOOKUP($A30,Centrum!$D$3:$M$130,10,0),Centrum!$A$3:$CB$130,AT$132,0))</f>
        <v>30</v>
      </c>
      <c r="AU30" s="318">
        <f ca="1">IF(OR(OR($A30="",TYPE(VLOOKUP($A30,Centrum!$D$3:$M$130,10,0))&gt;3),$A$1&lt;4),"",VLOOKUP(VLOOKUP($A30,Centrum!$D$3:$M$130,10,0),Centrum!$A$3:$CB$130,AU$132,0))</f>
        <v>1</v>
      </c>
      <c r="AV30" s="318">
        <f ca="1">IF(OR(OR($A30="",TYPE(VLOOKUP($A30,Centrum!$D$3:$M$130,10,0))&gt;3),$A$1&lt;4),"",VLOOKUP(VLOOKUP($A30,Centrum!$D$3:$M$130,10,0),Centrum!$A$3:$CB$130,AV$132,0))</f>
        <v>6</v>
      </c>
      <c r="BC30" s="318" t="str">
        <f ca="1">IF(OR(OR($A30="",TYPE(VLOOKUP($A30,Centrum!$D$3:$M$130,10,0))&gt;3),$A$1&lt;5),"",VLOOKUP(VLOOKUP($A30,Centrum!$D$3:$M$130,10,0),Centrum!$A$3:$CB$130,BC$132,0))</f>
        <v/>
      </c>
      <c r="BD30" s="318" t="str">
        <f ca="1">IF(OR(OR($A30="",TYPE(VLOOKUP($A30,Centrum!$D$3:$M$130,10,0))&gt;3),$A$1&lt;5),"",VLOOKUP(VLOOKUP($A30,Centrum!$D$3:$M$130,10,0),Centrum!$A$3:$CB$130,BD$132,0))</f>
        <v/>
      </c>
      <c r="BE30" s="318" t="str">
        <f ca="1">IF(OR(OR($A30="",TYPE(VLOOKUP($A30,Centrum!$D$3:$M$130,10,0))&gt;3),$A$1&lt;5),"",VLOOKUP(VLOOKUP($A30,Centrum!$D$3:$M$130,10,0),Centrum!$A$3:$CB$130,BE$132,0))</f>
        <v/>
      </c>
      <c r="BL30" s="318" t="str">
        <f ca="1">IF(OR(OR($A30="",TYPE(VLOOKUP($A30,Centrum!$D$3:$M$130,10,0))&gt;3),$A$1&lt;6),"",VLOOKUP(VLOOKUP($A30,Centrum!$D$3:$M$130,10,0),Centrum!$A$3:$CB$130,BL$132,0))</f>
        <v/>
      </c>
      <c r="BM30" s="318" t="str">
        <f ca="1">IF(OR(OR($A30="",TYPE(VLOOKUP($A30,Centrum!$D$3:$M$130,10,0))&gt;3),$A$1&lt;6),"",VLOOKUP(VLOOKUP($A30,Centrum!$D$3:$M$130,10,0),Centrum!$A$3:$CB$130,BM$132,0))</f>
        <v/>
      </c>
      <c r="BN30" s="318" t="str">
        <f ca="1">IF(OR(OR($A30="",TYPE(VLOOKUP($A30,Centrum!$D$3:$M$130,10,0))&gt;3),$A$1&lt;6),"",VLOOKUP(VLOOKUP($A30,Centrum!$D$3:$M$130,10,0),Centrum!$A$3:$CB$130,BN$132,0))</f>
        <v/>
      </c>
    </row>
    <row r="31" spans="1:66" x14ac:dyDescent="0.4">
      <c r="A31" s="318">
        <f ca="1">Centrum!A31</f>
        <v>29</v>
      </c>
      <c r="B31" s="421" t="str">
        <f ca="1">IF(OR($A31="",TYPE(VLOOKUP($A31,Centrum!$D$3:$M$130,10,0))&gt;3),"",VLOOKUP(VLOOKUP(A31,Centrum!$D$3:$M$130,10,0),Centrum!$A$3:$CB$130,B$132,0))</f>
        <v>11 Petank Club Praha - Klouda Aleš</v>
      </c>
      <c r="C31" s="318">
        <f ca="1">IF(OR($A31="",TYPE(VLOOKUP($A31,Centrum!$D$3:$M$130,10,0))&gt;3),"",VLOOKUP($A31,Centrum!$D$3:$M$130,10,0))</f>
        <v>11</v>
      </c>
      <c r="E31" s="318">
        <f ca="1">IF(OR($A31="",TYPE(VLOOKUP($A31,Centrum!$D$3:$M$130,10,0))&gt;3),"",VLOOKUP(VLOOKUP($A31,Centrum!$D$3:$M$130,10,0),Centrum!$A$3:$CB$130,E$132,0))</f>
        <v>2</v>
      </c>
      <c r="F31" s="318">
        <f ca="1">IF(OR($A31="",TYPE(VLOOKUP($A31,Centrum!$D$3:$M$130,10,0))&gt;3),"",VLOOKUP(VLOOKUP($A31,Centrum!$D$3:$M$130,10,0),Centrum!$A$3:$CB$130,F$132,0))</f>
        <v>8</v>
      </c>
      <c r="G31" s="318">
        <f ca="1">IF(OR($A31="",TYPE(VLOOKUP($A31,Centrum!$D$3:$M$130,10,0))&gt;3),"",VLOOKUP(VLOOKUP($A31,Centrum!$D$3:$M$130,10,0),Centrum!$A$3:$CB$130,G$132,0))</f>
        <v>30</v>
      </c>
      <c r="H31" s="318">
        <f ca="1">IF($A31="","",VLOOKUP(VLOOKUP($A31,Centrum!$D$3:$M$130,10,0),Centrum!$A$3:$CB$130,H$132,0))</f>
        <v>3</v>
      </c>
      <c r="I31" s="318">
        <f ca="1">IF($A31="","",VLOOKUP(VLOOKUP($A31,Centrum!$D$3:$M$130,10,0),Centrum!$A$3:$CB$130,I$132,0))</f>
        <v>0</v>
      </c>
      <c r="J31" s="318">
        <f ca="1">IF(OR($A31="",TYPE(VLOOKUP($A31,Centrum!$D$3:$M$130,10,0))&gt;3),"",VLOOKUP(VLOOKUP($A31,Centrum!$D$3:$M$130,10,0),Centrum!$A$3:$CB$130,J$132,0))</f>
        <v>6</v>
      </c>
      <c r="L31" s="318">
        <f ca="1">IF(OR($A31="",TYPE(VLOOKUP($A31,Centrum!$D$3:$M$130,10,0))&gt;3),"",VLOOKUP(VLOOKUP($A31,Centrum!$D$3:$M$130,10,0),Centrum!$A$3:$CB$130,L$132,0))</f>
        <v>39</v>
      </c>
      <c r="M31" s="318">
        <f ca="1">IF(OR($A31="",TYPE(VLOOKUP($A31,Centrum!$D$3:$M$130,10,0))&gt;3),"",VLOOKUP(VLOOKUP($A31,Centrum!$D$3:$M$130,10,0),Centrum!$A$3:$CB$130,M$132,0))</f>
        <v>40</v>
      </c>
      <c r="N31" s="318">
        <f ca="1">IF(OR($A31="",TYPE(VLOOKUP($A31,Centrum!$D$3:$M$130,10,0))&gt;3),"",VLOOKUP(VLOOKUP($A31,Centrum!$D$3:$M$130,10,0),Centrum!$A$3:$CB$130,N$132,0))</f>
        <v>41</v>
      </c>
      <c r="O31" s="318">
        <f ca="1">IF(OR($A31="",TYPE(VLOOKUP($A31,Centrum!$D$3:$M$130,10,0))&gt;3),"",VLOOKUP(VLOOKUP($A31,Centrum!$D$3:$M$130,10,0),Centrum!$A$3:$CB$130,O$132,0))</f>
        <v>44</v>
      </c>
      <c r="P31" s="318">
        <f ca="1">IF(OR($A31="",TYPE(VLOOKUP($A31,Centrum!$D$3:$M$130,10,0))&gt;3),"",VLOOKUP(VLOOKUP($A31,Centrum!$D$3:$M$130,10,0),Centrum!$A$3:$CB$130,P$132,0))</f>
        <v>0</v>
      </c>
      <c r="Q31" s="318">
        <f ca="1">IF(OR($A31="",TYPE(VLOOKUP($A31,Centrum!$D$3:$M$130,10,0))&gt;3),"",VLOOKUP(VLOOKUP($A31,Centrum!$D$3:$M$130,10,0),Centrum!$A$3:$CB$130,Q$132,0))</f>
        <v>0</v>
      </c>
      <c r="S31" s="318">
        <f ca="1">IF(OR($A31="",TYPE(VLOOKUP($A31,Centrum!$D$3:$M$130,10,0))&gt;3),"",VLOOKUP(VLOOKUP($A31,Centrum!$D$3:$M$130,10,0),Centrum!$A$3:$CB$130,S$132,0))</f>
        <v>39</v>
      </c>
      <c r="T31" s="318">
        <f ca="1">IF(OR($A31="",TYPE(VLOOKUP($A31,Centrum!$D$3:$M$130,10,0))&gt;3),"",VLOOKUP(VLOOKUP($A31,Centrum!$D$3:$M$130,10,0),Centrum!$A$3:$CB$130,T$132,0))</f>
        <v>0</v>
      </c>
      <c r="U31" s="318">
        <f ca="1">IF(OR($A31="",TYPE(VLOOKUP($A31,Centrum!$D$3:$M$130,10,0))&gt;3),"",VLOOKUP(VLOOKUP($A31,Centrum!$D$3:$M$130,10,0),Centrum!$A$3:$CB$130,U$132,0))</f>
        <v>-1</v>
      </c>
      <c r="AB31" s="318">
        <f ca="1">IF(OR($A31="",TYPE(VLOOKUP($A31,Centrum!$D$3:$M$130,10,0))&gt;3),"",VLOOKUP(VLOOKUP($A31,Centrum!$D$3:$M$130,10,0),Centrum!$A$3:$CB$130,AB$132,0))</f>
        <v>40</v>
      </c>
      <c r="AC31" s="318">
        <f ca="1">IF(OR($A31="",TYPE(VLOOKUP($A31,Centrum!$D$3:$M$130,10,0))&gt;3),"",VLOOKUP(VLOOKUP($A31,Centrum!$D$3:$M$130,10,0),Centrum!$A$3:$CB$130,AC$132,0))</f>
        <v>1</v>
      </c>
      <c r="AD31" s="318">
        <f ca="1">IF(OR($A31="",TYPE(VLOOKUP($A31,Centrum!$D$3:$M$130,10,0))&gt;3),"",VLOOKUP(VLOOKUP($A31,Centrum!$D$3:$M$130,10,0),Centrum!$A$3:$CB$130,AD$132,0))</f>
        <v>4</v>
      </c>
      <c r="AK31" s="318">
        <f ca="1">IF(OR($A31="",TYPE(VLOOKUP($A31,Centrum!$D$3:$M$130,10,0))&gt;3),"",VLOOKUP(VLOOKUP($A31,Centrum!$D$3:$M$130,10,0),Centrum!$A$3:$CB$130,AK$132,0))</f>
        <v>41</v>
      </c>
      <c r="AL31" s="318">
        <f ca="1">IF(OR($A31="",TYPE(VLOOKUP($A31,Centrum!$D$3:$M$130,10,0))&gt;3),"",VLOOKUP(VLOOKUP($A31,Centrum!$D$3:$M$130,10,0),Centrum!$A$3:$CB$130,AL$132,0))</f>
        <v>1</v>
      </c>
      <c r="AM31" s="318">
        <f ca="1">IF(OR($A31="",TYPE(VLOOKUP($A31,Centrum!$D$3:$M$130,10,0))&gt;3),"",VLOOKUP(VLOOKUP($A31,Centrum!$D$3:$M$130,10,0),Centrum!$A$3:$CB$130,AM$132,0))</f>
        <v>9</v>
      </c>
      <c r="AT31" s="318">
        <f ca="1">IF(OR(OR($A31="",TYPE(VLOOKUP($A31,Centrum!$D$3:$M$130,10,0))&gt;3),$A$1&lt;4),"",VLOOKUP(VLOOKUP($A31,Centrum!$D$3:$M$130,10,0),Centrum!$A$3:$CB$130,AT$132,0))</f>
        <v>44</v>
      </c>
      <c r="AU31" s="318">
        <f ca="1">IF(OR(OR($A31="",TYPE(VLOOKUP($A31,Centrum!$D$3:$M$130,10,0))&gt;3),$A$1&lt;4),"",VLOOKUP(VLOOKUP($A31,Centrum!$D$3:$M$130,10,0),Centrum!$A$3:$CB$130,AU$132,0))</f>
        <v>0</v>
      </c>
      <c r="AV31" s="318">
        <f ca="1">IF(OR(OR($A31="",TYPE(VLOOKUP($A31,Centrum!$D$3:$M$130,10,0))&gt;3),$A$1&lt;4),"",VLOOKUP(VLOOKUP($A31,Centrum!$D$3:$M$130,10,0),Centrum!$A$3:$CB$130,AV$132,0))</f>
        <v>-6</v>
      </c>
      <c r="BC31" s="318" t="str">
        <f ca="1">IF(OR(OR($A31="",TYPE(VLOOKUP($A31,Centrum!$D$3:$M$130,10,0))&gt;3),$A$1&lt;5),"",VLOOKUP(VLOOKUP($A31,Centrum!$D$3:$M$130,10,0),Centrum!$A$3:$CB$130,BC$132,0))</f>
        <v/>
      </c>
      <c r="BD31" s="318" t="str">
        <f ca="1">IF(OR(OR($A31="",TYPE(VLOOKUP($A31,Centrum!$D$3:$M$130,10,0))&gt;3),$A$1&lt;5),"",VLOOKUP(VLOOKUP($A31,Centrum!$D$3:$M$130,10,0),Centrum!$A$3:$CB$130,BD$132,0))</f>
        <v/>
      </c>
      <c r="BE31" s="318" t="str">
        <f ca="1">IF(OR(OR($A31="",TYPE(VLOOKUP($A31,Centrum!$D$3:$M$130,10,0))&gt;3),$A$1&lt;5),"",VLOOKUP(VLOOKUP($A31,Centrum!$D$3:$M$130,10,0),Centrum!$A$3:$CB$130,BE$132,0))</f>
        <v/>
      </c>
      <c r="BL31" s="318" t="str">
        <f ca="1">IF(OR(OR($A31="",TYPE(VLOOKUP($A31,Centrum!$D$3:$M$130,10,0))&gt;3),$A$1&lt;6),"",VLOOKUP(VLOOKUP($A31,Centrum!$D$3:$M$130,10,0),Centrum!$A$3:$CB$130,BL$132,0))</f>
        <v/>
      </c>
      <c r="BM31" s="318" t="str">
        <f ca="1">IF(OR(OR($A31="",TYPE(VLOOKUP($A31,Centrum!$D$3:$M$130,10,0))&gt;3),$A$1&lt;6),"",VLOOKUP(VLOOKUP($A31,Centrum!$D$3:$M$130,10,0),Centrum!$A$3:$CB$130,BM$132,0))</f>
        <v/>
      </c>
      <c r="BN31" s="318" t="str">
        <f ca="1">IF(OR(OR($A31="",TYPE(VLOOKUP($A31,Centrum!$D$3:$M$130,10,0))&gt;3),$A$1&lt;6),"",VLOOKUP(VLOOKUP($A31,Centrum!$D$3:$M$130,10,0),Centrum!$A$3:$CB$130,BN$132,0))</f>
        <v/>
      </c>
    </row>
    <row r="32" spans="1:66" x14ac:dyDescent="0.4">
      <c r="A32" s="318">
        <f ca="1">Centrum!A32</f>
        <v>30</v>
      </c>
      <c r="B32" s="421" t="str">
        <f ca="1">IF(OR($A32="",TYPE(VLOOKUP($A32,Centrum!$D$3:$M$130,10,0))&gt;3),"",VLOOKUP(VLOOKUP(A32,Centrum!$D$3:$M$130,10,0),Centrum!$A$3:$CB$130,B$132,0))</f>
        <v xml:space="preserve">53   - Lars Eriksen, Dánsko  </v>
      </c>
      <c r="C32" s="318">
        <f ca="1">IF(OR($A32="",TYPE(VLOOKUP($A32,Centrum!$D$3:$M$130,10,0))&gt;3),"",VLOOKUP($A32,Centrum!$D$3:$M$130,10,0))</f>
        <v>53</v>
      </c>
      <c r="E32" s="318">
        <f ca="1">IF(OR($A32="",TYPE(VLOOKUP($A32,Centrum!$D$3:$M$130,10,0))&gt;3),"",VLOOKUP(VLOOKUP($A32,Centrum!$D$3:$M$130,10,0),Centrum!$A$3:$CB$130,E$132,0))</f>
        <v>2</v>
      </c>
      <c r="F32" s="318">
        <f ca="1">IF(OR($A32="",TYPE(VLOOKUP($A32,Centrum!$D$3:$M$130,10,0))&gt;3),"",VLOOKUP(VLOOKUP($A32,Centrum!$D$3:$M$130,10,0),Centrum!$A$3:$CB$130,F$132,0))</f>
        <v>8</v>
      </c>
      <c r="G32" s="318">
        <f ca="1">IF(OR($A32="",TYPE(VLOOKUP($A32,Centrum!$D$3:$M$130,10,0))&gt;3),"",VLOOKUP(VLOOKUP($A32,Centrum!$D$3:$M$130,10,0),Centrum!$A$3:$CB$130,G$132,0))</f>
        <v>30</v>
      </c>
      <c r="H32" s="318">
        <f ca="1">IF($A32="","",VLOOKUP(VLOOKUP($A32,Centrum!$D$3:$M$130,10,0),Centrum!$A$3:$CB$130,H$132,0))</f>
        <v>3</v>
      </c>
      <c r="I32" s="318">
        <f ca="1">IF($A32="","",VLOOKUP(VLOOKUP($A32,Centrum!$D$3:$M$130,10,0),Centrum!$A$3:$CB$130,I$132,0))</f>
        <v>2</v>
      </c>
      <c r="J32" s="318">
        <f ca="1">IF(OR($A32="",TYPE(VLOOKUP($A32,Centrum!$D$3:$M$130,10,0))&gt;3),"",VLOOKUP(VLOOKUP($A32,Centrum!$D$3:$M$130,10,0),Centrum!$A$3:$CB$130,J$132,0))</f>
        <v>0</v>
      </c>
      <c r="L32" s="318">
        <f ca="1">IF(OR($A32="",TYPE(VLOOKUP($A32,Centrum!$D$3:$M$130,10,0))&gt;3),"",VLOOKUP(VLOOKUP($A32,Centrum!$D$3:$M$130,10,0),Centrum!$A$3:$CB$130,L$132,0))</f>
        <v>25</v>
      </c>
      <c r="M32" s="318">
        <f ca="1">IF(OR($A32="",TYPE(VLOOKUP($A32,Centrum!$D$3:$M$130,10,0))&gt;3),"",VLOOKUP(VLOOKUP($A32,Centrum!$D$3:$M$130,10,0),Centrum!$A$3:$CB$130,M$132,0))</f>
        <v>21</v>
      </c>
      <c r="N32" s="318">
        <f ca="1">IF(OR($A32="",TYPE(VLOOKUP($A32,Centrum!$D$3:$M$130,10,0))&gt;3),"",VLOOKUP(VLOOKUP($A32,Centrum!$D$3:$M$130,10,0),Centrum!$A$3:$CB$130,N$132,0))</f>
        <v>38</v>
      </c>
      <c r="O32" s="318">
        <f ca="1">IF(OR($A32="",TYPE(VLOOKUP($A32,Centrum!$D$3:$M$130,10,0))&gt;3),"",VLOOKUP(VLOOKUP($A32,Centrum!$D$3:$M$130,10,0),Centrum!$A$3:$CB$130,O$132,0))</f>
        <v>19</v>
      </c>
      <c r="P32" s="318">
        <f ca="1">IF(OR($A32="",TYPE(VLOOKUP($A32,Centrum!$D$3:$M$130,10,0))&gt;3),"",VLOOKUP(VLOOKUP($A32,Centrum!$D$3:$M$130,10,0),Centrum!$A$3:$CB$130,P$132,0))</f>
        <v>0</v>
      </c>
      <c r="Q32" s="318">
        <f ca="1">IF(OR($A32="",TYPE(VLOOKUP($A32,Centrum!$D$3:$M$130,10,0))&gt;3),"",VLOOKUP(VLOOKUP($A32,Centrum!$D$3:$M$130,10,0),Centrum!$A$3:$CB$130,Q$132,0))</f>
        <v>0</v>
      </c>
      <c r="S32" s="318">
        <f ca="1">IF(OR($A32="",TYPE(VLOOKUP($A32,Centrum!$D$3:$M$130,10,0))&gt;3),"",VLOOKUP(VLOOKUP($A32,Centrum!$D$3:$M$130,10,0),Centrum!$A$3:$CB$130,S$132,0))</f>
        <v>25</v>
      </c>
      <c r="T32" s="318">
        <f ca="1">IF(OR($A32="",TYPE(VLOOKUP($A32,Centrum!$D$3:$M$130,10,0))&gt;3),"",VLOOKUP(VLOOKUP($A32,Centrum!$D$3:$M$130,10,0),Centrum!$A$3:$CB$130,T$132,0))</f>
        <v>1</v>
      </c>
      <c r="U32" s="318">
        <f ca="1">IF(OR($A32="",TYPE(VLOOKUP($A32,Centrum!$D$3:$M$130,10,0))&gt;3),"",VLOOKUP(VLOOKUP($A32,Centrum!$D$3:$M$130,10,0),Centrum!$A$3:$CB$130,U$132,0))</f>
        <v>7</v>
      </c>
      <c r="AB32" s="318">
        <f ca="1">IF(OR($A32="",TYPE(VLOOKUP($A32,Centrum!$D$3:$M$130,10,0))&gt;3),"",VLOOKUP(VLOOKUP($A32,Centrum!$D$3:$M$130,10,0),Centrum!$A$3:$CB$130,AB$132,0))</f>
        <v>21</v>
      </c>
      <c r="AC32" s="318">
        <f ca="1">IF(OR($A32="",TYPE(VLOOKUP($A32,Centrum!$D$3:$M$130,10,0))&gt;3),"",VLOOKUP(VLOOKUP($A32,Centrum!$D$3:$M$130,10,0),Centrum!$A$3:$CB$130,AC$132,0))</f>
        <v>0</v>
      </c>
      <c r="AD32" s="318">
        <f ca="1">IF(OR($A32="",TYPE(VLOOKUP($A32,Centrum!$D$3:$M$130,10,0))&gt;3),"",VLOOKUP(VLOOKUP($A32,Centrum!$D$3:$M$130,10,0),Centrum!$A$3:$CB$130,AD$132,0))</f>
        <v>-3</v>
      </c>
      <c r="AK32" s="318">
        <f ca="1">IF(OR($A32="",TYPE(VLOOKUP($A32,Centrum!$D$3:$M$130,10,0))&gt;3),"",VLOOKUP(VLOOKUP($A32,Centrum!$D$3:$M$130,10,0),Centrum!$A$3:$CB$130,AK$132,0))</f>
        <v>38</v>
      </c>
      <c r="AL32" s="318">
        <f ca="1">IF(OR($A32="",TYPE(VLOOKUP($A32,Centrum!$D$3:$M$130,10,0))&gt;3),"",VLOOKUP(VLOOKUP($A32,Centrum!$D$3:$M$130,10,0),Centrum!$A$3:$CB$130,AL$132,0))</f>
        <v>0</v>
      </c>
      <c r="AM32" s="318">
        <f ca="1">IF(OR($A32="",TYPE(VLOOKUP($A32,Centrum!$D$3:$M$130,10,0))&gt;3),"",VLOOKUP(VLOOKUP($A32,Centrum!$D$3:$M$130,10,0),Centrum!$A$3:$CB$130,AM$132,0))</f>
        <v>-5</v>
      </c>
      <c r="AT32" s="318">
        <f ca="1">IF(OR(OR($A32="",TYPE(VLOOKUP($A32,Centrum!$D$3:$M$130,10,0))&gt;3),$A$1&lt;4),"",VLOOKUP(VLOOKUP($A32,Centrum!$D$3:$M$130,10,0),Centrum!$A$3:$CB$130,AT$132,0))</f>
        <v>19</v>
      </c>
      <c r="AU32" s="318">
        <f ca="1">IF(OR(OR($A32="",TYPE(VLOOKUP($A32,Centrum!$D$3:$M$130,10,0))&gt;3),$A$1&lt;4),"",VLOOKUP(VLOOKUP($A32,Centrum!$D$3:$M$130,10,0),Centrum!$A$3:$CB$130,AU$132,0))</f>
        <v>1</v>
      </c>
      <c r="AV32" s="318">
        <f ca="1">IF(OR(OR($A32="",TYPE(VLOOKUP($A32,Centrum!$D$3:$M$130,10,0))&gt;3),$A$1&lt;4),"",VLOOKUP(VLOOKUP($A32,Centrum!$D$3:$M$130,10,0),Centrum!$A$3:$CB$130,AV$132,0))</f>
        <v>1</v>
      </c>
      <c r="BC32" s="318" t="str">
        <f ca="1">IF(OR(OR($A32="",TYPE(VLOOKUP($A32,Centrum!$D$3:$M$130,10,0))&gt;3),$A$1&lt;5),"",VLOOKUP(VLOOKUP($A32,Centrum!$D$3:$M$130,10,0),Centrum!$A$3:$CB$130,BC$132,0))</f>
        <v/>
      </c>
      <c r="BD32" s="318" t="str">
        <f ca="1">IF(OR(OR($A32="",TYPE(VLOOKUP($A32,Centrum!$D$3:$M$130,10,0))&gt;3),$A$1&lt;5),"",VLOOKUP(VLOOKUP($A32,Centrum!$D$3:$M$130,10,0),Centrum!$A$3:$CB$130,BD$132,0))</f>
        <v/>
      </c>
      <c r="BE32" s="318" t="str">
        <f ca="1">IF(OR(OR($A32="",TYPE(VLOOKUP($A32,Centrum!$D$3:$M$130,10,0))&gt;3),$A$1&lt;5),"",VLOOKUP(VLOOKUP($A32,Centrum!$D$3:$M$130,10,0),Centrum!$A$3:$CB$130,BE$132,0))</f>
        <v/>
      </c>
      <c r="BL32" s="318" t="str">
        <f ca="1">IF(OR(OR($A32="",TYPE(VLOOKUP($A32,Centrum!$D$3:$M$130,10,0))&gt;3),$A$1&lt;6),"",VLOOKUP(VLOOKUP($A32,Centrum!$D$3:$M$130,10,0),Centrum!$A$3:$CB$130,BL$132,0))</f>
        <v/>
      </c>
      <c r="BM32" s="318" t="str">
        <f ca="1">IF(OR(OR($A32="",TYPE(VLOOKUP($A32,Centrum!$D$3:$M$130,10,0))&gt;3),$A$1&lt;6),"",VLOOKUP(VLOOKUP($A32,Centrum!$D$3:$M$130,10,0),Centrum!$A$3:$CB$130,BM$132,0))</f>
        <v/>
      </c>
      <c r="BN32" s="318" t="str">
        <f ca="1">IF(OR(OR($A32="",TYPE(VLOOKUP($A32,Centrum!$D$3:$M$130,10,0))&gt;3),$A$1&lt;6),"",VLOOKUP(VLOOKUP($A32,Centrum!$D$3:$M$130,10,0),Centrum!$A$3:$CB$130,BN$132,0))</f>
        <v/>
      </c>
    </row>
    <row r="33" spans="1:66" x14ac:dyDescent="0.4">
      <c r="A33" s="318">
        <f ca="1">Centrum!A33</f>
        <v>31</v>
      </c>
      <c r="B33" s="421" t="str">
        <f ca="1">IF(OR($A33="",TYPE(VLOOKUP($A33,Centrum!$D$3:$M$130,10,0))&gt;3),"",VLOOKUP(VLOOKUP(A33,Centrum!$D$3:$M$130,10,0),Centrum!$A$3:$CB$130,B$132,0))</f>
        <v xml:space="preserve">57   - Bo, Dánsko  </v>
      </c>
      <c r="C33" s="318">
        <f ca="1">IF(OR($A33="",TYPE(VLOOKUP($A33,Centrum!$D$3:$M$130,10,0))&gt;3),"",VLOOKUP($A33,Centrum!$D$3:$M$130,10,0))</f>
        <v>57</v>
      </c>
      <c r="E33" s="318">
        <f ca="1">IF(OR($A33="",TYPE(VLOOKUP($A33,Centrum!$D$3:$M$130,10,0))&gt;3),"",VLOOKUP(VLOOKUP($A33,Centrum!$D$3:$M$130,10,0),Centrum!$A$3:$CB$130,E$132,0))</f>
        <v>2</v>
      </c>
      <c r="F33" s="318">
        <f ca="1">IF(OR($A33="",TYPE(VLOOKUP($A33,Centrum!$D$3:$M$130,10,0))&gt;3),"",VLOOKUP(VLOOKUP($A33,Centrum!$D$3:$M$130,10,0),Centrum!$A$3:$CB$130,F$132,0))</f>
        <v>8</v>
      </c>
      <c r="G33" s="318">
        <f ca="1">IF(OR($A33="",TYPE(VLOOKUP($A33,Centrum!$D$3:$M$130,10,0))&gt;3),"",VLOOKUP(VLOOKUP($A33,Centrum!$D$3:$M$130,10,0),Centrum!$A$3:$CB$130,G$132,0))</f>
        <v>28</v>
      </c>
      <c r="H33" s="318">
        <f ca="1">IF($A33="","",VLOOKUP(VLOOKUP($A33,Centrum!$D$3:$M$130,10,0),Centrum!$A$3:$CB$130,H$132,0))</f>
        <v>2</v>
      </c>
      <c r="I33" s="318">
        <f ca="1">IF($A33="","",VLOOKUP(VLOOKUP($A33,Centrum!$D$3:$M$130,10,0),Centrum!$A$3:$CB$130,I$132,0))</f>
        <v>0</v>
      </c>
      <c r="J33" s="318">
        <f ca="1">IF(OR($A33="",TYPE(VLOOKUP($A33,Centrum!$D$3:$M$130,10,0))&gt;3),"",VLOOKUP(VLOOKUP($A33,Centrum!$D$3:$M$130,10,0),Centrum!$A$3:$CB$130,J$132,0))</f>
        <v>-1</v>
      </c>
      <c r="L33" s="318" t="str">
        <f ca="1">IF(OR($A33="",TYPE(VLOOKUP($A33,Centrum!$D$3:$M$130,10,0))&gt;3),"",VLOOKUP(VLOOKUP($A33,Centrum!$D$3:$M$130,10,0),Centrum!$A$3:$CB$130,L$132,0))</f>
        <v/>
      </c>
      <c r="M33" s="318">
        <f ca="1">IF(OR($A33="",TYPE(VLOOKUP($A33,Centrum!$D$3:$M$130,10,0))&gt;3),"",VLOOKUP(VLOOKUP($A33,Centrum!$D$3:$M$130,10,0),Centrum!$A$3:$CB$130,M$132,0))</f>
        <v>18</v>
      </c>
      <c r="N33" s="318">
        <f ca="1">IF(OR($A33="",TYPE(VLOOKUP($A33,Centrum!$D$3:$M$130,10,0))&gt;3),"",VLOOKUP(VLOOKUP($A33,Centrum!$D$3:$M$130,10,0),Centrum!$A$3:$CB$130,N$132,0))</f>
        <v>14</v>
      </c>
      <c r="O33" s="318">
        <f ca="1">IF(OR($A33="",TYPE(VLOOKUP($A33,Centrum!$D$3:$M$130,10,0))&gt;3),"",VLOOKUP(VLOOKUP($A33,Centrum!$D$3:$M$130,10,0),Centrum!$A$3:$CB$130,O$132,0))</f>
        <v>5</v>
      </c>
      <c r="P33" s="318">
        <f ca="1">IF(OR($A33="",TYPE(VLOOKUP($A33,Centrum!$D$3:$M$130,10,0))&gt;3),"",VLOOKUP(VLOOKUP($A33,Centrum!$D$3:$M$130,10,0),Centrum!$A$3:$CB$130,P$132,0))</f>
        <v>0</v>
      </c>
      <c r="Q33" s="318">
        <f ca="1">IF(OR($A33="",TYPE(VLOOKUP($A33,Centrum!$D$3:$M$130,10,0))&gt;3),"",VLOOKUP(VLOOKUP($A33,Centrum!$D$3:$M$130,10,0),Centrum!$A$3:$CB$130,Q$132,0))</f>
        <v>0</v>
      </c>
      <c r="S33" s="318" t="str">
        <f ca="1">IF(OR($A33="",TYPE(VLOOKUP($A33,Centrum!$D$3:$M$130,10,0))&gt;3),"",VLOOKUP(VLOOKUP($A33,Centrum!$D$3:$M$130,10,0),Centrum!$A$3:$CB$130,S$132,0))</f>
        <v/>
      </c>
      <c r="T33" s="318">
        <f ca="1">IF(OR($A33="",TYPE(VLOOKUP($A33,Centrum!$D$3:$M$130,10,0))&gt;3),"",VLOOKUP(VLOOKUP($A33,Centrum!$D$3:$M$130,10,0),Centrum!$A$3:$CB$130,T$132,0))</f>
        <v>1</v>
      </c>
      <c r="U33" s="318">
        <f ca="1">IF(OR($A33="",TYPE(VLOOKUP($A33,Centrum!$D$3:$M$130,10,0))&gt;3),"",VLOOKUP(VLOOKUP($A33,Centrum!$D$3:$M$130,10,0),Centrum!$A$3:$CB$130,U$132,0))</f>
        <v>6</v>
      </c>
      <c r="AB33" s="318">
        <f ca="1">IF(OR($A33="",TYPE(VLOOKUP($A33,Centrum!$D$3:$M$130,10,0))&gt;3),"",VLOOKUP(VLOOKUP($A33,Centrum!$D$3:$M$130,10,0),Centrum!$A$3:$CB$130,AB$132,0))</f>
        <v>18</v>
      </c>
      <c r="AC33" s="318">
        <f ca="1">IF(OR($A33="",TYPE(VLOOKUP($A33,Centrum!$D$3:$M$130,10,0))&gt;3),"",VLOOKUP(VLOOKUP($A33,Centrum!$D$3:$M$130,10,0),Centrum!$A$3:$CB$130,AC$132,0))</f>
        <v>1</v>
      </c>
      <c r="AD33" s="318">
        <f ca="1">IF(OR($A33="",TYPE(VLOOKUP($A33,Centrum!$D$3:$M$130,10,0))&gt;3),"",VLOOKUP(VLOOKUP($A33,Centrum!$D$3:$M$130,10,0),Centrum!$A$3:$CB$130,AD$132,0))</f>
        <v>4</v>
      </c>
      <c r="AK33" s="318">
        <f ca="1">IF(OR($A33="",TYPE(VLOOKUP($A33,Centrum!$D$3:$M$130,10,0))&gt;3),"",VLOOKUP(VLOOKUP($A33,Centrum!$D$3:$M$130,10,0),Centrum!$A$3:$CB$130,AK$132,0))</f>
        <v>14</v>
      </c>
      <c r="AL33" s="318">
        <f ca="1">IF(OR($A33="",TYPE(VLOOKUP($A33,Centrum!$D$3:$M$130,10,0))&gt;3),"",VLOOKUP(VLOOKUP($A33,Centrum!$D$3:$M$130,10,0),Centrum!$A$3:$CB$130,AL$132,0))</f>
        <v>0</v>
      </c>
      <c r="AM33" s="318">
        <f ca="1">IF(OR($A33="",TYPE(VLOOKUP($A33,Centrum!$D$3:$M$130,10,0))&gt;3),"",VLOOKUP(VLOOKUP($A33,Centrum!$D$3:$M$130,10,0),Centrum!$A$3:$CB$130,AM$132,0))</f>
        <v>-10</v>
      </c>
      <c r="AT33" s="318">
        <f ca="1">IF(OR(OR($A33="",TYPE(VLOOKUP($A33,Centrum!$D$3:$M$130,10,0))&gt;3),$A$1&lt;4),"",VLOOKUP(VLOOKUP($A33,Centrum!$D$3:$M$130,10,0),Centrum!$A$3:$CB$130,AT$132,0))</f>
        <v>5</v>
      </c>
      <c r="AU33" s="318">
        <f ca="1">IF(OR(OR($A33="",TYPE(VLOOKUP($A33,Centrum!$D$3:$M$130,10,0))&gt;3),$A$1&lt;4),"",VLOOKUP(VLOOKUP($A33,Centrum!$D$3:$M$130,10,0),Centrum!$A$3:$CB$130,AU$132,0))</f>
        <v>0</v>
      </c>
      <c r="AV33" s="318">
        <f ca="1">IF(OR(OR($A33="",TYPE(VLOOKUP($A33,Centrum!$D$3:$M$130,10,0))&gt;3),$A$1&lt;4),"",VLOOKUP(VLOOKUP($A33,Centrum!$D$3:$M$130,10,0),Centrum!$A$3:$CB$130,AV$132,0))</f>
        <v>-1</v>
      </c>
      <c r="BC33" s="318" t="str">
        <f ca="1">IF(OR(OR($A33="",TYPE(VLOOKUP($A33,Centrum!$D$3:$M$130,10,0))&gt;3),$A$1&lt;5),"",VLOOKUP(VLOOKUP($A33,Centrum!$D$3:$M$130,10,0),Centrum!$A$3:$CB$130,BC$132,0))</f>
        <v/>
      </c>
      <c r="BD33" s="318" t="str">
        <f ca="1">IF(OR(OR($A33="",TYPE(VLOOKUP($A33,Centrum!$D$3:$M$130,10,0))&gt;3),$A$1&lt;5),"",VLOOKUP(VLOOKUP($A33,Centrum!$D$3:$M$130,10,0),Centrum!$A$3:$CB$130,BD$132,0))</f>
        <v/>
      </c>
      <c r="BE33" s="318" t="str">
        <f ca="1">IF(OR(OR($A33="",TYPE(VLOOKUP($A33,Centrum!$D$3:$M$130,10,0))&gt;3),$A$1&lt;5),"",VLOOKUP(VLOOKUP($A33,Centrum!$D$3:$M$130,10,0),Centrum!$A$3:$CB$130,BE$132,0))</f>
        <v/>
      </c>
      <c r="BL33" s="318" t="str">
        <f ca="1">IF(OR(OR($A33="",TYPE(VLOOKUP($A33,Centrum!$D$3:$M$130,10,0))&gt;3),$A$1&lt;6),"",VLOOKUP(VLOOKUP($A33,Centrum!$D$3:$M$130,10,0),Centrum!$A$3:$CB$130,BL$132,0))</f>
        <v/>
      </c>
      <c r="BM33" s="318" t="str">
        <f ca="1">IF(OR(OR($A33="",TYPE(VLOOKUP($A33,Centrum!$D$3:$M$130,10,0))&gt;3),$A$1&lt;6),"",VLOOKUP(VLOOKUP($A33,Centrum!$D$3:$M$130,10,0),Centrum!$A$3:$CB$130,BM$132,0))</f>
        <v/>
      </c>
      <c r="BN33" s="318" t="str">
        <f ca="1">IF(OR(OR($A33="",TYPE(VLOOKUP($A33,Centrum!$D$3:$M$130,10,0))&gt;3),$A$1&lt;6),"",VLOOKUP(VLOOKUP($A33,Centrum!$D$3:$M$130,10,0),Centrum!$A$3:$CB$130,BN$132,0))</f>
        <v/>
      </c>
    </row>
    <row r="34" spans="1:66" x14ac:dyDescent="0.4">
      <c r="A34" s="318">
        <f ca="1">Centrum!A34</f>
        <v>32</v>
      </c>
      <c r="B34" s="421" t="str">
        <f ca="1">IF(OR($A34="",TYPE(VLOOKUP($A34,Centrum!$D$3:$M$130,10,0))&gt;3),"",VLOOKUP(VLOOKUP(A34,Centrum!$D$3:$M$130,10,0),Centrum!$A$3:$CB$130,B$132,0))</f>
        <v>38 C.T.P. Club Ořech - Glaser Vladimír</v>
      </c>
      <c r="C34" s="318">
        <f ca="1">IF(OR($A34="",TYPE(VLOOKUP($A34,Centrum!$D$3:$M$130,10,0))&gt;3),"",VLOOKUP($A34,Centrum!$D$3:$M$130,10,0))</f>
        <v>38</v>
      </c>
      <c r="E34" s="318">
        <f ca="1">IF(OR($A34="",TYPE(VLOOKUP($A34,Centrum!$D$3:$M$130,10,0))&gt;3),"",VLOOKUP(VLOOKUP($A34,Centrum!$D$3:$M$130,10,0),Centrum!$A$3:$CB$130,E$132,0))</f>
        <v>2</v>
      </c>
      <c r="F34" s="318">
        <f ca="1">IF(OR($A34="",TYPE(VLOOKUP($A34,Centrum!$D$3:$M$130,10,0))&gt;3),"",VLOOKUP(VLOOKUP($A34,Centrum!$D$3:$M$130,10,0),Centrum!$A$3:$CB$130,F$132,0))</f>
        <v>7</v>
      </c>
      <c r="G34" s="318">
        <f ca="1">IF(OR($A34="",TYPE(VLOOKUP($A34,Centrum!$D$3:$M$130,10,0))&gt;3),"",VLOOKUP(VLOOKUP($A34,Centrum!$D$3:$M$130,10,0),Centrum!$A$3:$CB$130,G$132,0))</f>
        <v>35</v>
      </c>
      <c r="H34" s="318">
        <f ca="1">IF($A34="","",VLOOKUP(VLOOKUP($A34,Centrum!$D$3:$M$130,10,0),Centrum!$A$3:$CB$130,H$132,0))</f>
        <v>2</v>
      </c>
      <c r="I34" s="318">
        <f ca="1">IF($A34="","",VLOOKUP(VLOOKUP($A34,Centrum!$D$3:$M$130,10,0),Centrum!$A$3:$CB$130,I$132,0))</f>
        <v>2</v>
      </c>
      <c r="J34" s="318">
        <f ca="1">IF(OR($A34="",TYPE(VLOOKUP($A34,Centrum!$D$3:$M$130,10,0))&gt;3),"",VLOOKUP(VLOOKUP($A34,Centrum!$D$3:$M$130,10,0),Centrum!$A$3:$CB$130,J$132,0))</f>
        <v>2</v>
      </c>
      <c r="L34" s="318">
        <f ca="1">IF(OR($A34="",TYPE(VLOOKUP($A34,Centrum!$D$3:$M$130,10,0))&gt;3),"",VLOOKUP(VLOOKUP($A34,Centrum!$D$3:$M$130,10,0),Centrum!$A$3:$CB$130,L$132,0))</f>
        <v>10</v>
      </c>
      <c r="M34" s="318">
        <f ca="1">IF(OR($A34="",TYPE(VLOOKUP($A34,Centrum!$D$3:$M$130,10,0))&gt;3),"",VLOOKUP(VLOOKUP($A34,Centrum!$D$3:$M$130,10,0),Centrum!$A$3:$CB$130,M$132,0))</f>
        <v>48</v>
      </c>
      <c r="N34" s="318">
        <f ca="1">IF(OR($A34="",TYPE(VLOOKUP($A34,Centrum!$D$3:$M$130,10,0))&gt;3),"",VLOOKUP(VLOOKUP($A34,Centrum!$D$3:$M$130,10,0),Centrum!$A$3:$CB$130,N$132,0))</f>
        <v>53</v>
      </c>
      <c r="O34" s="318">
        <f ca="1">IF(OR($A34="",TYPE(VLOOKUP($A34,Centrum!$D$3:$M$130,10,0))&gt;3),"",VLOOKUP(VLOOKUP($A34,Centrum!$D$3:$M$130,10,0),Centrum!$A$3:$CB$130,O$132,0))</f>
        <v>51</v>
      </c>
      <c r="P34" s="318">
        <f ca="1">IF(OR($A34="",TYPE(VLOOKUP($A34,Centrum!$D$3:$M$130,10,0))&gt;3),"",VLOOKUP(VLOOKUP($A34,Centrum!$D$3:$M$130,10,0),Centrum!$A$3:$CB$130,P$132,0))</f>
        <v>0</v>
      </c>
      <c r="Q34" s="318">
        <f ca="1">IF(OR($A34="",TYPE(VLOOKUP($A34,Centrum!$D$3:$M$130,10,0))&gt;3),"",VLOOKUP(VLOOKUP($A34,Centrum!$D$3:$M$130,10,0),Centrum!$A$3:$CB$130,Q$132,0))</f>
        <v>0</v>
      </c>
      <c r="S34" s="318">
        <f ca="1">IF(OR($A34="",TYPE(VLOOKUP($A34,Centrum!$D$3:$M$130,10,0))&gt;3),"",VLOOKUP(VLOOKUP($A34,Centrum!$D$3:$M$130,10,0),Centrum!$A$3:$CB$130,S$132,0))</f>
        <v>10</v>
      </c>
      <c r="T34" s="318">
        <f ca="1">IF(OR($A34="",TYPE(VLOOKUP($A34,Centrum!$D$3:$M$130,10,0))&gt;3),"",VLOOKUP(VLOOKUP($A34,Centrum!$D$3:$M$130,10,0),Centrum!$A$3:$CB$130,T$132,0))</f>
        <v>0</v>
      </c>
      <c r="U34" s="318">
        <f ca="1">IF(OR($A34="",TYPE(VLOOKUP($A34,Centrum!$D$3:$M$130,10,0))&gt;3),"",VLOOKUP(VLOOKUP($A34,Centrum!$D$3:$M$130,10,0),Centrum!$A$3:$CB$130,U$132,0))</f>
        <v>-7</v>
      </c>
      <c r="AB34" s="318">
        <f ca="1">IF(OR($A34="",TYPE(VLOOKUP($A34,Centrum!$D$3:$M$130,10,0))&gt;3),"",VLOOKUP(VLOOKUP($A34,Centrum!$D$3:$M$130,10,0),Centrum!$A$3:$CB$130,AB$132,0))</f>
        <v>48</v>
      </c>
      <c r="AC34" s="318">
        <f ca="1">IF(OR($A34="",TYPE(VLOOKUP($A34,Centrum!$D$3:$M$130,10,0))&gt;3),"",VLOOKUP(VLOOKUP($A34,Centrum!$D$3:$M$130,10,0),Centrum!$A$3:$CB$130,AC$132,0))</f>
        <v>1</v>
      </c>
      <c r="AD34" s="318">
        <f ca="1">IF(OR($A34="",TYPE(VLOOKUP($A34,Centrum!$D$3:$M$130,10,0))&gt;3),"",VLOOKUP(VLOOKUP($A34,Centrum!$D$3:$M$130,10,0),Centrum!$A$3:$CB$130,AD$132,0))</f>
        <v>5</v>
      </c>
      <c r="AK34" s="318">
        <f ca="1">IF(OR($A34="",TYPE(VLOOKUP($A34,Centrum!$D$3:$M$130,10,0))&gt;3),"",VLOOKUP(VLOOKUP($A34,Centrum!$D$3:$M$130,10,0),Centrum!$A$3:$CB$130,AK$132,0))</f>
        <v>53</v>
      </c>
      <c r="AL34" s="318">
        <f ca="1">IF(OR($A34="",TYPE(VLOOKUP($A34,Centrum!$D$3:$M$130,10,0))&gt;3),"",VLOOKUP(VLOOKUP($A34,Centrum!$D$3:$M$130,10,0),Centrum!$A$3:$CB$130,AL$132,0))</f>
        <v>1</v>
      </c>
      <c r="AM34" s="318">
        <f ca="1">IF(OR($A34="",TYPE(VLOOKUP($A34,Centrum!$D$3:$M$130,10,0))&gt;3),"",VLOOKUP(VLOOKUP($A34,Centrum!$D$3:$M$130,10,0),Centrum!$A$3:$CB$130,AM$132,0))</f>
        <v>5</v>
      </c>
      <c r="AT34" s="318">
        <f ca="1">IF(OR(OR($A34="",TYPE(VLOOKUP($A34,Centrum!$D$3:$M$130,10,0))&gt;3),$A$1&lt;4),"",VLOOKUP(VLOOKUP($A34,Centrum!$D$3:$M$130,10,0),Centrum!$A$3:$CB$130,AT$132,0))</f>
        <v>51</v>
      </c>
      <c r="AU34" s="318">
        <f ca="1">IF(OR(OR($A34="",TYPE(VLOOKUP($A34,Centrum!$D$3:$M$130,10,0))&gt;3),$A$1&lt;4),"",VLOOKUP(VLOOKUP($A34,Centrum!$D$3:$M$130,10,0),Centrum!$A$3:$CB$130,AU$132,0))</f>
        <v>0</v>
      </c>
      <c r="AV34" s="318">
        <f ca="1">IF(OR(OR($A34="",TYPE(VLOOKUP($A34,Centrum!$D$3:$M$130,10,0))&gt;3),$A$1&lt;4),"",VLOOKUP(VLOOKUP($A34,Centrum!$D$3:$M$130,10,0),Centrum!$A$3:$CB$130,AV$132,0))</f>
        <v>-1</v>
      </c>
      <c r="BC34" s="318" t="str">
        <f ca="1">IF(OR(OR($A34="",TYPE(VLOOKUP($A34,Centrum!$D$3:$M$130,10,0))&gt;3),$A$1&lt;5),"",VLOOKUP(VLOOKUP($A34,Centrum!$D$3:$M$130,10,0),Centrum!$A$3:$CB$130,BC$132,0))</f>
        <v/>
      </c>
      <c r="BD34" s="318" t="str">
        <f ca="1">IF(OR(OR($A34="",TYPE(VLOOKUP($A34,Centrum!$D$3:$M$130,10,0))&gt;3),$A$1&lt;5),"",VLOOKUP(VLOOKUP($A34,Centrum!$D$3:$M$130,10,0),Centrum!$A$3:$CB$130,BD$132,0))</f>
        <v/>
      </c>
      <c r="BE34" s="318" t="str">
        <f ca="1">IF(OR(OR($A34="",TYPE(VLOOKUP($A34,Centrum!$D$3:$M$130,10,0))&gt;3),$A$1&lt;5),"",VLOOKUP(VLOOKUP($A34,Centrum!$D$3:$M$130,10,0),Centrum!$A$3:$CB$130,BE$132,0))</f>
        <v/>
      </c>
      <c r="BL34" s="318" t="str">
        <f ca="1">IF(OR(OR($A34="",TYPE(VLOOKUP($A34,Centrum!$D$3:$M$130,10,0))&gt;3),$A$1&lt;6),"",VLOOKUP(VLOOKUP($A34,Centrum!$D$3:$M$130,10,0),Centrum!$A$3:$CB$130,BL$132,0))</f>
        <v/>
      </c>
      <c r="BM34" s="318" t="str">
        <f ca="1">IF(OR(OR($A34="",TYPE(VLOOKUP($A34,Centrum!$D$3:$M$130,10,0))&gt;3),$A$1&lt;6),"",VLOOKUP(VLOOKUP($A34,Centrum!$D$3:$M$130,10,0),Centrum!$A$3:$CB$130,BM$132,0))</f>
        <v/>
      </c>
      <c r="BN34" s="318" t="str">
        <f ca="1">IF(OR(OR($A34="",TYPE(VLOOKUP($A34,Centrum!$D$3:$M$130,10,0))&gt;3),$A$1&lt;6),"",VLOOKUP(VLOOKUP($A34,Centrum!$D$3:$M$130,10,0),Centrum!$A$3:$CB$130,BN$132,0))</f>
        <v/>
      </c>
    </row>
    <row r="35" spans="1:66" x14ac:dyDescent="0.4">
      <c r="A35" s="318">
        <f ca="1">Centrum!A35</f>
        <v>33</v>
      </c>
      <c r="B35" s="421" t="str">
        <f ca="1">IF(OR($A35="",TYPE(VLOOKUP($A35,Centrum!$D$3:$M$130,10,0))&gt;3),"",VLOOKUP(VLOOKUP(A35,Centrum!$D$3:$M$130,10,0),Centrum!$A$3:$CB$130,B$132,0))</f>
        <v>37 SK Pétanque Řepy - Konopová Marta</v>
      </c>
      <c r="C35" s="318">
        <f ca="1">IF(OR($A35="",TYPE(VLOOKUP($A35,Centrum!$D$3:$M$130,10,0))&gt;3),"",VLOOKUP($A35,Centrum!$D$3:$M$130,10,0))</f>
        <v>37</v>
      </c>
      <c r="E35" s="318">
        <f ca="1">IF(OR($A35="",TYPE(VLOOKUP($A35,Centrum!$D$3:$M$130,10,0))&gt;3),"",VLOOKUP(VLOOKUP($A35,Centrum!$D$3:$M$130,10,0),Centrum!$A$3:$CB$130,E$132,0))</f>
        <v>2</v>
      </c>
      <c r="F35" s="318">
        <f ca="1">IF(OR($A35="",TYPE(VLOOKUP($A35,Centrum!$D$3:$M$130,10,0))&gt;3),"",VLOOKUP(VLOOKUP($A35,Centrum!$D$3:$M$130,10,0),Centrum!$A$3:$CB$130,F$132,0))</f>
        <v>7</v>
      </c>
      <c r="G35" s="318">
        <f ca="1">IF(OR($A35="",TYPE(VLOOKUP($A35,Centrum!$D$3:$M$130,10,0))&gt;3),"",VLOOKUP(VLOOKUP($A35,Centrum!$D$3:$M$130,10,0),Centrum!$A$3:$CB$130,G$132,0))</f>
        <v>34</v>
      </c>
      <c r="H35" s="318">
        <f ca="1">IF($A35="","",VLOOKUP(VLOOKUP($A35,Centrum!$D$3:$M$130,10,0),Centrum!$A$3:$CB$130,H$132,0))</f>
        <v>2</v>
      </c>
      <c r="I35" s="318">
        <f ca="1">IF($A35="","",VLOOKUP(VLOOKUP($A35,Centrum!$D$3:$M$130,10,0),Centrum!$A$3:$CB$130,I$132,0))</f>
        <v>2</v>
      </c>
      <c r="J35" s="318">
        <f ca="1">IF(OR($A35="",TYPE(VLOOKUP($A35,Centrum!$D$3:$M$130,10,0))&gt;3),"",VLOOKUP(VLOOKUP($A35,Centrum!$D$3:$M$130,10,0),Centrum!$A$3:$CB$130,J$132,0))</f>
        <v>-5</v>
      </c>
      <c r="L35" s="318">
        <f ca="1">IF(OR($A35="",TYPE(VLOOKUP($A35,Centrum!$D$3:$M$130,10,0))&gt;3),"",VLOOKUP(VLOOKUP($A35,Centrum!$D$3:$M$130,10,0),Centrum!$A$3:$CB$130,L$132,0))</f>
        <v>9</v>
      </c>
      <c r="M35" s="318">
        <f ca="1">IF(OR($A35="",TYPE(VLOOKUP($A35,Centrum!$D$3:$M$130,10,0))&gt;3),"",VLOOKUP(VLOOKUP($A35,Centrum!$D$3:$M$130,10,0),Centrum!$A$3:$CB$130,M$132,0))</f>
        <v>46</v>
      </c>
      <c r="N35" s="318">
        <f ca="1">IF(OR($A35="",TYPE(VLOOKUP($A35,Centrum!$D$3:$M$130,10,0))&gt;3),"",VLOOKUP(VLOOKUP($A35,Centrum!$D$3:$M$130,10,0),Centrum!$A$3:$CB$130,N$132,0))</f>
        <v>27</v>
      </c>
      <c r="O35" s="318">
        <f ca="1">IF(OR($A35="",TYPE(VLOOKUP($A35,Centrum!$D$3:$M$130,10,0))&gt;3),"",VLOOKUP(VLOOKUP($A35,Centrum!$D$3:$M$130,10,0),Centrum!$A$3:$CB$130,O$132,0))</f>
        <v>16</v>
      </c>
      <c r="P35" s="318">
        <f ca="1">IF(OR($A35="",TYPE(VLOOKUP($A35,Centrum!$D$3:$M$130,10,0))&gt;3),"",VLOOKUP(VLOOKUP($A35,Centrum!$D$3:$M$130,10,0),Centrum!$A$3:$CB$130,P$132,0))</f>
        <v>0</v>
      </c>
      <c r="Q35" s="318">
        <f ca="1">IF(OR($A35="",TYPE(VLOOKUP($A35,Centrum!$D$3:$M$130,10,0))&gt;3),"",VLOOKUP(VLOOKUP($A35,Centrum!$D$3:$M$130,10,0),Centrum!$A$3:$CB$130,Q$132,0))</f>
        <v>0</v>
      </c>
      <c r="S35" s="318">
        <f ca="1">IF(OR($A35="",TYPE(VLOOKUP($A35,Centrum!$D$3:$M$130,10,0))&gt;3),"",VLOOKUP(VLOOKUP($A35,Centrum!$D$3:$M$130,10,0),Centrum!$A$3:$CB$130,S$132,0))</f>
        <v>9</v>
      </c>
      <c r="T35" s="318">
        <f ca="1">IF(OR($A35="",TYPE(VLOOKUP($A35,Centrum!$D$3:$M$130,10,0))&gt;3),"",VLOOKUP(VLOOKUP($A35,Centrum!$D$3:$M$130,10,0),Centrum!$A$3:$CB$130,T$132,0))</f>
        <v>0</v>
      </c>
      <c r="U35" s="318">
        <f ca="1">IF(OR($A35="",TYPE(VLOOKUP($A35,Centrum!$D$3:$M$130,10,0))&gt;3),"",VLOOKUP(VLOOKUP($A35,Centrum!$D$3:$M$130,10,0),Centrum!$A$3:$CB$130,U$132,0))</f>
        <v>-7</v>
      </c>
      <c r="AB35" s="318">
        <f ca="1">IF(OR($A35="",TYPE(VLOOKUP($A35,Centrum!$D$3:$M$130,10,0))&gt;3),"",VLOOKUP(VLOOKUP($A35,Centrum!$D$3:$M$130,10,0),Centrum!$A$3:$CB$130,AB$132,0))</f>
        <v>46</v>
      </c>
      <c r="AC35" s="318">
        <f ca="1">IF(OR($A35="",TYPE(VLOOKUP($A35,Centrum!$D$3:$M$130,10,0))&gt;3),"",VLOOKUP(VLOOKUP($A35,Centrum!$D$3:$M$130,10,0),Centrum!$A$3:$CB$130,AC$132,0))</f>
        <v>1</v>
      </c>
      <c r="AD35" s="318">
        <f ca="1">IF(OR($A35="",TYPE(VLOOKUP($A35,Centrum!$D$3:$M$130,10,0))&gt;3),"",VLOOKUP(VLOOKUP($A35,Centrum!$D$3:$M$130,10,0),Centrum!$A$3:$CB$130,AD$132,0))</f>
        <v>4</v>
      </c>
      <c r="AK35" s="318">
        <f ca="1">IF(OR($A35="",TYPE(VLOOKUP($A35,Centrum!$D$3:$M$130,10,0))&gt;3),"",VLOOKUP(VLOOKUP($A35,Centrum!$D$3:$M$130,10,0),Centrum!$A$3:$CB$130,AK$132,0))</f>
        <v>27</v>
      </c>
      <c r="AL35" s="318">
        <f ca="1">IF(OR($A35="",TYPE(VLOOKUP($A35,Centrum!$D$3:$M$130,10,0))&gt;3),"",VLOOKUP(VLOOKUP($A35,Centrum!$D$3:$M$130,10,0),Centrum!$A$3:$CB$130,AL$132,0))</f>
        <v>0</v>
      </c>
      <c r="AM35" s="318">
        <f ca="1">IF(OR($A35="",TYPE(VLOOKUP($A35,Centrum!$D$3:$M$130,10,0))&gt;3),"",VLOOKUP(VLOOKUP($A35,Centrum!$D$3:$M$130,10,0),Centrum!$A$3:$CB$130,AM$132,0))</f>
        <v>-6</v>
      </c>
      <c r="AT35" s="318">
        <f ca="1">IF(OR(OR($A35="",TYPE(VLOOKUP($A35,Centrum!$D$3:$M$130,10,0))&gt;3),$A$1&lt;4),"",VLOOKUP(VLOOKUP($A35,Centrum!$D$3:$M$130,10,0),Centrum!$A$3:$CB$130,AT$132,0))</f>
        <v>16</v>
      </c>
      <c r="AU35" s="318">
        <f ca="1">IF(OR(OR($A35="",TYPE(VLOOKUP($A35,Centrum!$D$3:$M$130,10,0))&gt;3),$A$1&lt;4),"",VLOOKUP(VLOOKUP($A35,Centrum!$D$3:$M$130,10,0),Centrum!$A$3:$CB$130,AU$132,0))</f>
        <v>1</v>
      </c>
      <c r="AV35" s="318">
        <f ca="1">IF(OR(OR($A35="",TYPE(VLOOKUP($A35,Centrum!$D$3:$M$130,10,0))&gt;3),$A$1&lt;4),"",VLOOKUP(VLOOKUP($A35,Centrum!$D$3:$M$130,10,0),Centrum!$A$3:$CB$130,AV$132,0))</f>
        <v>4</v>
      </c>
      <c r="BC35" s="318" t="str">
        <f ca="1">IF(OR(OR($A35="",TYPE(VLOOKUP($A35,Centrum!$D$3:$M$130,10,0))&gt;3),$A$1&lt;5),"",VLOOKUP(VLOOKUP($A35,Centrum!$D$3:$M$130,10,0),Centrum!$A$3:$CB$130,BC$132,0))</f>
        <v/>
      </c>
      <c r="BD35" s="318" t="str">
        <f ca="1">IF(OR(OR($A35="",TYPE(VLOOKUP($A35,Centrum!$D$3:$M$130,10,0))&gt;3),$A$1&lt;5),"",VLOOKUP(VLOOKUP($A35,Centrum!$D$3:$M$130,10,0),Centrum!$A$3:$CB$130,BD$132,0))</f>
        <v/>
      </c>
      <c r="BE35" s="318" t="str">
        <f ca="1">IF(OR(OR($A35="",TYPE(VLOOKUP($A35,Centrum!$D$3:$M$130,10,0))&gt;3),$A$1&lt;5),"",VLOOKUP(VLOOKUP($A35,Centrum!$D$3:$M$130,10,0),Centrum!$A$3:$CB$130,BE$132,0))</f>
        <v/>
      </c>
      <c r="BL35" s="318" t="str">
        <f ca="1">IF(OR(OR($A35="",TYPE(VLOOKUP($A35,Centrum!$D$3:$M$130,10,0))&gt;3),$A$1&lt;6),"",VLOOKUP(VLOOKUP($A35,Centrum!$D$3:$M$130,10,0),Centrum!$A$3:$CB$130,BL$132,0))</f>
        <v/>
      </c>
      <c r="BM35" s="318" t="str">
        <f ca="1">IF(OR(OR($A35="",TYPE(VLOOKUP($A35,Centrum!$D$3:$M$130,10,0))&gt;3),$A$1&lt;6),"",VLOOKUP(VLOOKUP($A35,Centrum!$D$3:$M$130,10,0),Centrum!$A$3:$CB$130,BM$132,0))</f>
        <v/>
      </c>
      <c r="BN35" s="318" t="str">
        <f ca="1">IF(OR(OR($A35="",TYPE(VLOOKUP($A35,Centrum!$D$3:$M$130,10,0))&gt;3),$A$1&lt;6),"",VLOOKUP(VLOOKUP($A35,Centrum!$D$3:$M$130,10,0),Centrum!$A$3:$CB$130,BN$132,0))</f>
        <v/>
      </c>
    </row>
    <row r="36" spans="1:66" x14ac:dyDescent="0.4">
      <c r="A36" s="318">
        <f ca="1">Centrum!A36</f>
        <v>34</v>
      </c>
      <c r="B36" s="421" t="str">
        <f ca="1">IF(OR($A36="",TYPE(VLOOKUP($A36,Centrum!$D$3:$M$130,10,0))&gt;3),"",VLOOKUP(VLOOKUP(A36,Centrum!$D$3:$M$130,10,0),Centrum!$A$3:$CB$130,B$132,0))</f>
        <v>25 SK Pétanque Řepy - Vodehnalová Jindra</v>
      </c>
      <c r="C36" s="318">
        <f ca="1">IF(OR($A36="",TYPE(VLOOKUP($A36,Centrum!$D$3:$M$130,10,0))&gt;3),"",VLOOKUP($A36,Centrum!$D$3:$M$130,10,0))</f>
        <v>25</v>
      </c>
      <c r="E36" s="318">
        <f ca="1">IF(OR($A36="",TYPE(VLOOKUP($A36,Centrum!$D$3:$M$130,10,0))&gt;3),"",VLOOKUP(VLOOKUP($A36,Centrum!$D$3:$M$130,10,0),Centrum!$A$3:$CB$130,E$132,0))</f>
        <v>2</v>
      </c>
      <c r="F36" s="318">
        <f ca="1">IF(OR($A36="",TYPE(VLOOKUP($A36,Centrum!$D$3:$M$130,10,0))&gt;3),"",VLOOKUP(VLOOKUP($A36,Centrum!$D$3:$M$130,10,0),Centrum!$A$3:$CB$130,F$132,0))</f>
        <v>7</v>
      </c>
      <c r="G36" s="318">
        <f ca="1">IF(OR($A36="",TYPE(VLOOKUP($A36,Centrum!$D$3:$M$130,10,0))&gt;3),"",VLOOKUP(VLOOKUP($A36,Centrum!$D$3:$M$130,10,0),Centrum!$A$3:$CB$130,G$132,0))</f>
        <v>32</v>
      </c>
      <c r="H36" s="318">
        <f ca="1">IF($A36="","",VLOOKUP(VLOOKUP($A36,Centrum!$D$3:$M$130,10,0),Centrum!$A$3:$CB$130,H$132,0))</f>
        <v>2</v>
      </c>
      <c r="I36" s="318">
        <f ca="1">IF($A36="","",VLOOKUP(VLOOKUP($A36,Centrum!$D$3:$M$130,10,0),Centrum!$A$3:$CB$130,I$132,0))</f>
        <v>0</v>
      </c>
      <c r="J36" s="318">
        <f ca="1">IF(OR($A36="",TYPE(VLOOKUP($A36,Centrum!$D$3:$M$130,10,0))&gt;3),"",VLOOKUP(VLOOKUP($A36,Centrum!$D$3:$M$130,10,0),Centrum!$A$3:$CB$130,J$132,0))</f>
        <v>3</v>
      </c>
      <c r="L36" s="318">
        <f ca="1">IF(OR($A36="",TYPE(VLOOKUP($A36,Centrum!$D$3:$M$130,10,0))&gt;3),"",VLOOKUP(VLOOKUP($A36,Centrum!$D$3:$M$130,10,0),Centrum!$A$3:$CB$130,L$132,0))</f>
        <v>53</v>
      </c>
      <c r="M36" s="318">
        <f ca="1">IF(OR($A36="",TYPE(VLOOKUP($A36,Centrum!$D$3:$M$130,10,0))&gt;3),"",VLOOKUP(VLOOKUP($A36,Centrum!$D$3:$M$130,10,0),Centrum!$A$3:$CB$130,M$132,0))</f>
        <v>55</v>
      </c>
      <c r="N36" s="318">
        <f ca="1">IF(OR($A36="",TYPE(VLOOKUP($A36,Centrum!$D$3:$M$130,10,0))&gt;3),"",VLOOKUP(VLOOKUP($A36,Centrum!$D$3:$M$130,10,0),Centrum!$A$3:$CB$130,N$132,0))</f>
        <v>51</v>
      </c>
      <c r="O36" s="318">
        <f ca="1">IF(OR($A36="",TYPE(VLOOKUP($A36,Centrum!$D$3:$M$130,10,0))&gt;3),"",VLOOKUP(VLOOKUP($A36,Centrum!$D$3:$M$130,10,0),Centrum!$A$3:$CB$130,O$132,0))</f>
        <v>35</v>
      </c>
      <c r="P36" s="318">
        <f ca="1">IF(OR($A36="",TYPE(VLOOKUP($A36,Centrum!$D$3:$M$130,10,0))&gt;3),"",VLOOKUP(VLOOKUP($A36,Centrum!$D$3:$M$130,10,0),Centrum!$A$3:$CB$130,P$132,0))</f>
        <v>0</v>
      </c>
      <c r="Q36" s="318">
        <f ca="1">IF(OR($A36="",TYPE(VLOOKUP($A36,Centrum!$D$3:$M$130,10,0))&gt;3),"",VLOOKUP(VLOOKUP($A36,Centrum!$D$3:$M$130,10,0),Centrum!$A$3:$CB$130,Q$132,0))</f>
        <v>0</v>
      </c>
      <c r="S36" s="318">
        <f ca="1">IF(OR($A36="",TYPE(VLOOKUP($A36,Centrum!$D$3:$M$130,10,0))&gt;3),"",VLOOKUP(VLOOKUP($A36,Centrum!$D$3:$M$130,10,0),Centrum!$A$3:$CB$130,S$132,0))</f>
        <v>53</v>
      </c>
      <c r="T36" s="318">
        <f ca="1">IF(OR($A36="",TYPE(VLOOKUP($A36,Centrum!$D$3:$M$130,10,0))&gt;3),"",VLOOKUP(VLOOKUP($A36,Centrum!$D$3:$M$130,10,0),Centrum!$A$3:$CB$130,T$132,0))</f>
        <v>0</v>
      </c>
      <c r="U36" s="318">
        <f ca="1">IF(OR($A36="",TYPE(VLOOKUP($A36,Centrum!$D$3:$M$130,10,0))&gt;3),"",VLOOKUP(VLOOKUP($A36,Centrum!$D$3:$M$130,10,0),Centrum!$A$3:$CB$130,U$132,0))</f>
        <v>-7</v>
      </c>
      <c r="AB36" s="318">
        <f ca="1">IF(OR($A36="",TYPE(VLOOKUP($A36,Centrum!$D$3:$M$130,10,0))&gt;3),"",VLOOKUP(VLOOKUP($A36,Centrum!$D$3:$M$130,10,0),Centrum!$A$3:$CB$130,AB$132,0))</f>
        <v>55</v>
      </c>
      <c r="AC36" s="318">
        <f ca="1">IF(OR($A36="",TYPE(VLOOKUP($A36,Centrum!$D$3:$M$130,10,0))&gt;3),"",VLOOKUP(VLOOKUP($A36,Centrum!$D$3:$M$130,10,0),Centrum!$A$3:$CB$130,AC$132,0))</f>
        <v>1</v>
      </c>
      <c r="AD36" s="318">
        <f ca="1">IF(OR($A36="",TYPE(VLOOKUP($A36,Centrum!$D$3:$M$130,10,0))&gt;3),"",VLOOKUP(VLOOKUP($A36,Centrum!$D$3:$M$130,10,0),Centrum!$A$3:$CB$130,AD$132,0))</f>
        <v>8</v>
      </c>
      <c r="AK36" s="318">
        <f ca="1">IF(OR($A36="",TYPE(VLOOKUP($A36,Centrum!$D$3:$M$130,10,0))&gt;3),"",VLOOKUP(VLOOKUP($A36,Centrum!$D$3:$M$130,10,0),Centrum!$A$3:$CB$130,AK$132,0))</f>
        <v>51</v>
      </c>
      <c r="AL36" s="318">
        <f ca="1">IF(OR($A36="",TYPE(VLOOKUP($A36,Centrum!$D$3:$M$130,10,0))&gt;3),"",VLOOKUP(VLOOKUP($A36,Centrum!$D$3:$M$130,10,0),Centrum!$A$3:$CB$130,AL$132,0))</f>
        <v>0</v>
      </c>
      <c r="AM36" s="318">
        <f ca="1">IF(OR($A36="",TYPE(VLOOKUP($A36,Centrum!$D$3:$M$130,10,0))&gt;3),"",VLOOKUP(VLOOKUP($A36,Centrum!$D$3:$M$130,10,0),Centrum!$A$3:$CB$130,AM$132,0))</f>
        <v>-5</v>
      </c>
      <c r="AT36" s="318">
        <f ca="1">IF(OR(OR($A36="",TYPE(VLOOKUP($A36,Centrum!$D$3:$M$130,10,0))&gt;3),$A$1&lt;4),"",VLOOKUP(VLOOKUP($A36,Centrum!$D$3:$M$130,10,0),Centrum!$A$3:$CB$130,AT$132,0))</f>
        <v>35</v>
      </c>
      <c r="AU36" s="318">
        <f ca="1">IF(OR(OR($A36="",TYPE(VLOOKUP($A36,Centrum!$D$3:$M$130,10,0))&gt;3),$A$1&lt;4),"",VLOOKUP(VLOOKUP($A36,Centrum!$D$3:$M$130,10,0),Centrum!$A$3:$CB$130,AU$132,0))</f>
        <v>1</v>
      </c>
      <c r="AV36" s="318">
        <f ca="1">IF(OR(OR($A36="",TYPE(VLOOKUP($A36,Centrum!$D$3:$M$130,10,0))&gt;3),$A$1&lt;4),"",VLOOKUP(VLOOKUP($A36,Centrum!$D$3:$M$130,10,0),Centrum!$A$3:$CB$130,AV$132,0))</f>
        <v>7</v>
      </c>
      <c r="BC36" s="318" t="str">
        <f ca="1">IF(OR(OR($A36="",TYPE(VLOOKUP($A36,Centrum!$D$3:$M$130,10,0))&gt;3),$A$1&lt;5),"",VLOOKUP(VLOOKUP($A36,Centrum!$D$3:$M$130,10,0),Centrum!$A$3:$CB$130,BC$132,0))</f>
        <v/>
      </c>
      <c r="BD36" s="318" t="str">
        <f ca="1">IF(OR(OR($A36="",TYPE(VLOOKUP($A36,Centrum!$D$3:$M$130,10,0))&gt;3),$A$1&lt;5),"",VLOOKUP(VLOOKUP($A36,Centrum!$D$3:$M$130,10,0),Centrum!$A$3:$CB$130,BD$132,0))</f>
        <v/>
      </c>
      <c r="BE36" s="318" t="str">
        <f ca="1">IF(OR(OR($A36="",TYPE(VLOOKUP($A36,Centrum!$D$3:$M$130,10,0))&gt;3),$A$1&lt;5),"",VLOOKUP(VLOOKUP($A36,Centrum!$D$3:$M$130,10,0),Centrum!$A$3:$CB$130,BE$132,0))</f>
        <v/>
      </c>
      <c r="BL36" s="318" t="str">
        <f ca="1">IF(OR(OR($A36="",TYPE(VLOOKUP($A36,Centrum!$D$3:$M$130,10,0))&gt;3),$A$1&lt;6),"",VLOOKUP(VLOOKUP($A36,Centrum!$D$3:$M$130,10,0),Centrum!$A$3:$CB$130,BL$132,0))</f>
        <v/>
      </c>
      <c r="BM36" s="318" t="str">
        <f ca="1">IF(OR(OR($A36="",TYPE(VLOOKUP($A36,Centrum!$D$3:$M$130,10,0))&gt;3),$A$1&lt;6),"",VLOOKUP(VLOOKUP($A36,Centrum!$D$3:$M$130,10,0),Centrum!$A$3:$CB$130,BM$132,0))</f>
        <v/>
      </c>
      <c r="BN36" s="318" t="str">
        <f ca="1">IF(OR(OR($A36="",TYPE(VLOOKUP($A36,Centrum!$D$3:$M$130,10,0))&gt;3),$A$1&lt;6),"",VLOOKUP(VLOOKUP($A36,Centrum!$D$3:$M$130,10,0),Centrum!$A$3:$CB$130,BN$132,0))</f>
        <v/>
      </c>
    </row>
    <row r="37" spans="1:66" x14ac:dyDescent="0.4">
      <c r="A37" s="318">
        <f ca="1">Centrum!A37</f>
        <v>35</v>
      </c>
      <c r="B37" s="421" t="str">
        <f ca="1">IF(OR($A37="",TYPE(VLOOKUP($A37,Centrum!$D$3:$M$130,10,0))&gt;3),"",VLOOKUP(VLOOKUP(A37,Centrum!$D$3:$M$130,10,0),Centrum!$A$3:$CB$130,B$132,0))</f>
        <v>40 SKP Kulová osma - Krhovská Dana</v>
      </c>
      <c r="C37" s="318">
        <f ca="1">IF(OR($A37="",TYPE(VLOOKUP($A37,Centrum!$D$3:$M$130,10,0))&gt;3),"",VLOOKUP($A37,Centrum!$D$3:$M$130,10,0))</f>
        <v>40</v>
      </c>
      <c r="E37" s="318">
        <f ca="1">IF(OR($A37="",TYPE(VLOOKUP($A37,Centrum!$D$3:$M$130,10,0))&gt;3),"",VLOOKUP(VLOOKUP($A37,Centrum!$D$3:$M$130,10,0),Centrum!$A$3:$CB$130,E$132,0))</f>
        <v>2</v>
      </c>
      <c r="F37" s="318">
        <f ca="1">IF(OR($A37="",TYPE(VLOOKUP($A37,Centrum!$D$3:$M$130,10,0))&gt;3),"",VLOOKUP(VLOOKUP($A37,Centrum!$D$3:$M$130,10,0),Centrum!$A$3:$CB$130,F$132,0))</f>
        <v>7</v>
      </c>
      <c r="G37" s="318">
        <f ca="1">IF(OR($A37="",TYPE(VLOOKUP($A37,Centrum!$D$3:$M$130,10,0))&gt;3),"",VLOOKUP(VLOOKUP($A37,Centrum!$D$3:$M$130,10,0),Centrum!$A$3:$CB$130,G$132,0))</f>
        <v>31</v>
      </c>
      <c r="H37" s="318">
        <f ca="1">IF($A37="","",VLOOKUP(VLOOKUP($A37,Centrum!$D$3:$M$130,10,0),Centrum!$A$3:$CB$130,H$132,0))</f>
        <v>2</v>
      </c>
      <c r="I37" s="318">
        <f ca="1">IF($A37="","",VLOOKUP(VLOOKUP($A37,Centrum!$D$3:$M$130,10,0),Centrum!$A$3:$CB$130,I$132,0))</f>
        <v>2</v>
      </c>
      <c r="J37" s="318">
        <f ca="1">IF(OR($A37="",TYPE(VLOOKUP($A37,Centrum!$D$3:$M$130,10,0))&gt;3),"",VLOOKUP(VLOOKUP($A37,Centrum!$D$3:$M$130,10,0),Centrum!$A$3:$CB$130,J$132,0))</f>
        <v>1</v>
      </c>
      <c r="L37" s="318">
        <f ca="1">IF(OR($A37="",TYPE(VLOOKUP($A37,Centrum!$D$3:$M$130,10,0))&gt;3),"",VLOOKUP(VLOOKUP($A37,Centrum!$D$3:$M$130,10,0),Centrum!$A$3:$CB$130,L$132,0))</f>
        <v>12</v>
      </c>
      <c r="M37" s="318">
        <f ca="1">IF(OR($A37="",TYPE(VLOOKUP($A37,Centrum!$D$3:$M$130,10,0))&gt;3),"",VLOOKUP(VLOOKUP($A37,Centrum!$D$3:$M$130,10,0),Centrum!$A$3:$CB$130,M$132,0))</f>
        <v>11</v>
      </c>
      <c r="N37" s="318">
        <f ca="1">IF(OR($A37="",TYPE(VLOOKUP($A37,Centrum!$D$3:$M$130,10,0))&gt;3),"",VLOOKUP(VLOOKUP($A37,Centrum!$D$3:$M$130,10,0),Centrum!$A$3:$CB$130,N$132,0))</f>
        <v>32</v>
      </c>
      <c r="O37" s="318">
        <f ca="1">IF(OR($A37="",TYPE(VLOOKUP($A37,Centrum!$D$3:$M$130,10,0))&gt;3),"",VLOOKUP(VLOOKUP($A37,Centrum!$D$3:$M$130,10,0),Centrum!$A$3:$CB$130,O$132,0))</f>
        <v>26</v>
      </c>
      <c r="P37" s="318">
        <f ca="1">IF(OR($A37="",TYPE(VLOOKUP($A37,Centrum!$D$3:$M$130,10,0))&gt;3),"",VLOOKUP(VLOOKUP($A37,Centrum!$D$3:$M$130,10,0),Centrum!$A$3:$CB$130,P$132,0))</f>
        <v>0</v>
      </c>
      <c r="Q37" s="318">
        <f ca="1">IF(OR($A37="",TYPE(VLOOKUP($A37,Centrum!$D$3:$M$130,10,0))&gt;3),"",VLOOKUP(VLOOKUP($A37,Centrum!$D$3:$M$130,10,0),Centrum!$A$3:$CB$130,Q$132,0))</f>
        <v>0</v>
      </c>
      <c r="S37" s="318">
        <f ca="1">IF(OR($A37="",TYPE(VLOOKUP($A37,Centrum!$D$3:$M$130,10,0))&gt;3),"",VLOOKUP(VLOOKUP($A37,Centrum!$D$3:$M$130,10,0),Centrum!$A$3:$CB$130,S$132,0))</f>
        <v>12</v>
      </c>
      <c r="T37" s="318">
        <f ca="1">IF(OR($A37="",TYPE(VLOOKUP($A37,Centrum!$D$3:$M$130,10,0))&gt;3),"",VLOOKUP(VLOOKUP($A37,Centrum!$D$3:$M$130,10,0),Centrum!$A$3:$CB$130,T$132,0))</f>
        <v>0</v>
      </c>
      <c r="U37" s="318">
        <f ca="1">IF(OR($A37="",TYPE(VLOOKUP($A37,Centrum!$D$3:$M$130,10,0))&gt;3),"",VLOOKUP(VLOOKUP($A37,Centrum!$D$3:$M$130,10,0),Centrum!$A$3:$CB$130,U$132,0))</f>
        <v>-2</v>
      </c>
      <c r="AB37" s="318">
        <f ca="1">IF(OR($A37="",TYPE(VLOOKUP($A37,Centrum!$D$3:$M$130,10,0))&gt;3),"",VLOOKUP(VLOOKUP($A37,Centrum!$D$3:$M$130,10,0),Centrum!$A$3:$CB$130,AB$132,0))</f>
        <v>11</v>
      </c>
      <c r="AC37" s="318">
        <f ca="1">IF(OR($A37="",TYPE(VLOOKUP($A37,Centrum!$D$3:$M$130,10,0))&gt;3),"",VLOOKUP(VLOOKUP($A37,Centrum!$D$3:$M$130,10,0),Centrum!$A$3:$CB$130,AC$132,0))</f>
        <v>0</v>
      </c>
      <c r="AD37" s="318">
        <f ca="1">IF(OR($A37="",TYPE(VLOOKUP($A37,Centrum!$D$3:$M$130,10,0))&gt;3),"",VLOOKUP(VLOOKUP($A37,Centrum!$D$3:$M$130,10,0),Centrum!$A$3:$CB$130,AD$132,0))</f>
        <v>-4</v>
      </c>
      <c r="AK37" s="318">
        <f ca="1">IF(OR($A37="",TYPE(VLOOKUP($A37,Centrum!$D$3:$M$130,10,0))&gt;3),"",VLOOKUP(VLOOKUP($A37,Centrum!$D$3:$M$130,10,0),Centrum!$A$3:$CB$130,AK$132,0))</f>
        <v>32</v>
      </c>
      <c r="AL37" s="318">
        <f ca="1">IF(OR($A37="",TYPE(VLOOKUP($A37,Centrum!$D$3:$M$130,10,0))&gt;3),"",VLOOKUP(VLOOKUP($A37,Centrum!$D$3:$M$130,10,0),Centrum!$A$3:$CB$130,AL$132,0))</f>
        <v>1</v>
      </c>
      <c r="AM37" s="318">
        <f ca="1">IF(OR($A37="",TYPE(VLOOKUP($A37,Centrum!$D$3:$M$130,10,0))&gt;3),"",VLOOKUP(VLOOKUP($A37,Centrum!$D$3:$M$130,10,0),Centrum!$A$3:$CB$130,AM$132,0))</f>
        <v>4</v>
      </c>
      <c r="AT37" s="318">
        <f ca="1">IF(OR(OR($A37="",TYPE(VLOOKUP($A37,Centrum!$D$3:$M$130,10,0))&gt;3),$A$1&lt;4),"",VLOOKUP(VLOOKUP($A37,Centrum!$D$3:$M$130,10,0),Centrum!$A$3:$CB$130,AT$132,0))</f>
        <v>26</v>
      </c>
      <c r="AU37" s="318">
        <f ca="1">IF(OR(OR($A37="",TYPE(VLOOKUP($A37,Centrum!$D$3:$M$130,10,0))&gt;3),$A$1&lt;4),"",VLOOKUP(VLOOKUP($A37,Centrum!$D$3:$M$130,10,0),Centrum!$A$3:$CB$130,AU$132,0))</f>
        <v>1</v>
      </c>
      <c r="AV37" s="318">
        <f ca="1">IF(OR(OR($A37="",TYPE(VLOOKUP($A37,Centrum!$D$3:$M$130,10,0))&gt;3),$A$1&lt;4),"",VLOOKUP(VLOOKUP($A37,Centrum!$D$3:$M$130,10,0),Centrum!$A$3:$CB$130,AV$132,0))</f>
        <v>3</v>
      </c>
      <c r="BC37" s="318" t="str">
        <f ca="1">IF(OR(OR($A37="",TYPE(VLOOKUP($A37,Centrum!$D$3:$M$130,10,0))&gt;3),$A$1&lt;5),"",VLOOKUP(VLOOKUP($A37,Centrum!$D$3:$M$130,10,0),Centrum!$A$3:$CB$130,BC$132,0))</f>
        <v/>
      </c>
      <c r="BD37" s="318" t="str">
        <f ca="1">IF(OR(OR($A37="",TYPE(VLOOKUP($A37,Centrum!$D$3:$M$130,10,0))&gt;3),$A$1&lt;5),"",VLOOKUP(VLOOKUP($A37,Centrum!$D$3:$M$130,10,0),Centrum!$A$3:$CB$130,BD$132,0))</f>
        <v/>
      </c>
      <c r="BE37" s="318" t="str">
        <f ca="1">IF(OR(OR($A37="",TYPE(VLOOKUP($A37,Centrum!$D$3:$M$130,10,0))&gt;3),$A$1&lt;5),"",VLOOKUP(VLOOKUP($A37,Centrum!$D$3:$M$130,10,0),Centrum!$A$3:$CB$130,BE$132,0))</f>
        <v/>
      </c>
      <c r="BL37" s="318" t="str">
        <f ca="1">IF(OR(OR($A37="",TYPE(VLOOKUP($A37,Centrum!$D$3:$M$130,10,0))&gt;3),$A$1&lt;6),"",VLOOKUP(VLOOKUP($A37,Centrum!$D$3:$M$130,10,0),Centrum!$A$3:$CB$130,BL$132,0))</f>
        <v/>
      </c>
      <c r="BM37" s="318" t="str">
        <f ca="1">IF(OR(OR($A37="",TYPE(VLOOKUP($A37,Centrum!$D$3:$M$130,10,0))&gt;3),$A$1&lt;6),"",VLOOKUP(VLOOKUP($A37,Centrum!$D$3:$M$130,10,0),Centrum!$A$3:$CB$130,BM$132,0))</f>
        <v/>
      </c>
      <c r="BN37" s="318" t="str">
        <f ca="1">IF(OR(OR($A37="",TYPE(VLOOKUP($A37,Centrum!$D$3:$M$130,10,0))&gt;3),$A$1&lt;6),"",VLOOKUP(VLOOKUP($A37,Centrum!$D$3:$M$130,10,0),Centrum!$A$3:$CB$130,BN$132,0))</f>
        <v/>
      </c>
    </row>
    <row r="38" spans="1:66" x14ac:dyDescent="0.4">
      <c r="A38" s="318">
        <f ca="1">Centrum!A38</f>
        <v>36</v>
      </c>
      <c r="B38" s="421" t="str">
        <f ca="1">IF(OR($A38="",TYPE(VLOOKUP($A38,Centrum!$D$3:$M$130,10,0))&gt;3),"",VLOOKUP(VLOOKUP(A38,Centrum!$D$3:$M$130,10,0),Centrum!$A$3:$CB$130,B$132,0))</f>
        <v xml:space="preserve">45   - kim, Dánsko  </v>
      </c>
      <c r="C38" s="318">
        <f ca="1">IF(OR($A38="",TYPE(VLOOKUP($A38,Centrum!$D$3:$M$130,10,0))&gt;3),"",VLOOKUP($A38,Centrum!$D$3:$M$130,10,0))</f>
        <v>45</v>
      </c>
      <c r="E38" s="318">
        <f ca="1">IF(OR($A38="",TYPE(VLOOKUP($A38,Centrum!$D$3:$M$130,10,0))&gt;3),"",VLOOKUP(VLOOKUP($A38,Centrum!$D$3:$M$130,10,0),Centrum!$A$3:$CB$130,E$132,0))</f>
        <v>2</v>
      </c>
      <c r="F38" s="318">
        <f ca="1">IF(OR($A38="",TYPE(VLOOKUP($A38,Centrum!$D$3:$M$130,10,0))&gt;3),"",VLOOKUP(VLOOKUP($A38,Centrum!$D$3:$M$130,10,0),Centrum!$A$3:$CB$130,F$132,0))</f>
        <v>6</v>
      </c>
      <c r="G38" s="318">
        <f ca="1">IF(OR($A38="",TYPE(VLOOKUP($A38,Centrum!$D$3:$M$130,10,0))&gt;3),"",VLOOKUP(VLOOKUP($A38,Centrum!$D$3:$M$130,10,0),Centrum!$A$3:$CB$130,G$132,0))</f>
        <v>36</v>
      </c>
      <c r="H38" s="318">
        <f ca="1">IF($A38="","",VLOOKUP(VLOOKUP($A38,Centrum!$D$3:$M$130,10,0),Centrum!$A$3:$CB$130,H$132,0))</f>
        <v>1</v>
      </c>
      <c r="I38" s="318">
        <f ca="1">IF($A38="","",VLOOKUP(VLOOKUP($A38,Centrum!$D$3:$M$130,10,0),Centrum!$A$3:$CB$130,I$132,0))</f>
        <v>2</v>
      </c>
      <c r="J38" s="318">
        <f ca="1">IF(OR($A38="",TYPE(VLOOKUP($A38,Centrum!$D$3:$M$130,10,0))&gt;3),"",VLOOKUP(VLOOKUP($A38,Centrum!$D$3:$M$130,10,0),Centrum!$A$3:$CB$130,J$132,0))</f>
        <v>2</v>
      </c>
      <c r="L38" s="318">
        <f ca="1">IF(OR($A38="",TYPE(VLOOKUP($A38,Centrum!$D$3:$M$130,10,0))&gt;3),"",VLOOKUP(VLOOKUP($A38,Centrum!$D$3:$M$130,10,0),Centrum!$A$3:$CB$130,L$132,0))</f>
        <v>17</v>
      </c>
      <c r="M38" s="318">
        <f ca="1">IF(OR($A38="",TYPE(VLOOKUP($A38,Centrum!$D$3:$M$130,10,0))&gt;3),"",VLOOKUP(VLOOKUP($A38,Centrum!$D$3:$M$130,10,0),Centrum!$A$3:$CB$130,M$132,0))</f>
        <v>30</v>
      </c>
      <c r="N38" s="318">
        <f ca="1">IF(OR($A38="",TYPE(VLOOKUP($A38,Centrum!$D$3:$M$130,10,0))&gt;3),"",VLOOKUP(VLOOKUP($A38,Centrum!$D$3:$M$130,10,0),Centrum!$A$3:$CB$130,N$132,0))</f>
        <v>8</v>
      </c>
      <c r="O38" s="318">
        <f ca="1">IF(OR($A38="",TYPE(VLOOKUP($A38,Centrum!$D$3:$M$130,10,0))&gt;3),"",VLOOKUP(VLOOKUP($A38,Centrum!$D$3:$M$130,10,0),Centrum!$A$3:$CB$130,O$132,0))</f>
        <v>24</v>
      </c>
      <c r="P38" s="318">
        <f ca="1">IF(OR($A38="",TYPE(VLOOKUP($A38,Centrum!$D$3:$M$130,10,0))&gt;3),"",VLOOKUP(VLOOKUP($A38,Centrum!$D$3:$M$130,10,0),Centrum!$A$3:$CB$130,P$132,0))</f>
        <v>0</v>
      </c>
      <c r="Q38" s="318">
        <f ca="1">IF(OR($A38="",TYPE(VLOOKUP($A38,Centrum!$D$3:$M$130,10,0))&gt;3),"",VLOOKUP(VLOOKUP($A38,Centrum!$D$3:$M$130,10,0),Centrum!$A$3:$CB$130,Q$132,0))</f>
        <v>0</v>
      </c>
      <c r="S38" s="318">
        <f ca="1">IF(OR($A38="",TYPE(VLOOKUP($A38,Centrum!$D$3:$M$130,10,0))&gt;3),"",VLOOKUP(VLOOKUP($A38,Centrum!$D$3:$M$130,10,0),Centrum!$A$3:$CB$130,S$132,0))</f>
        <v>17</v>
      </c>
      <c r="T38" s="318">
        <f ca="1">IF(OR($A38="",TYPE(VLOOKUP($A38,Centrum!$D$3:$M$130,10,0))&gt;3),"",VLOOKUP(VLOOKUP($A38,Centrum!$D$3:$M$130,10,0),Centrum!$A$3:$CB$130,T$132,0))</f>
        <v>0</v>
      </c>
      <c r="U38" s="318">
        <f ca="1">IF(OR($A38="",TYPE(VLOOKUP($A38,Centrum!$D$3:$M$130,10,0))&gt;3),"",VLOOKUP(VLOOKUP($A38,Centrum!$D$3:$M$130,10,0),Centrum!$A$3:$CB$130,U$132,0))</f>
        <v>-3</v>
      </c>
      <c r="AB38" s="318">
        <f ca="1">IF(OR($A38="",TYPE(VLOOKUP($A38,Centrum!$D$3:$M$130,10,0))&gt;3),"",VLOOKUP(VLOOKUP($A38,Centrum!$D$3:$M$130,10,0),Centrum!$A$3:$CB$130,AB$132,0))</f>
        <v>30</v>
      </c>
      <c r="AC38" s="318">
        <f ca="1">IF(OR($A38="",TYPE(VLOOKUP($A38,Centrum!$D$3:$M$130,10,0))&gt;3),"",VLOOKUP(VLOOKUP($A38,Centrum!$D$3:$M$130,10,0),Centrum!$A$3:$CB$130,AC$132,0))</f>
        <v>1</v>
      </c>
      <c r="AD38" s="318">
        <f ca="1">IF(OR($A38="",TYPE(VLOOKUP($A38,Centrum!$D$3:$M$130,10,0))&gt;3),"",VLOOKUP(VLOOKUP($A38,Centrum!$D$3:$M$130,10,0),Centrum!$A$3:$CB$130,AD$132,0))</f>
        <v>4</v>
      </c>
      <c r="AK38" s="318">
        <f ca="1">IF(OR($A38="",TYPE(VLOOKUP($A38,Centrum!$D$3:$M$130,10,0))&gt;3),"",VLOOKUP(VLOOKUP($A38,Centrum!$D$3:$M$130,10,0),Centrum!$A$3:$CB$130,AK$132,0))</f>
        <v>8</v>
      </c>
      <c r="AL38" s="318">
        <f ca="1">IF(OR($A38="",TYPE(VLOOKUP($A38,Centrum!$D$3:$M$130,10,0))&gt;3),"",VLOOKUP(VLOOKUP($A38,Centrum!$D$3:$M$130,10,0),Centrum!$A$3:$CB$130,AL$132,0))</f>
        <v>1</v>
      </c>
      <c r="AM38" s="318">
        <f ca="1">IF(OR($A38="",TYPE(VLOOKUP($A38,Centrum!$D$3:$M$130,10,0))&gt;3),"",VLOOKUP(VLOOKUP($A38,Centrum!$D$3:$M$130,10,0),Centrum!$A$3:$CB$130,AM$132,0))</f>
        <v>7</v>
      </c>
      <c r="AT38" s="318">
        <f ca="1">IF(OR(OR($A38="",TYPE(VLOOKUP($A38,Centrum!$D$3:$M$130,10,0))&gt;3),$A$1&lt;4),"",VLOOKUP(VLOOKUP($A38,Centrum!$D$3:$M$130,10,0),Centrum!$A$3:$CB$130,AT$132,0))</f>
        <v>24</v>
      </c>
      <c r="AU38" s="318">
        <f ca="1">IF(OR(OR($A38="",TYPE(VLOOKUP($A38,Centrum!$D$3:$M$130,10,0))&gt;3),$A$1&lt;4),"",VLOOKUP(VLOOKUP($A38,Centrum!$D$3:$M$130,10,0),Centrum!$A$3:$CB$130,AU$132,0))</f>
        <v>0</v>
      </c>
      <c r="AV38" s="318">
        <f ca="1">IF(OR(OR($A38="",TYPE(VLOOKUP($A38,Centrum!$D$3:$M$130,10,0))&gt;3),$A$1&lt;4),"",VLOOKUP(VLOOKUP($A38,Centrum!$D$3:$M$130,10,0),Centrum!$A$3:$CB$130,AV$132,0))</f>
        <v>-6</v>
      </c>
      <c r="BC38" s="318" t="str">
        <f ca="1">IF(OR(OR($A38="",TYPE(VLOOKUP($A38,Centrum!$D$3:$M$130,10,0))&gt;3),$A$1&lt;5),"",VLOOKUP(VLOOKUP($A38,Centrum!$D$3:$M$130,10,0),Centrum!$A$3:$CB$130,BC$132,0))</f>
        <v/>
      </c>
      <c r="BD38" s="318" t="str">
        <f ca="1">IF(OR(OR($A38="",TYPE(VLOOKUP($A38,Centrum!$D$3:$M$130,10,0))&gt;3),$A$1&lt;5),"",VLOOKUP(VLOOKUP($A38,Centrum!$D$3:$M$130,10,0),Centrum!$A$3:$CB$130,BD$132,0))</f>
        <v/>
      </c>
      <c r="BE38" s="318" t="str">
        <f ca="1">IF(OR(OR($A38="",TYPE(VLOOKUP($A38,Centrum!$D$3:$M$130,10,0))&gt;3),$A$1&lt;5),"",VLOOKUP(VLOOKUP($A38,Centrum!$D$3:$M$130,10,0),Centrum!$A$3:$CB$130,BE$132,0))</f>
        <v/>
      </c>
      <c r="BL38" s="318" t="str">
        <f ca="1">IF(OR(OR($A38="",TYPE(VLOOKUP($A38,Centrum!$D$3:$M$130,10,0))&gt;3),$A$1&lt;6),"",VLOOKUP(VLOOKUP($A38,Centrum!$D$3:$M$130,10,0),Centrum!$A$3:$CB$130,BL$132,0))</f>
        <v/>
      </c>
      <c r="BM38" s="318" t="str">
        <f ca="1">IF(OR(OR($A38="",TYPE(VLOOKUP($A38,Centrum!$D$3:$M$130,10,0))&gt;3),$A$1&lt;6),"",VLOOKUP(VLOOKUP($A38,Centrum!$D$3:$M$130,10,0),Centrum!$A$3:$CB$130,BM$132,0))</f>
        <v/>
      </c>
      <c r="BN38" s="318" t="str">
        <f ca="1">IF(OR(OR($A38="",TYPE(VLOOKUP($A38,Centrum!$D$3:$M$130,10,0))&gt;3),$A$1&lt;6),"",VLOOKUP(VLOOKUP($A38,Centrum!$D$3:$M$130,10,0),Centrum!$A$3:$CB$130,BN$132,0))</f>
        <v/>
      </c>
    </row>
    <row r="39" spans="1:66" x14ac:dyDescent="0.4">
      <c r="A39" s="318">
        <f ca="1">Centrum!A39</f>
        <v>37</v>
      </c>
      <c r="B39" s="421" t="str">
        <f ca="1">IF(OR($A39="",TYPE(VLOOKUP($A39,Centrum!$D$3:$M$130,10,0))&gt;3),"",VLOOKUP(VLOOKUP(A39,Centrum!$D$3:$M$130,10,0),Centrum!$A$3:$CB$130,B$132,0))</f>
        <v>18 Petank Club Praha - Kašparová Barbora</v>
      </c>
      <c r="C39" s="318">
        <f ca="1">IF(OR($A39="",TYPE(VLOOKUP($A39,Centrum!$D$3:$M$130,10,0))&gt;3),"",VLOOKUP($A39,Centrum!$D$3:$M$130,10,0))</f>
        <v>18</v>
      </c>
      <c r="E39" s="318">
        <f ca="1">IF(OR($A39="",TYPE(VLOOKUP($A39,Centrum!$D$3:$M$130,10,0))&gt;3),"",VLOOKUP(VLOOKUP($A39,Centrum!$D$3:$M$130,10,0),Centrum!$A$3:$CB$130,E$132,0))</f>
        <v>2</v>
      </c>
      <c r="F39" s="318">
        <f ca="1">IF(OR($A39="",TYPE(VLOOKUP($A39,Centrum!$D$3:$M$130,10,0))&gt;3),"",VLOOKUP(VLOOKUP($A39,Centrum!$D$3:$M$130,10,0),Centrum!$A$3:$CB$130,F$132,0))</f>
        <v>6</v>
      </c>
      <c r="G39" s="318">
        <f ca="1">IF(OR($A39="",TYPE(VLOOKUP($A39,Centrum!$D$3:$M$130,10,0))&gt;3),"",VLOOKUP(VLOOKUP($A39,Centrum!$D$3:$M$130,10,0),Centrum!$A$3:$CB$130,G$132,0))</f>
        <v>31</v>
      </c>
      <c r="H39" s="318">
        <f ca="1">IF($A39="","",VLOOKUP(VLOOKUP($A39,Centrum!$D$3:$M$130,10,0),Centrum!$A$3:$CB$130,H$132,0))</f>
        <v>2</v>
      </c>
      <c r="I39" s="318">
        <f ca="1">IF($A39="","",VLOOKUP(VLOOKUP($A39,Centrum!$D$3:$M$130,10,0),Centrum!$A$3:$CB$130,I$132,0))</f>
        <v>0</v>
      </c>
      <c r="J39" s="318">
        <f ca="1">IF(OR($A39="",TYPE(VLOOKUP($A39,Centrum!$D$3:$M$130,10,0))&gt;3),"",VLOOKUP(VLOOKUP($A39,Centrum!$D$3:$M$130,10,0),Centrum!$A$3:$CB$130,J$132,0))</f>
        <v>4</v>
      </c>
      <c r="L39" s="318">
        <f ca="1">IF(OR($A39="",TYPE(VLOOKUP($A39,Centrum!$D$3:$M$130,10,0))&gt;3),"",VLOOKUP(VLOOKUP($A39,Centrum!$D$3:$M$130,10,0),Centrum!$A$3:$CB$130,L$132,0))</f>
        <v>46</v>
      </c>
      <c r="M39" s="318">
        <f ca="1">IF(OR($A39="",TYPE(VLOOKUP($A39,Centrum!$D$3:$M$130,10,0))&gt;3),"",VLOOKUP(VLOOKUP($A39,Centrum!$D$3:$M$130,10,0),Centrum!$A$3:$CB$130,M$132,0))</f>
        <v>57</v>
      </c>
      <c r="N39" s="318">
        <f ca="1">IF(OR($A39="",TYPE(VLOOKUP($A39,Centrum!$D$3:$M$130,10,0))&gt;3),"",VLOOKUP(VLOOKUP($A39,Centrum!$D$3:$M$130,10,0),Centrum!$A$3:$CB$130,N$132,0))</f>
        <v>39</v>
      </c>
      <c r="O39" s="318">
        <f ca="1">IF(OR($A39="",TYPE(VLOOKUP($A39,Centrum!$D$3:$M$130,10,0))&gt;3),"",VLOOKUP(VLOOKUP($A39,Centrum!$D$3:$M$130,10,0),Centrum!$A$3:$CB$130,O$132,0))</f>
        <v>41</v>
      </c>
      <c r="P39" s="318">
        <f ca="1">IF(OR($A39="",TYPE(VLOOKUP($A39,Centrum!$D$3:$M$130,10,0))&gt;3),"",VLOOKUP(VLOOKUP($A39,Centrum!$D$3:$M$130,10,0),Centrum!$A$3:$CB$130,P$132,0))</f>
        <v>0</v>
      </c>
      <c r="Q39" s="318">
        <f ca="1">IF(OR($A39="",TYPE(VLOOKUP($A39,Centrum!$D$3:$M$130,10,0))&gt;3),"",VLOOKUP(VLOOKUP($A39,Centrum!$D$3:$M$130,10,0),Centrum!$A$3:$CB$130,Q$132,0))</f>
        <v>0</v>
      </c>
      <c r="S39" s="318">
        <f ca="1">IF(OR($A39="",TYPE(VLOOKUP($A39,Centrum!$D$3:$M$130,10,0))&gt;3),"",VLOOKUP(VLOOKUP($A39,Centrum!$D$3:$M$130,10,0),Centrum!$A$3:$CB$130,S$132,0))</f>
        <v>46</v>
      </c>
      <c r="T39" s="318">
        <f ca="1">IF(OR($A39="",TYPE(VLOOKUP($A39,Centrum!$D$3:$M$130,10,0))&gt;3),"",VLOOKUP(VLOOKUP($A39,Centrum!$D$3:$M$130,10,0),Centrum!$A$3:$CB$130,T$132,0))</f>
        <v>1</v>
      </c>
      <c r="U39" s="318">
        <f ca="1">IF(OR($A39="",TYPE(VLOOKUP($A39,Centrum!$D$3:$M$130,10,0))&gt;3),"",VLOOKUP(VLOOKUP($A39,Centrum!$D$3:$M$130,10,0),Centrum!$A$3:$CB$130,U$132,0))</f>
        <v>6</v>
      </c>
      <c r="AB39" s="318">
        <f ca="1">IF(OR($A39="",TYPE(VLOOKUP($A39,Centrum!$D$3:$M$130,10,0))&gt;3),"",VLOOKUP(VLOOKUP($A39,Centrum!$D$3:$M$130,10,0),Centrum!$A$3:$CB$130,AB$132,0))</f>
        <v>57</v>
      </c>
      <c r="AC39" s="318">
        <f ca="1">IF(OR($A39="",TYPE(VLOOKUP($A39,Centrum!$D$3:$M$130,10,0))&gt;3),"",VLOOKUP(VLOOKUP($A39,Centrum!$D$3:$M$130,10,0),Centrum!$A$3:$CB$130,AC$132,0))</f>
        <v>0</v>
      </c>
      <c r="AD39" s="318">
        <f ca="1">IF(OR($A39="",TYPE(VLOOKUP($A39,Centrum!$D$3:$M$130,10,0))&gt;3),"",VLOOKUP(VLOOKUP($A39,Centrum!$D$3:$M$130,10,0),Centrum!$A$3:$CB$130,AD$132,0))</f>
        <v>-4</v>
      </c>
      <c r="AK39" s="318">
        <f ca="1">IF(OR($A39="",TYPE(VLOOKUP($A39,Centrum!$D$3:$M$130,10,0))&gt;3),"",VLOOKUP(VLOOKUP($A39,Centrum!$D$3:$M$130,10,0),Centrum!$A$3:$CB$130,AK$132,0))</f>
        <v>39</v>
      </c>
      <c r="AL39" s="318">
        <f ca="1">IF(OR($A39="",TYPE(VLOOKUP($A39,Centrum!$D$3:$M$130,10,0))&gt;3),"",VLOOKUP(VLOOKUP($A39,Centrum!$D$3:$M$130,10,0),Centrum!$A$3:$CB$130,AL$132,0))</f>
        <v>0</v>
      </c>
      <c r="AM39" s="318">
        <f ca="1">IF(OR($A39="",TYPE(VLOOKUP($A39,Centrum!$D$3:$M$130,10,0))&gt;3),"",VLOOKUP(VLOOKUP($A39,Centrum!$D$3:$M$130,10,0),Centrum!$A$3:$CB$130,AM$132,0))</f>
        <v>-4</v>
      </c>
      <c r="AT39" s="318">
        <f ca="1">IF(OR(OR($A39="",TYPE(VLOOKUP($A39,Centrum!$D$3:$M$130,10,0))&gt;3),$A$1&lt;4),"",VLOOKUP(VLOOKUP($A39,Centrum!$D$3:$M$130,10,0),Centrum!$A$3:$CB$130,AT$132,0))</f>
        <v>41</v>
      </c>
      <c r="AU39" s="318">
        <f ca="1">IF(OR(OR($A39="",TYPE(VLOOKUP($A39,Centrum!$D$3:$M$130,10,0))&gt;3),$A$1&lt;4),"",VLOOKUP(VLOOKUP($A39,Centrum!$D$3:$M$130,10,0),Centrum!$A$3:$CB$130,AU$132,0))</f>
        <v>1</v>
      </c>
      <c r="AV39" s="318">
        <f ca="1">IF(OR(OR($A39="",TYPE(VLOOKUP($A39,Centrum!$D$3:$M$130,10,0))&gt;3),$A$1&lt;4),"",VLOOKUP(VLOOKUP($A39,Centrum!$D$3:$M$130,10,0),Centrum!$A$3:$CB$130,AV$132,0))</f>
        <v>6</v>
      </c>
      <c r="BC39" s="318" t="str">
        <f ca="1">IF(OR(OR($A39="",TYPE(VLOOKUP($A39,Centrum!$D$3:$M$130,10,0))&gt;3),$A$1&lt;5),"",VLOOKUP(VLOOKUP($A39,Centrum!$D$3:$M$130,10,0),Centrum!$A$3:$CB$130,BC$132,0))</f>
        <v/>
      </c>
      <c r="BD39" s="318" t="str">
        <f ca="1">IF(OR(OR($A39="",TYPE(VLOOKUP($A39,Centrum!$D$3:$M$130,10,0))&gt;3),$A$1&lt;5),"",VLOOKUP(VLOOKUP($A39,Centrum!$D$3:$M$130,10,0),Centrum!$A$3:$CB$130,BD$132,0))</f>
        <v/>
      </c>
      <c r="BE39" s="318" t="str">
        <f ca="1">IF(OR(OR($A39="",TYPE(VLOOKUP($A39,Centrum!$D$3:$M$130,10,0))&gt;3),$A$1&lt;5),"",VLOOKUP(VLOOKUP($A39,Centrum!$D$3:$M$130,10,0),Centrum!$A$3:$CB$130,BE$132,0))</f>
        <v/>
      </c>
      <c r="BL39" s="318" t="str">
        <f ca="1">IF(OR(OR($A39="",TYPE(VLOOKUP($A39,Centrum!$D$3:$M$130,10,0))&gt;3),$A$1&lt;6),"",VLOOKUP(VLOOKUP($A39,Centrum!$D$3:$M$130,10,0),Centrum!$A$3:$CB$130,BL$132,0))</f>
        <v/>
      </c>
      <c r="BM39" s="318" t="str">
        <f ca="1">IF(OR(OR($A39="",TYPE(VLOOKUP($A39,Centrum!$D$3:$M$130,10,0))&gt;3),$A$1&lt;6),"",VLOOKUP(VLOOKUP($A39,Centrum!$D$3:$M$130,10,0),Centrum!$A$3:$CB$130,BM$132,0))</f>
        <v/>
      </c>
      <c r="BN39" s="318" t="str">
        <f ca="1">IF(OR(OR($A39="",TYPE(VLOOKUP($A39,Centrum!$D$3:$M$130,10,0))&gt;3),$A$1&lt;6),"",VLOOKUP(VLOOKUP($A39,Centrum!$D$3:$M$130,10,0),Centrum!$A$3:$CB$130,BN$132,0))</f>
        <v/>
      </c>
    </row>
    <row r="40" spans="1:66" x14ac:dyDescent="0.4">
      <c r="A40" s="318">
        <f ca="1">Centrum!A40</f>
        <v>38</v>
      </c>
      <c r="B40" s="421" t="str">
        <f ca="1">IF(OR($A40="",TYPE(VLOOKUP($A40,Centrum!$D$3:$M$130,10,0))&gt;3),"",VLOOKUP(VLOOKUP(A40,Centrum!$D$3:$M$130,10,0),Centrum!$A$3:$CB$130,B$132,0))</f>
        <v xml:space="preserve">50   - Jesper K, Dánsko  </v>
      </c>
      <c r="C40" s="318">
        <f ca="1">IF(OR($A40="",TYPE(VLOOKUP($A40,Centrum!$D$3:$M$130,10,0))&gt;3),"",VLOOKUP($A40,Centrum!$D$3:$M$130,10,0))</f>
        <v>50</v>
      </c>
      <c r="E40" s="318">
        <f ca="1">IF(OR($A40="",TYPE(VLOOKUP($A40,Centrum!$D$3:$M$130,10,0))&gt;3),"",VLOOKUP(VLOOKUP($A40,Centrum!$D$3:$M$130,10,0),Centrum!$A$3:$CB$130,E$132,0))</f>
        <v>2</v>
      </c>
      <c r="F40" s="318">
        <f ca="1">IF(OR($A40="",TYPE(VLOOKUP($A40,Centrum!$D$3:$M$130,10,0))&gt;3),"",VLOOKUP(VLOOKUP($A40,Centrum!$D$3:$M$130,10,0),Centrum!$A$3:$CB$130,F$132,0))</f>
        <v>5</v>
      </c>
      <c r="G40" s="318">
        <f ca="1">IF(OR($A40="",TYPE(VLOOKUP($A40,Centrum!$D$3:$M$130,10,0))&gt;3),"",VLOOKUP(VLOOKUP($A40,Centrum!$D$3:$M$130,10,0),Centrum!$A$3:$CB$130,G$132,0))</f>
        <v>35</v>
      </c>
      <c r="H40" s="318">
        <f ca="1">IF($A40="","",VLOOKUP(VLOOKUP($A40,Centrum!$D$3:$M$130,10,0),Centrum!$A$3:$CB$130,H$132,0))</f>
        <v>1</v>
      </c>
      <c r="I40" s="318">
        <f ca="1">IF($A40="","",VLOOKUP(VLOOKUP($A40,Centrum!$D$3:$M$130,10,0),Centrum!$A$3:$CB$130,I$132,0))</f>
        <v>2</v>
      </c>
      <c r="J40" s="318">
        <f ca="1">IF(OR($A40="",TYPE(VLOOKUP($A40,Centrum!$D$3:$M$130,10,0))&gt;3),"",VLOOKUP(VLOOKUP($A40,Centrum!$D$3:$M$130,10,0),Centrum!$A$3:$CB$130,J$132,0))</f>
        <v>-12</v>
      </c>
      <c r="L40" s="318">
        <f ca="1">IF(OR($A40="",TYPE(VLOOKUP($A40,Centrum!$D$3:$M$130,10,0))&gt;3),"",VLOOKUP(VLOOKUP($A40,Centrum!$D$3:$M$130,10,0),Centrum!$A$3:$CB$130,L$132,0))</f>
        <v>22</v>
      </c>
      <c r="M40" s="318">
        <f ca="1">IF(OR($A40="",TYPE(VLOOKUP($A40,Centrum!$D$3:$M$130,10,0))&gt;3),"",VLOOKUP(VLOOKUP($A40,Centrum!$D$3:$M$130,10,0),Centrum!$A$3:$CB$130,M$132,0))</f>
        <v>49</v>
      </c>
      <c r="N40" s="318">
        <f ca="1">IF(OR($A40="",TYPE(VLOOKUP($A40,Centrum!$D$3:$M$130,10,0))&gt;3),"",VLOOKUP(VLOOKUP($A40,Centrum!$D$3:$M$130,10,0),Centrum!$A$3:$CB$130,N$132,0))</f>
        <v>48</v>
      </c>
      <c r="O40" s="318">
        <f ca="1">IF(OR($A40="",TYPE(VLOOKUP($A40,Centrum!$D$3:$M$130,10,0))&gt;3),"",VLOOKUP(VLOOKUP($A40,Centrum!$D$3:$M$130,10,0),Centrum!$A$3:$CB$130,O$132,0))</f>
        <v>47</v>
      </c>
      <c r="P40" s="318">
        <f ca="1">IF(OR($A40="",TYPE(VLOOKUP($A40,Centrum!$D$3:$M$130,10,0))&gt;3),"",VLOOKUP(VLOOKUP($A40,Centrum!$D$3:$M$130,10,0),Centrum!$A$3:$CB$130,P$132,0))</f>
        <v>0</v>
      </c>
      <c r="Q40" s="318">
        <f ca="1">IF(OR($A40="",TYPE(VLOOKUP($A40,Centrum!$D$3:$M$130,10,0))&gt;3),"",VLOOKUP(VLOOKUP($A40,Centrum!$D$3:$M$130,10,0),Centrum!$A$3:$CB$130,Q$132,0))</f>
        <v>0</v>
      </c>
      <c r="S40" s="318">
        <f ca="1">IF(OR($A40="",TYPE(VLOOKUP($A40,Centrum!$D$3:$M$130,10,0))&gt;3),"",VLOOKUP(VLOOKUP($A40,Centrum!$D$3:$M$130,10,0),Centrum!$A$3:$CB$130,S$132,0))</f>
        <v>22</v>
      </c>
      <c r="T40" s="318">
        <f ca="1">IF(OR($A40="",TYPE(VLOOKUP($A40,Centrum!$D$3:$M$130,10,0))&gt;3),"",VLOOKUP(VLOOKUP($A40,Centrum!$D$3:$M$130,10,0),Centrum!$A$3:$CB$130,T$132,0))</f>
        <v>0</v>
      </c>
      <c r="U40" s="318">
        <f ca="1">IF(OR($A40="",TYPE(VLOOKUP($A40,Centrum!$D$3:$M$130,10,0))&gt;3),"",VLOOKUP(VLOOKUP($A40,Centrum!$D$3:$M$130,10,0),Centrum!$A$3:$CB$130,U$132,0))</f>
        <v>-12</v>
      </c>
      <c r="AB40" s="318">
        <f ca="1">IF(OR($A40="",TYPE(VLOOKUP($A40,Centrum!$D$3:$M$130,10,0))&gt;3),"",VLOOKUP(VLOOKUP($A40,Centrum!$D$3:$M$130,10,0),Centrum!$A$3:$CB$130,AB$132,0))</f>
        <v>49</v>
      </c>
      <c r="AC40" s="318">
        <f ca="1">IF(OR($A40="",TYPE(VLOOKUP($A40,Centrum!$D$3:$M$130,10,0))&gt;3),"",VLOOKUP(VLOOKUP($A40,Centrum!$D$3:$M$130,10,0),Centrum!$A$3:$CB$130,AC$132,0))</f>
        <v>0</v>
      </c>
      <c r="AD40" s="318">
        <f ca="1">IF(OR($A40="",TYPE(VLOOKUP($A40,Centrum!$D$3:$M$130,10,0))&gt;3),"",VLOOKUP(VLOOKUP($A40,Centrum!$D$3:$M$130,10,0),Centrum!$A$3:$CB$130,AD$132,0))</f>
        <v>-9</v>
      </c>
      <c r="AK40" s="318">
        <f ca="1">IF(OR($A40="",TYPE(VLOOKUP($A40,Centrum!$D$3:$M$130,10,0))&gt;3),"",VLOOKUP(VLOOKUP($A40,Centrum!$D$3:$M$130,10,0),Centrum!$A$3:$CB$130,AK$132,0))</f>
        <v>48</v>
      </c>
      <c r="AL40" s="318">
        <f ca="1">IF(OR($A40="",TYPE(VLOOKUP($A40,Centrum!$D$3:$M$130,10,0))&gt;3),"",VLOOKUP(VLOOKUP($A40,Centrum!$D$3:$M$130,10,0),Centrum!$A$3:$CB$130,AL$132,0))</f>
        <v>1</v>
      </c>
      <c r="AM40" s="318">
        <f ca="1">IF(OR($A40="",TYPE(VLOOKUP($A40,Centrum!$D$3:$M$130,10,0))&gt;3),"",VLOOKUP(VLOOKUP($A40,Centrum!$D$3:$M$130,10,0),Centrum!$A$3:$CB$130,AM$132,0))</f>
        <v>2</v>
      </c>
      <c r="AT40" s="318">
        <f ca="1">IF(OR(OR($A40="",TYPE(VLOOKUP($A40,Centrum!$D$3:$M$130,10,0))&gt;3),$A$1&lt;4),"",VLOOKUP(VLOOKUP($A40,Centrum!$D$3:$M$130,10,0),Centrum!$A$3:$CB$130,AT$132,0))</f>
        <v>47</v>
      </c>
      <c r="AU40" s="318">
        <f ca="1">IF(OR(OR($A40="",TYPE(VLOOKUP($A40,Centrum!$D$3:$M$130,10,0))&gt;3),$A$1&lt;4),"",VLOOKUP(VLOOKUP($A40,Centrum!$D$3:$M$130,10,0),Centrum!$A$3:$CB$130,AU$132,0))</f>
        <v>1</v>
      </c>
      <c r="AV40" s="318">
        <f ca="1">IF(OR(OR($A40="",TYPE(VLOOKUP($A40,Centrum!$D$3:$M$130,10,0))&gt;3),$A$1&lt;4),"",VLOOKUP(VLOOKUP($A40,Centrum!$D$3:$M$130,10,0),Centrum!$A$3:$CB$130,AV$132,0))</f>
        <v>7</v>
      </c>
      <c r="BC40" s="318" t="str">
        <f ca="1">IF(OR(OR($A40="",TYPE(VLOOKUP($A40,Centrum!$D$3:$M$130,10,0))&gt;3),$A$1&lt;5),"",VLOOKUP(VLOOKUP($A40,Centrum!$D$3:$M$130,10,0),Centrum!$A$3:$CB$130,BC$132,0))</f>
        <v/>
      </c>
      <c r="BD40" s="318" t="str">
        <f ca="1">IF(OR(OR($A40="",TYPE(VLOOKUP($A40,Centrum!$D$3:$M$130,10,0))&gt;3),$A$1&lt;5),"",VLOOKUP(VLOOKUP($A40,Centrum!$D$3:$M$130,10,0),Centrum!$A$3:$CB$130,BD$132,0))</f>
        <v/>
      </c>
      <c r="BE40" s="318" t="str">
        <f ca="1">IF(OR(OR($A40="",TYPE(VLOOKUP($A40,Centrum!$D$3:$M$130,10,0))&gt;3),$A$1&lt;5),"",VLOOKUP(VLOOKUP($A40,Centrum!$D$3:$M$130,10,0),Centrum!$A$3:$CB$130,BE$132,0))</f>
        <v/>
      </c>
      <c r="BL40" s="318" t="str">
        <f ca="1">IF(OR(OR($A40="",TYPE(VLOOKUP($A40,Centrum!$D$3:$M$130,10,0))&gt;3),$A$1&lt;6),"",VLOOKUP(VLOOKUP($A40,Centrum!$D$3:$M$130,10,0),Centrum!$A$3:$CB$130,BL$132,0))</f>
        <v/>
      </c>
      <c r="BM40" s="318" t="str">
        <f ca="1">IF(OR(OR($A40="",TYPE(VLOOKUP($A40,Centrum!$D$3:$M$130,10,0))&gt;3),$A$1&lt;6),"",VLOOKUP(VLOOKUP($A40,Centrum!$D$3:$M$130,10,0),Centrum!$A$3:$CB$130,BM$132,0))</f>
        <v/>
      </c>
      <c r="BN40" s="318" t="str">
        <f ca="1">IF(OR(OR($A40="",TYPE(VLOOKUP($A40,Centrum!$D$3:$M$130,10,0))&gt;3),$A$1&lt;6),"",VLOOKUP(VLOOKUP($A40,Centrum!$D$3:$M$130,10,0),Centrum!$A$3:$CB$130,BN$132,0))</f>
        <v/>
      </c>
    </row>
    <row r="41" spans="1:66" x14ac:dyDescent="0.4">
      <c r="A41" s="318">
        <f ca="1">Centrum!A41</f>
        <v>39</v>
      </c>
      <c r="B41" s="421" t="str">
        <f ca="1">IF(OR($A41="",TYPE(VLOOKUP($A41,Centrum!$D$3:$M$130,10,0))&gt;3),"",VLOOKUP(VLOOKUP(A41,Centrum!$D$3:$M$130,10,0),Centrum!$A$3:$CB$130,B$132,0))</f>
        <v>6 CdP Loděnice - Kamaryt Josef</v>
      </c>
      <c r="C41" s="318">
        <f ca="1">IF(OR($A41="",TYPE(VLOOKUP($A41,Centrum!$D$3:$M$130,10,0))&gt;3),"",VLOOKUP($A41,Centrum!$D$3:$M$130,10,0))</f>
        <v>6</v>
      </c>
      <c r="E41" s="318">
        <f ca="1">IF(OR($A41="",TYPE(VLOOKUP($A41,Centrum!$D$3:$M$130,10,0))&gt;3),"",VLOOKUP(VLOOKUP($A41,Centrum!$D$3:$M$130,10,0),Centrum!$A$3:$CB$130,E$132,0))</f>
        <v>2</v>
      </c>
      <c r="F41" s="318">
        <f ca="1">IF(OR($A41="",TYPE(VLOOKUP($A41,Centrum!$D$3:$M$130,10,0))&gt;3),"",VLOOKUP(VLOOKUP($A41,Centrum!$D$3:$M$130,10,0),Centrum!$A$3:$CB$130,F$132,0))</f>
        <v>5</v>
      </c>
      <c r="G41" s="318">
        <f ca="1">IF(OR($A41="",TYPE(VLOOKUP($A41,Centrum!$D$3:$M$130,10,0))&gt;3),"",VLOOKUP(VLOOKUP($A41,Centrum!$D$3:$M$130,10,0),Centrum!$A$3:$CB$130,G$132,0))</f>
        <v>35</v>
      </c>
      <c r="H41" s="318">
        <f ca="1">IF($A41="","",VLOOKUP(VLOOKUP($A41,Centrum!$D$3:$M$130,10,0),Centrum!$A$3:$CB$130,H$132,0))</f>
        <v>1</v>
      </c>
      <c r="I41" s="318">
        <f ca="1">IF($A41="","",VLOOKUP(VLOOKUP($A41,Centrum!$D$3:$M$130,10,0),Centrum!$A$3:$CB$130,I$132,0))</f>
        <v>0</v>
      </c>
      <c r="J41" s="318">
        <f ca="1">IF(OR($A41="",TYPE(VLOOKUP($A41,Centrum!$D$3:$M$130,10,0))&gt;3),"",VLOOKUP(VLOOKUP($A41,Centrum!$D$3:$M$130,10,0),Centrum!$A$3:$CB$130,J$132,0))</f>
        <v>-12</v>
      </c>
      <c r="L41" s="318">
        <f ca="1">IF(OR($A41="",TYPE(VLOOKUP($A41,Centrum!$D$3:$M$130,10,0))&gt;3),"",VLOOKUP(VLOOKUP($A41,Centrum!$D$3:$M$130,10,0),Centrum!$A$3:$CB$130,L$132,0))</f>
        <v>34</v>
      </c>
      <c r="M41" s="318">
        <f ca="1">IF(OR($A41="",TYPE(VLOOKUP($A41,Centrum!$D$3:$M$130,10,0))&gt;3),"",VLOOKUP(VLOOKUP($A41,Centrum!$D$3:$M$130,10,0),Centrum!$A$3:$CB$130,M$132,0))</f>
        <v>36</v>
      </c>
      <c r="N41" s="318">
        <f ca="1">IF(OR($A41="",TYPE(VLOOKUP($A41,Centrum!$D$3:$M$130,10,0))&gt;3),"",VLOOKUP(VLOOKUP($A41,Centrum!$D$3:$M$130,10,0),Centrum!$A$3:$CB$130,N$132,0))</f>
        <v>30</v>
      </c>
      <c r="O41" s="318">
        <f ca="1">IF(OR($A41="",TYPE(VLOOKUP($A41,Centrum!$D$3:$M$130,10,0))&gt;3),"",VLOOKUP(VLOOKUP($A41,Centrum!$D$3:$M$130,10,0),Centrum!$A$3:$CB$130,O$132,0))</f>
        <v>55</v>
      </c>
      <c r="P41" s="318">
        <f ca="1">IF(OR($A41="",TYPE(VLOOKUP($A41,Centrum!$D$3:$M$130,10,0))&gt;3),"",VLOOKUP(VLOOKUP($A41,Centrum!$D$3:$M$130,10,0),Centrum!$A$3:$CB$130,P$132,0))</f>
        <v>0</v>
      </c>
      <c r="Q41" s="318">
        <f ca="1">IF(OR($A41="",TYPE(VLOOKUP($A41,Centrum!$D$3:$M$130,10,0))&gt;3),"",VLOOKUP(VLOOKUP($A41,Centrum!$D$3:$M$130,10,0),Centrum!$A$3:$CB$130,Q$132,0))</f>
        <v>0</v>
      </c>
      <c r="S41" s="318">
        <f ca="1">IF(OR($A41="",TYPE(VLOOKUP($A41,Centrum!$D$3:$M$130,10,0))&gt;3),"",VLOOKUP(VLOOKUP($A41,Centrum!$D$3:$M$130,10,0),Centrum!$A$3:$CB$130,S$132,0))</f>
        <v>34</v>
      </c>
      <c r="T41" s="318">
        <f ca="1">IF(OR($A41="",TYPE(VLOOKUP($A41,Centrum!$D$3:$M$130,10,0))&gt;3),"",VLOOKUP(VLOOKUP($A41,Centrum!$D$3:$M$130,10,0),Centrum!$A$3:$CB$130,T$132,0))</f>
        <v>0</v>
      </c>
      <c r="U41" s="318">
        <f ca="1">IF(OR($A41="",TYPE(VLOOKUP($A41,Centrum!$D$3:$M$130,10,0))&gt;3),"",VLOOKUP(VLOOKUP($A41,Centrum!$D$3:$M$130,10,0),Centrum!$A$3:$CB$130,U$132,0))</f>
        <v>-13</v>
      </c>
      <c r="AB41" s="318">
        <f ca="1">IF(OR($A41="",TYPE(VLOOKUP($A41,Centrum!$D$3:$M$130,10,0))&gt;3),"",VLOOKUP(VLOOKUP($A41,Centrum!$D$3:$M$130,10,0),Centrum!$A$3:$CB$130,AB$132,0))</f>
        <v>36</v>
      </c>
      <c r="AC41" s="318">
        <f ca="1">IF(OR($A41="",TYPE(VLOOKUP($A41,Centrum!$D$3:$M$130,10,0))&gt;3),"",VLOOKUP(VLOOKUP($A41,Centrum!$D$3:$M$130,10,0),Centrum!$A$3:$CB$130,AC$132,0))</f>
        <v>0</v>
      </c>
      <c r="AD41" s="318">
        <f ca="1">IF(OR($A41="",TYPE(VLOOKUP($A41,Centrum!$D$3:$M$130,10,0))&gt;3),"",VLOOKUP(VLOOKUP($A41,Centrum!$D$3:$M$130,10,0),Centrum!$A$3:$CB$130,AD$132,0))</f>
        <v>-7</v>
      </c>
      <c r="AK41" s="318">
        <f ca="1">IF(OR($A41="",TYPE(VLOOKUP($A41,Centrum!$D$3:$M$130,10,0))&gt;3),"",VLOOKUP(VLOOKUP($A41,Centrum!$D$3:$M$130,10,0),Centrum!$A$3:$CB$130,AK$132,0))</f>
        <v>30</v>
      </c>
      <c r="AL41" s="318">
        <f ca="1">IF(OR($A41="",TYPE(VLOOKUP($A41,Centrum!$D$3:$M$130,10,0))&gt;3),"",VLOOKUP(VLOOKUP($A41,Centrum!$D$3:$M$130,10,0),Centrum!$A$3:$CB$130,AL$132,0))</f>
        <v>1</v>
      </c>
      <c r="AM41" s="318">
        <f ca="1">IF(OR($A41="",TYPE(VLOOKUP($A41,Centrum!$D$3:$M$130,10,0))&gt;3),"",VLOOKUP(VLOOKUP($A41,Centrum!$D$3:$M$130,10,0),Centrum!$A$3:$CB$130,AM$132,0))</f>
        <v>1</v>
      </c>
      <c r="AT41" s="318">
        <f ca="1">IF(OR(OR($A41="",TYPE(VLOOKUP($A41,Centrum!$D$3:$M$130,10,0))&gt;3),$A$1&lt;4),"",VLOOKUP(VLOOKUP($A41,Centrum!$D$3:$M$130,10,0),Centrum!$A$3:$CB$130,AT$132,0))</f>
        <v>55</v>
      </c>
      <c r="AU41" s="318">
        <f ca="1">IF(OR(OR($A41="",TYPE(VLOOKUP($A41,Centrum!$D$3:$M$130,10,0))&gt;3),$A$1&lt;4),"",VLOOKUP(VLOOKUP($A41,Centrum!$D$3:$M$130,10,0),Centrum!$A$3:$CB$130,AU$132,0))</f>
        <v>1</v>
      </c>
      <c r="AV41" s="318">
        <f ca="1">IF(OR(OR($A41="",TYPE(VLOOKUP($A41,Centrum!$D$3:$M$130,10,0))&gt;3),$A$1&lt;4),"",VLOOKUP(VLOOKUP($A41,Centrum!$D$3:$M$130,10,0),Centrum!$A$3:$CB$130,AV$132,0))</f>
        <v>7</v>
      </c>
      <c r="BC41" s="318" t="str">
        <f ca="1">IF(OR(OR($A41="",TYPE(VLOOKUP($A41,Centrum!$D$3:$M$130,10,0))&gt;3),$A$1&lt;5),"",VLOOKUP(VLOOKUP($A41,Centrum!$D$3:$M$130,10,0),Centrum!$A$3:$CB$130,BC$132,0))</f>
        <v/>
      </c>
      <c r="BD41" s="318" t="str">
        <f ca="1">IF(OR(OR($A41="",TYPE(VLOOKUP($A41,Centrum!$D$3:$M$130,10,0))&gt;3),$A$1&lt;5),"",VLOOKUP(VLOOKUP($A41,Centrum!$D$3:$M$130,10,0),Centrum!$A$3:$CB$130,BD$132,0))</f>
        <v/>
      </c>
      <c r="BE41" s="318" t="str">
        <f ca="1">IF(OR(OR($A41="",TYPE(VLOOKUP($A41,Centrum!$D$3:$M$130,10,0))&gt;3),$A$1&lt;5),"",VLOOKUP(VLOOKUP($A41,Centrum!$D$3:$M$130,10,0),Centrum!$A$3:$CB$130,BE$132,0))</f>
        <v/>
      </c>
      <c r="BL41" s="318" t="str">
        <f ca="1">IF(OR(OR($A41="",TYPE(VLOOKUP($A41,Centrum!$D$3:$M$130,10,0))&gt;3),$A$1&lt;6),"",VLOOKUP(VLOOKUP($A41,Centrum!$D$3:$M$130,10,0),Centrum!$A$3:$CB$130,BL$132,0))</f>
        <v/>
      </c>
      <c r="BM41" s="318" t="str">
        <f ca="1">IF(OR(OR($A41="",TYPE(VLOOKUP($A41,Centrum!$D$3:$M$130,10,0))&gt;3),$A$1&lt;6),"",VLOOKUP(VLOOKUP($A41,Centrum!$D$3:$M$130,10,0),Centrum!$A$3:$CB$130,BM$132,0))</f>
        <v/>
      </c>
      <c r="BN41" s="318" t="str">
        <f ca="1">IF(OR(OR($A41="",TYPE(VLOOKUP($A41,Centrum!$D$3:$M$130,10,0))&gt;3),$A$1&lt;6),"",VLOOKUP(VLOOKUP($A41,Centrum!$D$3:$M$130,10,0),Centrum!$A$3:$CB$130,BN$132,0))</f>
        <v/>
      </c>
    </row>
    <row r="42" spans="1:66" x14ac:dyDescent="0.4">
      <c r="A42" s="318">
        <f ca="1">Centrum!A42</f>
        <v>40</v>
      </c>
      <c r="B42" s="421" t="str">
        <f ca="1">IF(OR($A42="",TYPE(VLOOKUP($A42,Centrum!$D$3:$M$130,10,0))&gt;3),"",VLOOKUP(VLOOKUP(A42,Centrum!$D$3:$M$130,10,0),Centrum!$A$3:$CB$130,B$132,0))</f>
        <v>20 HRODE KRUMSÍN - Marcián Vladimír</v>
      </c>
      <c r="C42" s="318">
        <f ca="1">IF(OR($A42="",TYPE(VLOOKUP($A42,Centrum!$D$3:$M$130,10,0))&gt;3),"",VLOOKUP($A42,Centrum!$D$3:$M$130,10,0))</f>
        <v>20</v>
      </c>
      <c r="E42" s="318">
        <f ca="1">IF(OR($A42="",TYPE(VLOOKUP($A42,Centrum!$D$3:$M$130,10,0))&gt;3),"",VLOOKUP(VLOOKUP($A42,Centrum!$D$3:$M$130,10,0),Centrum!$A$3:$CB$130,E$132,0))</f>
        <v>2</v>
      </c>
      <c r="F42" s="318">
        <f ca="1">IF(OR($A42="",TYPE(VLOOKUP($A42,Centrum!$D$3:$M$130,10,0))&gt;3),"",VLOOKUP(VLOOKUP($A42,Centrum!$D$3:$M$130,10,0),Centrum!$A$3:$CB$130,F$132,0))</f>
        <v>5</v>
      </c>
      <c r="G42" s="318">
        <f ca="1">IF(OR($A42="",TYPE(VLOOKUP($A42,Centrum!$D$3:$M$130,10,0))&gt;3),"",VLOOKUP(VLOOKUP($A42,Centrum!$D$3:$M$130,10,0),Centrum!$A$3:$CB$130,G$132,0))</f>
        <v>31</v>
      </c>
      <c r="H42" s="318">
        <f ca="1">IF($A42="","",VLOOKUP(VLOOKUP($A42,Centrum!$D$3:$M$130,10,0),Centrum!$A$3:$CB$130,H$132,0))</f>
        <v>1</v>
      </c>
      <c r="I42" s="318">
        <f ca="1">IF($A42="","",VLOOKUP(VLOOKUP($A42,Centrum!$D$3:$M$130,10,0),Centrum!$A$3:$CB$130,I$132,0))</f>
        <v>0</v>
      </c>
      <c r="J42" s="318">
        <f ca="1">IF(OR($A42="",TYPE(VLOOKUP($A42,Centrum!$D$3:$M$130,10,0))&gt;3),"",VLOOKUP(VLOOKUP($A42,Centrum!$D$3:$M$130,10,0),Centrum!$A$3:$CB$130,J$132,0))</f>
        <v>0</v>
      </c>
      <c r="L42" s="318">
        <f ca="1">IF(OR($A42="",TYPE(VLOOKUP($A42,Centrum!$D$3:$M$130,10,0))&gt;3),"",VLOOKUP(VLOOKUP($A42,Centrum!$D$3:$M$130,10,0),Centrum!$A$3:$CB$130,L$132,0))</f>
        <v>48</v>
      </c>
      <c r="M42" s="318">
        <f ca="1">IF(OR($A42="",TYPE(VLOOKUP($A42,Centrum!$D$3:$M$130,10,0))&gt;3),"",VLOOKUP(VLOOKUP($A42,Centrum!$D$3:$M$130,10,0),Centrum!$A$3:$CB$130,M$132,0))</f>
        <v>44</v>
      </c>
      <c r="N42" s="318">
        <f ca="1">IF(OR($A42="",TYPE(VLOOKUP($A42,Centrum!$D$3:$M$130,10,0))&gt;3),"",VLOOKUP(VLOOKUP($A42,Centrum!$D$3:$M$130,10,0),Centrum!$A$3:$CB$130,N$132,0))</f>
        <v>46</v>
      </c>
      <c r="O42" s="318">
        <f ca="1">IF(OR($A42="",TYPE(VLOOKUP($A42,Centrum!$D$3:$M$130,10,0))&gt;3),"",VLOOKUP(VLOOKUP($A42,Centrum!$D$3:$M$130,10,0),Centrum!$A$3:$CB$130,O$132,0))</f>
        <v>36</v>
      </c>
      <c r="P42" s="318">
        <f ca="1">IF(OR($A42="",TYPE(VLOOKUP($A42,Centrum!$D$3:$M$130,10,0))&gt;3),"",VLOOKUP(VLOOKUP($A42,Centrum!$D$3:$M$130,10,0),Centrum!$A$3:$CB$130,P$132,0))</f>
        <v>0</v>
      </c>
      <c r="Q42" s="318">
        <f ca="1">IF(OR($A42="",TYPE(VLOOKUP($A42,Centrum!$D$3:$M$130,10,0))&gt;3),"",VLOOKUP(VLOOKUP($A42,Centrum!$D$3:$M$130,10,0),Centrum!$A$3:$CB$130,Q$132,0))</f>
        <v>0</v>
      </c>
      <c r="S42" s="318">
        <f ca="1">IF(OR($A42="",TYPE(VLOOKUP($A42,Centrum!$D$3:$M$130,10,0))&gt;3),"",VLOOKUP(VLOOKUP($A42,Centrum!$D$3:$M$130,10,0),Centrum!$A$3:$CB$130,S$132,0))</f>
        <v>48</v>
      </c>
      <c r="T42" s="318">
        <f ca="1">IF(OR($A42="",TYPE(VLOOKUP($A42,Centrum!$D$3:$M$130,10,0))&gt;3),"",VLOOKUP(VLOOKUP($A42,Centrum!$D$3:$M$130,10,0),Centrum!$A$3:$CB$130,T$132,0))</f>
        <v>1</v>
      </c>
      <c r="U42" s="318">
        <f ca="1">IF(OR($A42="",TYPE(VLOOKUP($A42,Centrum!$D$3:$M$130,10,0))&gt;3),"",VLOOKUP(VLOOKUP($A42,Centrum!$D$3:$M$130,10,0),Centrum!$A$3:$CB$130,U$132,0))</f>
        <v>8</v>
      </c>
      <c r="AB42" s="318">
        <f ca="1">IF(OR($A42="",TYPE(VLOOKUP($A42,Centrum!$D$3:$M$130,10,0))&gt;3),"",VLOOKUP(VLOOKUP($A42,Centrum!$D$3:$M$130,10,0),Centrum!$A$3:$CB$130,AB$132,0))</f>
        <v>44</v>
      </c>
      <c r="AC42" s="318">
        <f ca="1">IF(OR($A42="",TYPE(VLOOKUP($A42,Centrum!$D$3:$M$130,10,0))&gt;3),"",VLOOKUP(VLOOKUP($A42,Centrum!$D$3:$M$130,10,0),Centrum!$A$3:$CB$130,AC$132,0))</f>
        <v>0</v>
      </c>
      <c r="AD42" s="318">
        <f ca="1">IF(OR($A42="",TYPE(VLOOKUP($A42,Centrum!$D$3:$M$130,10,0))&gt;3),"",VLOOKUP(VLOOKUP($A42,Centrum!$D$3:$M$130,10,0),Centrum!$A$3:$CB$130,AD$132,0))</f>
        <v>-6</v>
      </c>
      <c r="AK42" s="318">
        <f ca="1">IF(OR($A42="",TYPE(VLOOKUP($A42,Centrum!$D$3:$M$130,10,0))&gt;3),"",VLOOKUP(VLOOKUP($A42,Centrum!$D$3:$M$130,10,0),Centrum!$A$3:$CB$130,AK$132,0))</f>
        <v>46</v>
      </c>
      <c r="AL42" s="318">
        <f ca="1">IF(OR($A42="",TYPE(VLOOKUP($A42,Centrum!$D$3:$M$130,10,0))&gt;3),"",VLOOKUP(VLOOKUP($A42,Centrum!$D$3:$M$130,10,0),Centrum!$A$3:$CB$130,AL$132,0))</f>
        <v>0</v>
      </c>
      <c r="AM42" s="318">
        <f ca="1">IF(OR($A42="",TYPE(VLOOKUP($A42,Centrum!$D$3:$M$130,10,0))&gt;3),"",VLOOKUP(VLOOKUP($A42,Centrum!$D$3:$M$130,10,0),Centrum!$A$3:$CB$130,AM$132,0))</f>
        <v>-4</v>
      </c>
      <c r="AT42" s="318">
        <f ca="1">IF(OR(OR($A42="",TYPE(VLOOKUP($A42,Centrum!$D$3:$M$130,10,0))&gt;3),$A$1&lt;4),"",VLOOKUP(VLOOKUP($A42,Centrum!$D$3:$M$130,10,0),Centrum!$A$3:$CB$130,AT$132,0))</f>
        <v>36</v>
      </c>
      <c r="AU42" s="318">
        <f ca="1">IF(OR(OR($A42="",TYPE(VLOOKUP($A42,Centrum!$D$3:$M$130,10,0))&gt;3),$A$1&lt;4),"",VLOOKUP(VLOOKUP($A42,Centrum!$D$3:$M$130,10,0),Centrum!$A$3:$CB$130,AU$132,0))</f>
        <v>1</v>
      </c>
      <c r="AV42" s="318">
        <f ca="1">IF(OR(OR($A42="",TYPE(VLOOKUP($A42,Centrum!$D$3:$M$130,10,0))&gt;3),$A$1&lt;4),"",VLOOKUP(VLOOKUP($A42,Centrum!$D$3:$M$130,10,0),Centrum!$A$3:$CB$130,AV$132,0))</f>
        <v>2</v>
      </c>
      <c r="BC42" s="318" t="str">
        <f ca="1">IF(OR(OR($A42="",TYPE(VLOOKUP($A42,Centrum!$D$3:$M$130,10,0))&gt;3),$A$1&lt;5),"",VLOOKUP(VLOOKUP($A42,Centrum!$D$3:$M$130,10,0),Centrum!$A$3:$CB$130,BC$132,0))</f>
        <v/>
      </c>
      <c r="BD42" s="318" t="str">
        <f ca="1">IF(OR(OR($A42="",TYPE(VLOOKUP($A42,Centrum!$D$3:$M$130,10,0))&gt;3),$A$1&lt;5),"",VLOOKUP(VLOOKUP($A42,Centrum!$D$3:$M$130,10,0),Centrum!$A$3:$CB$130,BD$132,0))</f>
        <v/>
      </c>
      <c r="BE42" s="318" t="str">
        <f ca="1">IF(OR(OR($A42="",TYPE(VLOOKUP($A42,Centrum!$D$3:$M$130,10,0))&gt;3),$A$1&lt;5),"",VLOOKUP(VLOOKUP($A42,Centrum!$D$3:$M$130,10,0),Centrum!$A$3:$CB$130,BE$132,0))</f>
        <v/>
      </c>
      <c r="BL42" s="318" t="str">
        <f ca="1">IF(OR(OR($A42="",TYPE(VLOOKUP($A42,Centrum!$D$3:$M$130,10,0))&gt;3),$A$1&lt;6),"",VLOOKUP(VLOOKUP($A42,Centrum!$D$3:$M$130,10,0),Centrum!$A$3:$CB$130,BL$132,0))</f>
        <v/>
      </c>
      <c r="BM42" s="318" t="str">
        <f ca="1">IF(OR(OR($A42="",TYPE(VLOOKUP($A42,Centrum!$D$3:$M$130,10,0))&gt;3),$A$1&lt;6),"",VLOOKUP(VLOOKUP($A42,Centrum!$D$3:$M$130,10,0),Centrum!$A$3:$CB$130,BM$132,0))</f>
        <v/>
      </c>
      <c r="BN42" s="318" t="str">
        <f ca="1">IF(OR(OR($A42="",TYPE(VLOOKUP($A42,Centrum!$D$3:$M$130,10,0))&gt;3),$A$1&lt;6),"",VLOOKUP(VLOOKUP($A42,Centrum!$D$3:$M$130,10,0),Centrum!$A$3:$CB$130,BN$132,0))</f>
        <v/>
      </c>
    </row>
    <row r="43" spans="1:66" x14ac:dyDescent="0.4">
      <c r="A43" s="318">
        <f ca="1">Centrum!A43</f>
        <v>41</v>
      </c>
      <c r="B43" s="421" t="str">
        <f ca="1">IF(OR($A43="",TYPE(VLOOKUP($A43,Centrum!$D$3:$M$130,10,0))&gt;3),"",VLOOKUP(VLOOKUP(A43,Centrum!$D$3:$M$130,10,0),Centrum!$A$3:$CB$130,B$132,0))</f>
        <v>13 PC Sokol Lipník - Froňková Blanka</v>
      </c>
      <c r="C43" s="318">
        <f ca="1">IF(OR($A43="",TYPE(VLOOKUP($A43,Centrum!$D$3:$M$130,10,0))&gt;3),"",VLOOKUP($A43,Centrum!$D$3:$M$130,10,0))</f>
        <v>13</v>
      </c>
      <c r="E43" s="318">
        <f ca="1">IF(OR($A43="",TYPE(VLOOKUP($A43,Centrum!$D$3:$M$130,10,0))&gt;3),"",VLOOKUP(VLOOKUP($A43,Centrum!$D$3:$M$130,10,0),Centrum!$A$3:$CB$130,E$132,0))</f>
        <v>1</v>
      </c>
      <c r="F43" s="318">
        <f ca="1">IF(OR($A43="",TYPE(VLOOKUP($A43,Centrum!$D$3:$M$130,10,0))&gt;3),"",VLOOKUP(VLOOKUP($A43,Centrum!$D$3:$M$130,10,0),Centrum!$A$3:$CB$130,F$132,0))</f>
        <v>10</v>
      </c>
      <c r="G43" s="318">
        <f ca="1">IF(OR($A43="",TYPE(VLOOKUP($A43,Centrum!$D$3:$M$130,10,0))&gt;3),"",VLOOKUP(VLOOKUP($A43,Centrum!$D$3:$M$130,10,0),Centrum!$A$3:$CB$130,G$132,0))</f>
        <v>27</v>
      </c>
      <c r="H43" s="318">
        <f ca="1">IF($A43="","",VLOOKUP(VLOOKUP($A43,Centrum!$D$3:$M$130,10,0),Centrum!$A$3:$CB$130,H$132,0))</f>
        <v>1</v>
      </c>
      <c r="I43" s="318">
        <f ca="1">IF($A43="","",VLOOKUP(VLOOKUP($A43,Centrum!$D$3:$M$130,10,0),Centrum!$A$3:$CB$130,I$132,0))</f>
        <v>0</v>
      </c>
      <c r="J43" s="318">
        <f ca="1">IF(OR($A43="",TYPE(VLOOKUP($A43,Centrum!$D$3:$M$130,10,0))&gt;3),"",VLOOKUP(VLOOKUP($A43,Centrum!$D$3:$M$130,10,0),Centrum!$A$3:$CB$130,J$132,0))</f>
        <v>-1</v>
      </c>
      <c r="L43" s="318">
        <f ca="1">IF(OR($A43="",TYPE(VLOOKUP($A43,Centrum!$D$3:$M$130,10,0))&gt;3),"",VLOOKUP(VLOOKUP($A43,Centrum!$D$3:$M$130,10,0),Centrum!$A$3:$CB$130,L$132,0))</f>
        <v>41</v>
      </c>
      <c r="M43" s="318">
        <f ca="1">IF(OR($A43="",TYPE(VLOOKUP($A43,Centrum!$D$3:$M$130,10,0))&gt;3),"",VLOOKUP(VLOOKUP($A43,Centrum!$D$3:$M$130,10,0),Centrum!$A$3:$CB$130,M$132,0))</f>
        <v>7</v>
      </c>
      <c r="N43" s="318">
        <f ca="1">IF(OR($A43="",TYPE(VLOOKUP($A43,Centrum!$D$3:$M$130,10,0))&gt;3),"",VLOOKUP(VLOOKUP($A43,Centrum!$D$3:$M$130,10,0),Centrum!$A$3:$CB$130,N$132,0))</f>
        <v>56</v>
      </c>
      <c r="O43" s="318">
        <f ca="1">IF(OR($A43="",TYPE(VLOOKUP($A43,Centrum!$D$3:$M$130,10,0))&gt;3),"",VLOOKUP(VLOOKUP($A43,Centrum!$D$3:$M$130,10,0),Centrum!$A$3:$CB$130,O$132,0))</f>
        <v>22</v>
      </c>
      <c r="P43" s="318">
        <f ca="1">IF(OR($A43="",TYPE(VLOOKUP($A43,Centrum!$D$3:$M$130,10,0))&gt;3),"",VLOOKUP(VLOOKUP($A43,Centrum!$D$3:$M$130,10,0),Centrum!$A$3:$CB$130,P$132,0))</f>
        <v>0</v>
      </c>
      <c r="Q43" s="318">
        <f ca="1">IF(OR($A43="",TYPE(VLOOKUP($A43,Centrum!$D$3:$M$130,10,0))&gt;3),"",VLOOKUP(VLOOKUP($A43,Centrum!$D$3:$M$130,10,0),Centrum!$A$3:$CB$130,Q$132,0))</f>
        <v>0</v>
      </c>
      <c r="S43" s="318">
        <f ca="1">IF(OR($A43="",TYPE(VLOOKUP($A43,Centrum!$D$3:$M$130,10,0))&gt;3),"",VLOOKUP(VLOOKUP($A43,Centrum!$D$3:$M$130,10,0),Centrum!$A$3:$CB$130,S$132,0))</f>
        <v>41</v>
      </c>
      <c r="T43" s="318">
        <f ca="1">IF(OR($A43="",TYPE(VLOOKUP($A43,Centrum!$D$3:$M$130,10,0))&gt;3),"",VLOOKUP(VLOOKUP($A43,Centrum!$D$3:$M$130,10,0),Centrum!$A$3:$CB$130,T$132,0))</f>
        <v>1</v>
      </c>
      <c r="U43" s="318">
        <f ca="1">IF(OR($A43="",TYPE(VLOOKUP($A43,Centrum!$D$3:$M$130,10,0))&gt;3),"",VLOOKUP(VLOOKUP($A43,Centrum!$D$3:$M$130,10,0),Centrum!$A$3:$CB$130,U$132,0))</f>
        <v>9</v>
      </c>
      <c r="AB43" s="318">
        <f ca="1">IF(OR($A43="",TYPE(VLOOKUP($A43,Centrum!$D$3:$M$130,10,0))&gt;3),"",VLOOKUP(VLOOKUP($A43,Centrum!$D$3:$M$130,10,0),Centrum!$A$3:$CB$130,AB$132,0))</f>
        <v>7</v>
      </c>
      <c r="AC43" s="318">
        <f ca="1">IF(OR($A43="",TYPE(VLOOKUP($A43,Centrum!$D$3:$M$130,10,0))&gt;3),"",VLOOKUP(VLOOKUP($A43,Centrum!$D$3:$M$130,10,0),Centrum!$A$3:$CB$130,AC$132,0))</f>
        <v>0</v>
      </c>
      <c r="AD43" s="318">
        <f ca="1">IF(OR($A43="",TYPE(VLOOKUP($A43,Centrum!$D$3:$M$130,10,0))&gt;3),"",VLOOKUP(VLOOKUP($A43,Centrum!$D$3:$M$130,10,0),Centrum!$A$3:$CB$130,AD$132,0))</f>
        <v>-3</v>
      </c>
      <c r="AK43" s="318">
        <f ca="1">IF(OR($A43="",TYPE(VLOOKUP($A43,Centrum!$D$3:$M$130,10,0))&gt;3),"",VLOOKUP(VLOOKUP($A43,Centrum!$D$3:$M$130,10,0),Centrum!$A$3:$CB$130,AK$132,0))</f>
        <v>56</v>
      </c>
      <c r="AL43" s="318">
        <f ca="1">IF(OR($A43="",TYPE(VLOOKUP($A43,Centrum!$D$3:$M$130,10,0))&gt;3),"",VLOOKUP(VLOOKUP($A43,Centrum!$D$3:$M$130,10,0),Centrum!$A$3:$CB$130,AL$132,0))</f>
        <v>0</v>
      </c>
      <c r="AM43" s="318">
        <f ca="1">IF(OR($A43="",TYPE(VLOOKUP($A43,Centrum!$D$3:$M$130,10,0))&gt;3),"",VLOOKUP(VLOOKUP($A43,Centrum!$D$3:$M$130,10,0),Centrum!$A$3:$CB$130,AM$132,0))</f>
        <v>-6</v>
      </c>
      <c r="AT43" s="318">
        <f ca="1">IF(OR(OR($A43="",TYPE(VLOOKUP($A43,Centrum!$D$3:$M$130,10,0))&gt;3),$A$1&lt;4),"",VLOOKUP(VLOOKUP($A43,Centrum!$D$3:$M$130,10,0),Centrum!$A$3:$CB$130,AT$132,0))</f>
        <v>22</v>
      </c>
      <c r="AU43" s="318">
        <f ca="1">IF(OR(OR($A43="",TYPE(VLOOKUP($A43,Centrum!$D$3:$M$130,10,0))&gt;3),$A$1&lt;4),"",VLOOKUP(VLOOKUP($A43,Centrum!$D$3:$M$130,10,0),Centrum!$A$3:$CB$130,AU$132,0))</f>
        <v>0</v>
      </c>
      <c r="AV43" s="318">
        <f ca="1">IF(OR(OR($A43="",TYPE(VLOOKUP($A43,Centrum!$D$3:$M$130,10,0))&gt;3),$A$1&lt;4),"",VLOOKUP(VLOOKUP($A43,Centrum!$D$3:$M$130,10,0),Centrum!$A$3:$CB$130,AV$132,0))</f>
        <v>-1</v>
      </c>
      <c r="BC43" s="318" t="str">
        <f ca="1">IF(OR(OR($A43="",TYPE(VLOOKUP($A43,Centrum!$D$3:$M$130,10,0))&gt;3),$A$1&lt;5),"",VLOOKUP(VLOOKUP($A43,Centrum!$D$3:$M$130,10,0),Centrum!$A$3:$CB$130,BC$132,0))</f>
        <v/>
      </c>
      <c r="BD43" s="318" t="str">
        <f ca="1">IF(OR(OR($A43="",TYPE(VLOOKUP($A43,Centrum!$D$3:$M$130,10,0))&gt;3),$A$1&lt;5),"",VLOOKUP(VLOOKUP($A43,Centrum!$D$3:$M$130,10,0),Centrum!$A$3:$CB$130,BD$132,0))</f>
        <v/>
      </c>
      <c r="BE43" s="318" t="str">
        <f ca="1">IF(OR(OR($A43="",TYPE(VLOOKUP($A43,Centrum!$D$3:$M$130,10,0))&gt;3),$A$1&lt;5),"",VLOOKUP(VLOOKUP($A43,Centrum!$D$3:$M$130,10,0),Centrum!$A$3:$CB$130,BE$132,0))</f>
        <v/>
      </c>
      <c r="BL43" s="318" t="str">
        <f ca="1">IF(OR(OR($A43="",TYPE(VLOOKUP($A43,Centrum!$D$3:$M$130,10,0))&gt;3),$A$1&lt;6),"",VLOOKUP(VLOOKUP($A43,Centrum!$D$3:$M$130,10,0),Centrum!$A$3:$CB$130,BL$132,0))</f>
        <v/>
      </c>
      <c r="BM43" s="318" t="str">
        <f ca="1">IF(OR(OR($A43="",TYPE(VLOOKUP($A43,Centrum!$D$3:$M$130,10,0))&gt;3),$A$1&lt;6),"",VLOOKUP(VLOOKUP($A43,Centrum!$D$3:$M$130,10,0),Centrum!$A$3:$CB$130,BM$132,0))</f>
        <v/>
      </c>
      <c r="BN43" s="318" t="str">
        <f ca="1">IF(OR(OR($A43="",TYPE(VLOOKUP($A43,Centrum!$D$3:$M$130,10,0))&gt;3),$A$1&lt;6),"",VLOOKUP(VLOOKUP($A43,Centrum!$D$3:$M$130,10,0),Centrum!$A$3:$CB$130,BN$132,0))</f>
        <v/>
      </c>
    </row>
    <row r="44" spans="1:66" x14ac:dyDescent="0.4">
      <c r="A44" s="318">
        <f ca="1">Centrum!A44</f>
        <v>42</v>
      </c>
      <c r="B44" s="421" t="str">
        <f ca="1">IF(OR($A44="",TYPE(VLOOKUP($A44,Centrum!$D$3:$M$130,10,0))&gt;3),"",VLOOKUP(VLOOKUP(A44,Centrum!$D$3:$M$130,10,0),Centrum!$A$3:$CB$130,B$132,0))</f>
        <v>32 SK Pétanque Řepy - Vodehnal Zdeněk</v>
      </c>
      <c r="C44" s="318">
        <f ca="1">IF(OR($A44="",TYPE(VLOOKUP($A44,Centrum!$D$3:$M$130,10,0))&gt;3),"",VLOOKUP($A44,Centrum!$D$3:$M$130,10,0))</f>
        <v>32</v>
      </c>
      <c r="E44" s="318">
        <f ca="1">IF(OR($A44="",TYPE(VLOOKUP($A44,Centrum!$D$3:$M$130,10,0))&gt;3),"",VLOOKUP(VLOOKUP($A44,Centrum!$D$3:$M$130,10,0),Centrum!$A$3:$CB$130,E$132,0))</f>
        <v>1</v>
      </c>
      <c r="F44" s="318">
        <f ca="1">IF(OR($A44="",TYPE(VLOOKUP($A44,Centrum!$D$3:$M$130,10,0))&gt;3),"",VLOOKUP(VLOOKUP($A44,Centrum!$D$3:$M$130,10,0),Centrum!$A$3:$CB$130,F$132,0))</f>
        <v>9</v>
      </c>
      <c r="G44" s="318">
        <f ca="1">IF(OR($A44="",TYPE(VLOOKUP($A44,Centrum!$D$3:$M$130,10,0))&gt;3),"",VLOOKUP(VLOOKUP($A44,Centrum!$D$3:$M$130,10,0),Centrum!$A$3:$CB$130,G$132,0))</f>
        <v>31</v>
      </c>
      <c r="H44" s="318">
        <f ca="1">IF($A44="","",VLOOKUP(VLOOKUP($A44,Centrum!$D$3:$M$130,10,0),Centrum!$A$3:$CB$130,H$132,0))</f>
        <v>0</v>
      </c>
      <c r="I44" s="318">
        <f ca="1">IF($A44="","",VLOOKUP(VLOOKUP($A44,Centrum!$D$3:$M$130,10,0),Centrum!$A$3:$CB$130,I$132,0))</f>
        <v>1</v>
      </c>
      <c r="J44" s="318">
        <f ca="1">IF(OR($A44="",TYPE(VLOOKUP($A44,Centrum!$D$3:$M$130,10,0))&gt;3),"",VLOOKUP(VLOOKUP($A44,Centrum!$D$3:$M$130,10,0),Centrum!$A$3:$CB$130,J$132,0))</f>
        <v>-7</v>
      </c>
      <c r="L44" s="318">
        <f ca="1">IF(OR($A44="",TYPE(VLOOKUP($A44,Centrum!$D$3:$M$130,10,0))&gt;3),"",VLOOKUP(VLOOKUP($A44,Centrum!$D$3:$M$130,10,0),Centrum!$A$3:$CB$130,L$132,0))</f>
        <v>4</v>
      </c>
      <c r="M44" s="318">
        <f ca="1">IF(OR($A44="",TYPE(VLOOKUP($A44,Centrum!$D$3:$M$130,10,0))&gt;3),"",VLOOKUP(VLOOKUP($A44,Centrum!$D$3:$M$130,10,0),Centrum!$A$3:$CB$130,M$132,0))</f>
        <v>24</v>
      </c>
      <c r="N44" s="318">
        <f ca="1">IF(OR($A44="",TYPE(VLOOKUP($A44,Centrum!$D$3:$M$130,10,0))&gt;3),"",VLOOKUP(VLOOKUP($A44,Centrum!$D$3:$M$130,10,0),Centrum!$A$3:$CB$130,N$132,0))</f>
        <v>40</v>
      </c>
      <c r="O44" s="318">
        <f ca="1">IF(OR($A44="",TYPE(VLOOKUP($A44,Centrum!$D$3:$M$130,10,0))&gt;3),"",VLOOKUP(VLOOKUP($A44,Centrum!$D$3:$M$130,10,0),Centrum!$A$3:$CB$130,O$132,0))</f>
        <v>48</v>
      </c>
      <c r="P44" s="318">
        <f ca="1">IF(OR($A44="",TYPE(VLOOKUP($A44,Centrum!$D$3:$M$130,10,0))&gt;3),"",VLOOKUP(VLOOKUP($A44,Centrum!$D$3:$M$130,10,0),Centrum!$A$3:$CB$130,P$132,0))</f>
        <v>0</v>
      </c>
      <c r="Q44" s="318">
        <f ca="1">IF(OR($A44="",TYPE(VLOOKUP($A44,Centrum!$D$3:$M$130,10,0))&gt;3),"",VLOOKUP(VLOOKUP($A44,Centrum!$D$3:$M$130,10,0),Centrum!$A$3:$CB$130,Q$132,0))</f>
        <v>0</v>
      </c>
      <c r="S44" s="318">
        <f ca="1">IF(OR($A44="",TYPE(VLOOKUP($A44,Centrum!$D$3:$M$130,10,0))&gt;3),"",VLOOKUP(VLOOKUP($A44,Centrum!$D$3:$M$130,10,0),Centrum!$A$3:$CB$130,S$132,0))</f>
        <v>4</v>
      </c>
      <c r="T44" s="318">
        <f ca="1">IF(OR($A44="",TYPE(VLOOKUP($A44,Centrum!$D$3:$M$130,10,0))&gt;3),"",VLOOKUP(VLOOKUP($A44,Centrum!$D$3:$M$130,10,0),Centrum!$A$3:$CB$130,T$132,0))</f>
        <v>0</v>
      </c>
      <c r="U44" s="318">
        <f ca="1">IF(OR($A44="",TYPE(VLOOKUP($A44,Centrum!$D$3:$M$130,10,0))&gt;3),"",VLOOKUP(VLOOKUP($A44,Centrum!$D$3:$M$130,10,0),Centrum!$A$3:$CB$130,U$132,0))</f>
        <v>-1</v>
      </c>
      <c r="AB44" s="318">
        <f ca="1">IF(OR($A44="",TYPE(VLOOKUP($A44,Centrum!$D$3:$M$130,10,0))&gt;3),"",VLOOKUP(VLOOKUP($A44,Centrum!$D$3:$M$130,10,0),Centrum!$A$3:$CB$130,AB$132,0))</f>
        <v>24</v>
      </c>
      <c r="AC44" s="318">
        <f ca="1">IF(OR($A44="",TYPE(VLOOKUP($A44,Centrum!$D$3:$M$130,10,0))&gt;3),"",VLOOKUP(VLOOKUP($A44,Centrum!$D$3:$M$130,10,0),Centrum!$A$3:$CB$130,AC$132,0))</f>
        <v>0</v>
      </c>
      <c r="AD44" s="318">
        <f ca="1">IF(OR($A44="",TYPE(VLOOKUP($A44,Centrum!$D$3:$M$130,10,0))&gt;3),"",VLOOKUP(VLOOKUP($A44,Centrum!$D$3:$M$130,10,0),Centrum!$A$3:$CB$130,AD$132,0))</f>
        <v>-8</v>
      </c>
      <c r="AK44" s="318">
        <f ca="1">IF(OR($A44="",TYPE(VLOOKUP($A44,Centrum!$D$3:$M$130,10,0))&gt;3),"",VLOOKUP(VLOOKUP($A44,Centrum!$D$3:$M$130,10,0),Centrum!$A$3:$CB$130,AK$132,0))</f>
        <v>40</v>
      </c>
      <c r="AL44" s="318">
        <f ca="1">IF(OR($A44="",TYPE(VLOOKUP($A44,Centrum!$D$3:$M$130,10,0))&gt;3),"",VLOOKUP(VLOOKUP($A44,Centrum!$D$3:$M$130,10,0),Centrum!$A$3:$CB$130,AL$132,0))</f>
        <v>0</v>
      </c>
      <c r="AM44" s="318">
        <f ca="1">IF(OR($A44="",TYPE(VLOOKUP($A44,Centrum!$D$3:$M$130,10,0))&gt;3),"",VLOOKUP(VLOOKUP($A44,Centrum!$D$3:$M$130,10,0),Centrum!$A$3:$CB$130,AM$132,0))</f>
        <v>-4</v>
      </c>
      <c r="AT44" s="318">
        <f ca="1">IF(OR(OR($A44="",TYPE(VLOOKUP($A44,Centrum!$D$3:$M$130,10,0))&gt;3),$A$1&lt;4),"",VLOOKUP(VLOOKUP($A44,Centrum!$D$3:$M$130,10,0),Centrum!$A$3:$CB$130,AT$132,0))</f>
        <v>48</v>
      </c>
      <c r="AU44" s="318">
        <f ca="1">IF(OR(OR($A44="",TYPE(VLOOKUP($A44,Centrum!$D$3:$M$130,10,0))&gt;3),$A$1&lt;4),"",VLOOKUP(VLOOKUP($A44,Centrum!$D$3:$M$130,10,0),Centrum!$A$3:$CB$130,AU$132,0))</f>
        <v>1</v>
      </c>
      <c r="AV44" s="318">
        <f ca="1">IF(OR(OR($A44="",TYPE(VLOOKUP($A44,Centrum!$D$3:$M$130,10,0))&gt;3),$A$1&lt;4),"",VLOOKUP(VLOOKUP($A44,Centrum!$D$3:$M$130,10,0),Centrum!$A$3:$CB$130,AV$132,0))</f>
        <v>6</v>
      </c>
      <c r="BC44" s="318" t="str">
        <f ca="1">IF(OR(OR($A44="",TYPE(VLOOKUP($A44,Centrum!$D$3:$M$130,10,0))&gt;3),$A$1&lt;5),"",VLOOKUP(VLOOKUP($A44,Centrum!$D$3:$M$130,10,0),Centrum!$A$3:$CB$130,BC$132,0))</f>
        <v/>
      </c>
      <c r="BD44" s="318" t="str">
        <f ca="1">IF(OR(OR($A44="",TYPE(VLOOKUP($A44,Centrum!$D$3:$M$130,10,0))&gt;3),$A$1&lt;5),"",VLOOKUP(VLOOKUP($A44,Centrum!$D$3:$M$130,10,0),Centrum!$A$3:$CB$130,BD$132,0))</f>
        <v/>
      </c>
      <c r="BE44" s="318" t="str">
        <f ca="1">IF(OR(OR($A44="",TYPE(VLOOKUP($A44,Centrum!$D$3:$M$130,10,0))&gt;3),$A$1&lt;5),"",VLOOKUP(VLOOKUP($A44,Centrum!$D$3:$M$130,10,0),Centrum!$A$3:$CB$130,BE$132,0))</f>
        <v/>
      </c>
      <c r="BL44" s="318" t="str">
        <f ca="1">IF(OR(OR($A44="",TYPE(VLOOKUP($A44,Centrum!$D$3:$M$130,10,0))&gt;3),$A$1&lt;6),"",VLOOKUP(VLOOKUP($A44,Centrum!$D$3:$M$130,10,0),Centrum!$A$3:$CB$130,BL$132,0))</f>
        <v/>
      </c>
      <c r="BM44" s="318" t="str">
        <f ca="1">IF(OR(OR($A44="",TYPE(VLOOKUP($A44,Centrum!$D$3:$M$130,10,0))&gt;3),$A$1&lt;6),"",VLOOKUP(VLOOKUP($A44,Centrum!$D$3:$M$130,10,0),Centrum!$A$3:$CB$130,BM$132,0))</f>
        <v/>
      </c>
      <c r="BN44" s="318" t="str">
        <f ca="1">IF(OR(OR($A44="",TYPE(VLOOKUP($A44,Centrum!$D$3:$M$130,10,0))&gt;3),$A$1&lt;6),"",VLOOKUP(VLOOKUP($A44,Centrum!$D$3:$M$130,10,0),Centrum!$A$3:$CB$130,BN$132,0))</f>
        <v/>
      </c>
    </row>
    <row r="45" spans="1:66" x14ac:dyDescent="0.4">
      <c r="A45" s="318">
        <f ca="1">Centrum!A45</f>
        <v>43</v>
      </c>
      <c r="B45" s="421" t="str">
        <f ca="1">IF(OR($A45="",TYPE(VLOOKUP($A45,Centrum!$D$3:$M$130,10,0))&gt;3),"",VLOOKUP(VLOOKUP(A45,Centrum!$D$3:$M$130,10,0),Centrum!$A$3:$CB$130,B$132,0))</f>
        <v>8 PC Damníkov - Brandes Michael</v>
      </c>
      <c r="C45" s="318">
        <f ca="1">IF(OR($A45="",TYPE(VLOOKUP($A45,Centrum!$D$3:$M$130,10,0))&gt;3),"",VLOOKUP($A45,Centrum!$D$3:$M$130,10,0))</f>
        <v>8</v>
      </c>
      <c r="E45" s="318">
        <f ca="1">IF(OR($A45="",TYPE(VLOOKUP($A45,Centrum!$D$3:$M$130,10,0))&gt;3),"",VLOOKUP(VLOOKUP($A45,Centrum!$D$3:$M$130,10,0),Centrum!$A$3:$CB$130,E$132,0))</f>
        <v>1</v>
      </c>
      <c r="F45" s="318">
        <f ca="1">IF(OR($A45="",TYPE(VLOOKUP($A45,Centrum!$D$3:$M$130,10,0))&gt;3),"",VLOOKUP(VLOOKUP($A45,Centrum!$D$3:$M$130,10,0),Centrum!$A$3:$CB$130,F$132,0))</f>
        <v>9</v>
      </c>
      <c r="G45" s="318">
        <f ca="1">IF(OR($A45="",TYPE(VLOOKUP($A45,Centrum!$D$3:$M$130,10,0))&gt;3),"",VLOOKUP(VLOOKUP($A45,Centrum!$D$3:$M$130,10,0),Centrum!$A$3:$CB$130,G$132,0))</f>
        <v>31</v>
      </c>
      <c r="H45" s="318">
        <f ca="1">IF($A45="","",VLOOKUP(VLOOKUP($A45,Centrum!$D$3:$M$130,10,0),Centrum!$A$3:$CB$130,H$132,0))</f>
        <v>1</v>
      </c>
      <c r="I45" s="318">
        <f ca="1">IF($A45="","",VLOOKUP(VLOOKUP($A45,Centrum!$D$3:$M$130,10,0),Centrum!$A$3:$CB$130,I$132,0))</f>
        <v>0</v>
      </c>
      <c r="J45" s="318">
        <f ca="1">IF(OR($A45="",TYPE(VLOOKUP($A45,Centrum!$D$3:$M$130,10,0))&gt;3),"",VLOOKUP(VLOOKUP($A45,Centrum!$D$3:$M$130,10,0),Centrum!$A$3:$CB$130,J$132,0))</f>
        <v>-10</v>
      </c>
      <c r="L45" s="318">
        <f ca="1">IF(OR($A45="",TYPE(VLOOKUP($A45,Centrum!$D$3:$M$130,10,0))&gt;3),"",VLOOKUP(VLOOKUP($A45,Centrum!$D$3:$M$130,10,0),Centrum!$A$3:$CB$130,L$132,0))</f>
        <v>36</v>
      </c>
      <c r="M45" s="318">
        <f ca="1">IF(OR($A45="",TYPE(VLOOKUP($A45,Centrum!$D$3:$M$130,10,0))&gt;3),"",VLOOKUP(VLOOKUP($A45,Centrum!$D$3:$M$130,10,0),Centrum!$A$3:$CB$130,M$132,0))</f>
        <v>2</v>
      </c>
      <c r="N45" s="318">
        <f ca="1">IF(OR($A45="",TYPE(VLOOKUP($A45,Centrum!$D$3:$M$130,10,0))&gt;3),"",VLOOKUP(VLOOKUP($A45,Centrum!$D$3:$M$130,10,0),Centrum!$A$3:$CB$130,N$132,0))</f>
        <v>45</v>
      </c>
      <c r="O45" s="318">
        <f ca="1">IF(OR($A45="",TYPE(VLOOKUP($A45,Centrum!$D$3:$M$130,10,0))&gt;3),"",VLOOKUP(VLOOKUP($A45,Centrum!$D$3:$M$130,10,0),Centrum!$A$3:$CB$130,O$132,0))</f>
        <v>49</v>
      </c>
      <c r="P45" s="318">
        <f ca="1">IF(OR($A45="",TYPE(VLOOKUP($A45,Centrum!$D$3:$M$130,10,0))&gt;3),"",VLOOKUP(VLOOKUP($A45,Centrum!$D$3:$M$130,10,0),Centrum!$A$3:$CB$130,P$132,0))</f>
        <v>0</v>
      </c>
      <c r="Q45" s="318">
        <f ca="1">IF(OR($A45="",TYPE(VLOOKUP($A45,Centrum!$D$3:$M$130,10,0))&gt;3),"",VLOOKUP(VLOOKUP($A45,Centrum!$D$3:$M$130,10,0),Centrum!$A$3:$CB$130,Q$132,0))</f>
        <v>0</v>
      </c>
      <c r="S45" s="318">
        <f ca="1">IF(OR($A45="",TYPE(VLOOKUP($A45,Centrum!$D$3:$M$130,10,0))&gt;3),"",VLOOKUP(VLOOKUP($A45,Centrum!$D$3:$M$130,10,0),Centrum!$A$3:$CB$130,S$132,0))</f>
        <v>36</v>
      </c>
      <c r="T45" s="318">
        <f ca="1">IF(OR($A45="",TYPE(VLOOKUP($A45,Centrum!$D$3:$M$130,10,0))&gt;3),"",VLOOKUP(VLOOKUP($A45,Centrum!$D$3:$M$130,10,0),Centrum!$A$3:$CB$130,T$132,0))</f>
        <v>1</v>
      </c>
      <c r="U45" s="318">
        <f ca="1">IF(OR($A45="",TYPE(VLOOKUP($A45,Centrum!$D$3:$M$130,10,0))&gt;3),"",VLOOKUP(VLOOKUP($A45,Centrum!$D$3:$M$130,10,0),Centrum!$A$3:$CB$130,U$132,0))</f>
        <v>8</v>
      </c>
      <c r="AB45" s="318">
        <f ca="1">IF(OR($A45="",TYPE(VLOOKUP($A45,Centrum!$D$3:$M$130,10,0))&gt;3),"",VLOOKUP(VLOOKUP($A45,Centrum!$D$3:$M$130,10,0),Centrum!$A$3:$CB$130,AB$132,0))</f>
        <v>2</v>
      </c>
      <c r="AC45" s="318">
        <f ca="1">IF(OR($A45="",TYPE(VLOOKUP($A45,Centrum!$D$3:$M$130,10,0))&gt;3),"",VLOOKUP(VLOOKUP($A45,Centrum!$D$3:$M$130,10,0),Centrum!$A$3:$CB$130,AC$132,0))</f>
        <v>0</v>
      </c>
      <c r="AD45" s="318">
        <f ca="1">IF(OR($A45="",TYPE(VLOOKUP($A45,Centrum!$D$3:$M$130,10,0))&gt;3),"",VLOOKUP(VLOOKUP($A45,Centrum!$D$3:$M$130,10,0),Centrum!$A$3:$CB$130,AD$132,0))</f>
        <v>-7</v>
      </c>
      <c r="AK45" s="318">
        <f ca="1">IF(OR($A45="",TYPE(VLOOKUP($A45,Centrum!$D$3:$M$130,10,0))&gt;3),"",VLOOKUP(VLOOKUP($A45,Centrum!$D$3:$M$130,10,0),Centrum!$A$3:$CB$130,AK$132,0))</f>
        <v>45</v>
      </c>
      <c r="AL45" s="318">
        <f ca="1">IF(OR($A45="",TYPE(VLOOKUP($A45,Centrum!$D$3:$M$130,10,0))&gt;3),"",VLOOKUP(VLOOKUP($A45,Centrum!$D$3:$M$130,10,0),Centrum!$A$3:$CB$130,AL$132,0))</f>
        <v>0</v>
      </c>
      <c r="AM45" s="318">
        <f ca="1">IF(OR($A45="",TYPE(VLOOKUP($A45,Centrum!$D$3:$M$130,10,0))&gt;3),"",VLOOKUP(VLOOKUP($A45,Centrum!$D$3:$M$130,10,0),Centrum!$A$3:$CB$130,AM$132,0))</f>
        <v>-7</v>
      </c>
      <c r="AT45" s="318">
        <f ca="1">IF(OR(OR($A45="",TYPE(VLOOKUP($A45,Centrum!$D$3:$M$130,10,0))&gt;3),$A$1&lt;4),"",VLOOKUP(VLOOKUP($A45,Centrum!$D$3:$M$130,10,0),Centrum!$A$3:$CB$130,AT$132,0))</f>
        <v>49</v>
      </c>
      <c r="AU45" s="318">
        <f ca="1">IF(OR(OR($A45="",TYPE(VLOOKUP($A45,Centrum!$D$3:$M$130,10,0))&gt;3),$A$1&lt;4),"",VLOOKUP(VLOOKUP($A45,Centrum!$D$3:$M$130,10,0),Centrum!$A$3:$CB$130,AU$132,0))</f>
        <v>0</v>
      </c>
      <c r="AV45" s="318">
        <f ca="1">IF(OR(OR($A45="",TYPE(VLOOKUP($A45,Centrum!$D$3:$M$130,10,0))&gt;3),$A$1&lt;4),"",VLOOKUP(VLOOKUP($A45,Centrum!$D$3:$M$130,10,0),Centrum!$A$3:$CB$130,AV$132,0))</f>
        <v>-4</v>
      </c>
      <c r="BC45" s="318" t="str">
        <f ca="1">IF(OR(OR($A45="",TYPE(VLOOKUP($A45,Centrum!$D$3:$M$130,10,0))&gt;3),$A$1&lt;5),"",VLOOKUP(VLOOKUP($A45,Centrum!$D$3:$M$130,10,0),Centrum!$A$3:$CB$130,BC$132,0))</f>
        <v/>
      </c>
      <c r="BD45" s="318" t="str">
        <f ca="1">IF(OR(OR($A45="",TYPE(VLOOKUP($A45,Centrum!$D$3:$M$130,10,0))&gt;3),$A$1&lt;5),"",VLOOKUP(VLOOKUP($A45,Centrum!$D$3:$M$130,10,0),Centrum!$A$3:$CB$130,BD$132,0))</f>
        <v/>
      </c>
      <c r="BE45" s="318" t="str">
        <f ca="1">IF(OR(OR($A45="",TYPE(VLOOKUP($A45,Centrum!$D$3:$M$130,10,0))&gt;3),$A$1&lt;5),"",VLOOKUP(VLOOKUP($A45,Centrum!$D$3:$M$130,10,0),Centrum!$A$3:$CB$130,BE$132,0))</f>
        <v/>
      </c>
      <c r="BL45" s="318" t="str">
        <f ca="1">IF(OR(OR($A45="",TYPE(VLOOKUP($A45,Centrum!$D$3:$M$130,10,0))&gt;3),$A$1&lt;6),"",VLOOKUP(VLOOKUP($A45,Centrum!$D$3:$M$130,10,0),Centrum!$A$3:$CB$130,BL$132,0))</f>
        <v/>
      </c>
      <c r="BM45" s="318" t="str">
        <f ca="1">IF(OR(OR($A45="",TYPE(VLOOKUP($A45,Centrum!$D$3:$M$130,10,0))&gt;3),$A$1&lt;6),"",VLOOKUP(VLOOKUP($A45,Centrum!$D$3:$M$130,10,0),Centrum!$A$3:$CB$130,BM$132,0))</f>
        <v/>
      </c>
      <c r="BN45" s="318" t="str">
        <f ca="1">IF(OR(OR($A45="",TYPE(VLOOKUP($A45,Centrum!$D$3:$M$130,10,0))&gt;3),$A$1&lt;6),"",VLOOKUP(VLOOKUP($A45,Centrum!$D$3:$M$130,10,0),Centrum!$A$3:$CB$130,BN$132,0))</f>
        <v/>
      </c>
    </row>
    <row r="46" spans="1:66" x14ac:dyDescent="0.4">
      <c r="A46" s="318">
        <f ca="1">Centrum!A46</f>
        <v>44</v>
      </c>
      <c r="B46" s="421" t="str">
        <f ca="1">IF(OR($A46="",TYPE(VLOOKUP($A46,Centrum!$D$3:$M$130,10,0))&gt;3),"",VLOOKUP(VLOOKUP(A46,Centrum!$D$3:$M$130,10,0),Centrum!$A$3:$CB$130,B$132,0))</f>
        <v xml:space="preserve">47   - Brian, Dánsko  </v>
      </c>
      <c r="C46" s="318">
        <f ca="1">IF(OR($A46="",TYPE(VLOOKUP($A46,Centrum!$D$3:$M$130,10,0))&gt;3),"",VLOOKUP($A46,Centrum!$D$3:$M$130,10,0))</f>
        <v>47</v>
      </c>
      <c r="E46" s="318">
        <f ca="1">IF(OR($A46="",TYPE(VLOOKUP($A46,Centrum!$D$3:$M$130,10,0))&gt;3),"",VLOOKUP(VLOOKUP($A46,Centrum!$D$3:$M$130,10,0),Centrum!$A$3:$CB$130,E$132,0))</f>
        <v>1</v>
      </c>
      <c r="F46" s="318">
        <f ca="1">IF(OR($A46="",TYPE(VLOOKUP($A46,Centrum!$D$3:$M$130,10,0))&gt;3),"",VLOOKUP(VLOOKUP($A46,Centrum!$D$3:$M$130,10,0),Centrum!$A$3:$CB$130,F$132,0))</f>
        <v>9</v>
      </c>
      <c r="G46" s="318">
        <f ca="1">IF(OR($A46="",TYPE(VLOOKUP($A46,Centrum!$D$3:$M$130,10,0))&gt;3),"",VLOOKUP(VLOOKUP($A46,Centrum!$D$3:$M$130,10,0),Centrum!$A$3:$CB$130,G$132,0))</f>
        <v>29</v>
      </c>
      <c r="H46" s="318">
        <f ca="1">IF($A46="","",VLOOKUP(VLOOKUP($A46,Centrum!$D$3:$M$130,10,0),Centrum!$A$3:$CB$130,H$132,0))</f>
        <v>1</v>
      </c>
      <c r="I46" s="318">
        <f ca="1">IF($A46="","",VLOOKUP(VLOOKUP($A46,Centrum!$D$3:$M$130,10,0),Centrum!$A$3:$CB$130,I$132,0))</f>
        <v>1</v>
      </c>
      <c r="J46" s="318">
        <f ca="1">IF(OR($A46="",TYPE(VLOOKUP($A46,Centrum!$D$3:$M$130,10,0))&gt;3),"",VLOOKUP(VLOOKUP($A46,Centrum!$D$3:$M$130,10,0),Centrum!$A$3:$CB$130,J$132,0))</f>
        <v>-26</v>
      </c>
      <c r="L46" s="318">
        <f ca="1">IF(OR($A46="",TYPE(VLOOKUP($A46,Centrum!$D$3:$M$130,10,0))&gt;3),"",VLOOKUP(VLOOKUP($A46,Centrum!$D$3:$M$130,10,0),Centrum!$A$3:$CB$130,L$132,0))</f>
        <v>19</v>
      </c>
      <c r="M46" s="318">
        <f ca="1">IF(OR($A46="",TYPE(VLOOKUP($A46,Centrum!$D$3:$M$130,10,0))&gt;3),"",VLOOKUP(VLOOKUP($A46,Centrum!$D$3:$M$130,10,0),Centrum!$A$3:$CB$130,M$132,0))</f>
        <v>23</v>
      </c>
      <c r="N46" s="318">
        <f ca="1">IF(OR($A46="",TYPE(VLOOKUP($A46,Centrum!$D$3:$M$130,10,0))&gt;3),"",VLOOKUP(VLOOKUP($A46,Centrum!$D$3:$M$130,10,0),Centrum!$A$3:$CB$130,N$132,0))</f>
        <v>52</v>
      </c>
      <c r="O46" s="318">
        <f ca="1">IF(OR($A46="",TYPE(VLOOKUP($A46,Centrum!$D$3:$M$130,10,0))&gt;3),"",VLOOKUP(VLOOKUP($A46,Centrum!$D$3:$M$130,10,0),Centrum!$A$3:$CB$130,O$132,0))</f>
        <v>50</v>
      </c>
      <c r="P46" s="318">
        <f ca="1">IF(OR($A46="",TYPE(VLOOKUP($A46,Centrum!$D$3:$M$130,10,0))&gt;3),"",VLOOKUP(VLOOKUP($A46,Centrum!$D$3:$M$130,10,0),Centrum!$A$3:$CB$130,P$132,0))</f>
        <v>0</v>
      </c>
      <c r="Q46" s="318">
        <f ca="1">IF(OR($A46="",TYPE(VLOOKUP($A46,Centrum!$D$3:$M$130,10,0))&gt;3),"",VLOOKUP(VLOOKUP($A46,Centrum!$D$3:$M$130,10,0),Centrum!$A$3:$CB$130,Q$132,0))</f>
        <v>0</v>
      </c>
      <c r="S46" s="318">
        <f ca="1">IF(OR($A46="",TYPE(VLOOKUP($A46,Centrum!$D$3:$M$130,10,0))&gt;3),"",VLOOKUP(VLOOKUP($A46,Centrum!$D$3:$M$130,10,0),Centrum!$A$3:$CB$130,S$132,0))</f>
        <v>19</v>
      </c>
      <c r="T46" s="318">
        <f ca="1">IF(OR($A46="",TYPE(VLOOKUP($A46,Centrum!$D$3:$M$130,10,0))&gt;3),"",VLOOKUP(VLOOKUP($A46,Centrum!$D$3:$M$130,10,0),Centrum!$A$3:$CB$130,T$132,0))</f>
        <v>1</v>
      </c>
      <c r="U46" s="318">
        <f ca="1">IF(OR($A46="",TYPE(VLOOKUP($A46,Centrum!$D$3:$M$130,10,0))&gt;3),"",VLOOKUP(VLOOKUP($A46,Centrum!$D$3:$M$130,10,0),Centrum!$A$3:$CB$130,U$132,0))</f>
        <v>4</v>
      </c>
      <c r="AB46" s="318">
        <f ca="1">IF(OR($A46="",TYPE(VLOOKUP($A46,Centrum!$D$3:$M$130,10,0))&gt;3),"",VLOOKUP(VLOOKUP($A46,Centrum!$D$3:$M$130,10,0),Centrum!$A$3:$CB$130,AB$132,0))</f>
        <v>23</v>
      </c>
      <c r="AC46" s="318">
        <f ca="1">IF(OR($A46="",TYPE(VLOOKUP($A46,Centrum!$D$3:$M$130,10,0))&gt;3),"",VLOOKUP(VLOOKUP($A46,Centrum!$D$3:$M$130,10,0),Centrum!$A$3:$CB$130,AC$132,0))</f>
        <v>0</v>
      </c>
      <c r="AD46" s="318">
        <f ca="1">IF(OR($A46="",TYPE(VLOOKUP($A46,Centrum!$D$3:$M$130,10,0))&gt;3),"",VLOOKUP(VLOOKUP($A46,Centrum!$D$3:$M$130,10,0),Centrum!$A$3:$CB$130,AD$132,0))</f>
        <v>-12</v>
      </c>
      <c r="AK46" s="318">
        <f ca="1">IF(OR($A46="",TYPE(VLOOKUP($A46,Centrum!$D$3:$M$130,10,0))&gt;3),"",VLOOKUP(VLOOKUP($A46,Centrum!$D$3:$M$130,10,0),Centrum!$A$3:$CB$130,AK$132,0))</f>
        <v>52</v>
      </c>
      <c r="AL46" s="318">
        <f ca="1">IF(OR($A46="",TYPE(VLOOKUP($A46,Centrum!$D$3:$M$130,10,0))&gt;3),"",VLOOKUP(VLOOKUP($A46,Centrum!$D$3:$M$130,10,0),Centrum!$A$3:$CB$130,AL$132,0))</f>
        <v>0</v>
      </c>
      <c r="AM46" s="318">
        <f ca="1">IF(OR($A46="",TYPE(VLOOKUP($A46,Centrum!$D$3:$M$130,10,0))&gt;3),"",VLOOKUP(VLOOKUP($A46,Centrum!$D$3:$M$130,10,0),Centrum!$A$3:$CB$130,AM$132,0))</f>
        <v>-11</v>
      </c>
      <c r="AT46" s="318">
        <f ca="1">IF(OR(OR($A46="",TYPE(VLOOKUP($A46,Centrum!$D$3:$M$130,10,0))&gt;3),$A$1&lt;4),"",VLOOKUP(VLOOKUP($A46,Centrum!$D$3:$M$130,10,0),Centrum!$A$3:$CB$130,AT$132,0))</f>
        <v>50</v>
      </c>
      <c r="AU46" s="318">
        <f ca="1">IF(OR(OR($A46="",TYPE(VLOOKUP($A46,Centrum!$D$3:$M$130,10,0))&gt;3),$A$1&lt;4),"",VLOOKUP(VLOOKUP($A46,Centrum!$D$3:$M$130,10,0),Centrum!$A$3:$CB$130,AU$132,0))</f>
        <v>0</v>
      </c>
      <c r="AV46" s="318">
        <f ca="1">IF(OR(OR($A46="",TYPE(VLOOKUP($A46,Centrum!$D$3:$M$130,10,0))&gt;3),$A$1&lt;4),"",VLOOKUP(VLOOKUP($A46,Centrum!$D$3:$M$130,10,0),Centrum!$A$3:$CB$130,AV$132,0))</f>
        <v>-7</v>
      </c>
      <c r="BC46" s="318" t="str">
        <f ca="1">IF(OR(OR($A46="",TYPE(VLOOKUP($A46,Centrum!$D$3:$M$130,10,0))&gt;3),$A$1&lt;5),"",VLOOKUP(VLOOKUP($A46,Centrum!$D$3:$M$130,10,0),Centrum!$A$3:$CB$130,BC$132,0))</f>
        <v/>
      </c>
      <c r="BD46" s="318" t="str">
        <f ca="1">IF(OR(OR($A46="",TYPE(VLOOKUP($A46,Centrum!$D$3:$M$130,10,0))&gt;3),$A$1&lt;5),"",VLOOKUP(VLOOKUP($A46,Centrum!$D$3:$M$130,10,0),Centrum!$A$3:$CB$130,BD$132,0))</f>
        <v/>
      </c>
      <c r="BE46" s="318" t="str">
        <f ca="1">IF(OR(OR($A46="",TYPE(VLOOKUP($A46,Centrum!$D$3:$M$130,10,0))&gt;3),$A$1&lt;5),"",VLOOKUP(VLOOKUP($A46,Centrum!$D$3:$M$130,10,0),Centrum!$A$3:$CB$130,BE$132,0))</f>
        <v/>
      </c>
      <c r="BL46" s="318" t="str">
        <f ca="1">IF(OR(OR($A46="",TYPE(VLOOKUP($A46,Centrum!$D$3:$M$130,10,0))&gt;3),$A$1&lt;6),"",VLOOKUP(VLOOKUP($A46,Centrum!$D$3:$M$130,10,0),Centrum!$A$3:$CB$130,BL$132,0))</f>
        <v/>
      </c>
      <c r="BM46" s="318" t="str">
        <f ca="1">IF(OR(OR($A46="",TYPE(VLOOKUP($A46,Centrum!$D$3:$M$130,10,0))&gt;3),$A$1&lt;6),"",VLOOKUP(VLOOKUP($A46,Centrum!$D$3:$M$130,10,0),Centrum!$A$3:$CB$130,BM$132,0))</f>
        <v/>
      </c>
      <c r="BN46" s="318" t="str">
        <f ca="1">IF(OR(OR($A46="",TYPE(VLOOKUP($A46,Centrum!$D$3:$M$130,10,0))&gt;3),$A$1&lt;6),"",VLOOKUP(VLOOKUP($A46,Centrum!$D$3:$M$130,10,0),Centrum!$A$3:$CB$130,BN$132,0))</f>
        <v/>
      </c>
    </row>
    <row r="47" spans="1:66" x14ac:dyDescent="0.4">
      <c r="A47" s="318">
        <f ca="1">Centrum!A47</f>
        <v>45</v>
      </c>
      <c r="B47" s="421" t="str">
        <f ca="1">IF(OR($A47="",TYPE(VLOOKUP($A47,Centrum!$D$3:$M$130,10,0))&gt;3),"",VLOOKUP(VLOOKUP(A47,Centrum!$D$3:$M$130,10,0),Centrum!$A$3:$CB$130,B$132,0))</f>
        <v>35 SK Pétanque Řepy - Josífková Eva</v>
      </c>
      <c r="C47" s="318">
        <f ca="1">IF(OR($A47="",TYPE(VLOOKUP($A47,Centrum!$D$3:$M$130,10,0))&gt;3),"",VLOOKUP($A47,Centrum!$D$3:$M$130,10,0))</f>
        <v>35</v>
      </c>
      <c r="E47" s="318">
        <f ca="1">IF(OR($A47="",TYPE(VLOOKUP($A47,Centrum!$D$3:$M$130,10,0))&gt;3),"",VLOOKUP(VLOOKUP($A47,Centrum!$D$3:$M$130,10,0),Centrum!$A$3:$CB$130,E$132,0))</f>
        <v>1</v>
      </c>
      <c r="F47" s="318">
        <f ca="1">IF(OR($A47="",TYPE(VLOOKUP($A47,Centrum!$D$3:$M$130,10,0))&gt;3),"",VLOOKUP(VLOOKUP($A47,Centrum!$D$3:$M$130,10,0),Centrum!$A$3:$CB$130,F$132,0))</f>
        <v>9</v>
      </c>
      <c r="G47" s="318">
        <f ca="1">IF(OR($A47="",TYPE(VLOOKUP($A47,Centrum!$D$3:$M$130,10,0))&gt;3),"",VLOOKUP(VLOOKUP($A47,Centrum!$D$3:$M$130,10,0),Centrum!$A$3:$CB$130,G$132,0))</f>
        <v>28</v>
      </c>
      <c r="H47" s="318">
        <f ca="1">IF($A47="","",VLOOKUP(VLOOKUP($A47,Centrum!$D$3:$M$130,10,0),Centrum!$A$3:$CB$130,H$132,0))</f>
        <v>1</v>
      </c>
      <c r="I47" s="318">
        <f ca="1">IF($A47="","",VLOOKUP(VLOOKUP($A47,Centrum!$D$3:$M$130,10,0),Centrum!$A$3:$CB$130,I$132,0))</f>
        <v>1</v>
      </c>
      <c r="J47" s="318">
        <f ca="1">IF(OR($A47="",TYPE(VLOOKUP($A47,Centrum!$D$3:$M$130,10,0))&gt;3),"",VLOOKUP(VLOOKUP($A47,Centrum!$D$3:$M$130,10,0),Centrum!$A$3:$CB$130,J$132,0))</f>
        <v>-13</v>
      </c>
      <c r="L47" s="318">
        <f ca="1">IF(OR($A47="",TYPE(VLOOKUP($A47,Centrum!$D$3:$M$130,10,0))&gt;3),"",VLOOKUP(VLOOKUP($A47,Centrum!$D$3:$M$130,10,0),Centrum!$A$3:$CB$130,L$132,0))</f>
        <v>7</v>
      </c>
      <c r="M47" s="318">
        <f ca="1">IF(OR($A47="",TYPE(VLOOKUP($A47,Centrum!$D$3:$M$130,10,0))&gt;3),"",VLOOKUP(VLOOKUP($A47,Centrum!$D$3:$M$130,10,0),Centrum!$A$3:$CB$130,M$132,0))</f>
        <v>19</v>
      </c>
      <c r="N47" s="318">
        <f ca="1">IF(OR($A47="",TYPE(VLOOKUP($A47,Centrum!$D$3:$M$130,10,0))&gt;3),"",VLOOKUP(VLOOKUP($A47,Centrum!$D$3:$M$130,10,0),Centrum!$A$3:$CB$130,N$132,0))</f>
        <v>3</v>
      </c>
      <c r="O47" s="318">
        <f ca="1">IF(OR($A47="",TYPE(VLOOKUP($A47,Centrum!$D$3:$M$130,10,0))&gt;3),"",VLOOKUP(VLOOKUP($A47,Centrum!$D$3:$M$130,10,0),Centrum!$A$3:$CB$130,O$132,0))</f>
        <v>25</v>
      </c>
      <c r="P47" s="318">
        <f ca="1">IF(OR($A47="",TYPE(VLOOKUP($A47,Centrum!$D$3:$M$130,10,0))&gt;3),"",VLOOKUP(VLOOKUP($A47,Centrum!$D$3:$M$130,10,0),Centrum!$A$3:$CB$130,P$132,0))</f>
        <v>0</v>
      </c>
      <c r="Q47" s="318">
        <f ca="1">IF(OR($A47="",TYPE(VLOOKUP($A47,Centrum!$D$3:$M$130,10,0))&gt;3),"",VLOOKUP(VLOOKUP($A47,Centrum!$D$3:$M$130,10,0),Centrum!$A$3:$CB$130,Q$132,0))</f>
        <v>0</v>
      </c>
      <c r="S47" s="318">
        <f ca="1">IF(OR($A47="",TYPE(VLOOKUP($A47,Centrum!$D$3:$M$130,10,0))&gt;3),"",VLOOKUP(VLOOKUP($A47,Centrum!$D$3:$M$130,10,0),Centrum!$A$3:$CB$130,S$132,0))</f>
        <v>7</v>
      </c>
      <c r="T47" s="318">
        <f ca="1">IF(OR($A47="",TYPE(VLOOKUP($A47,Centrum!$D$3:$M$130,10,0))&gt;3),"",VLOOKUP(VLOOKUP($A47,Centrum!$D$3:$M$130,10,0),Centrum!$A$3:$CB$130,T$132,0))</f>
        <v>0</v>
      </c>
      <c r="U47" s="318">
        <f ca="1">IF(OR($A47="",TYPE(VLOOKUP($A47,Centrum!$D$3:$M$130,10,0))&gt;3),"",VLOOKUP(VLOOKUP($A47,Centrum!$D$3:$M$130,10,0),Centrum!$A$3:$CB$130,U$132,0))</f>
        <v>-7</v>
      </c>
      <c r="AB47" s="318">
        <f ca="1">IF(OR($A47="",TYPE(VLOOKUP($A47,Centrum!$D$3:$M$130,10,0))&gt;3),"",VLOOKUP(VLOOKUP($A47,Centrum!$D$3:$M$130,10,0),Centrum!$A$3:$CB$130,AB$132,0))</f>
        <v>19</v>
      </c>
      <c r="AC47" s="318">
        <f ca="1">IF(OR($A47="",TYPE(VLOOKUP($A47,Centrum!$D$3:$M$130,10,0))&gt;3),"",VLOOKUP(VLOOKUP($A47,Centrum!$D$3:$M$130,10,0),Centrum!$A$3:$CB$130,AC$132,0))</f>
        <v>1</v>
      </c>
      <c r="AD47" s="318">
        <f ca="1">IF(OR($A47="",TYPE(VLOOKUP($A47,Centrum!$D$3:$M$130,10,0))&gt;3),"",VLOOKUP(VLOOKUP($A47,Centrum!$D$3:$M$130,10,0),Centrum!$A$3:$CB$130,AD$132,0))</f>
        <v>11</v>
      </c>
      <c r="AK47" s="318">
        <f ca="1">IF(OR($A47="",TYPE(VLOOKUP($A47,Centrum!$D$3:$M$130,10,0))&gt;3),"",VLOOKUP(VLOOKUP($A47,Centrum!$D$3:$M$130,10,0),Centrum!$A$3:$CB$130,AK$132,0))</f>
        <v>3</v>
      </c>
      <c r="AL47" s="318">
        <f ca="1">IF(OR($A47="",TYPE(VLOOKUP($A47,Centrum!$D$3:$M$130,10,0))&gt;3),"",VLOOKUP(VLOOKUP($A47,Centrum!$D$3:$M$130,10,0),Centrum!$A$3:$CB$130,AL$132,0))</f>
        <v>0</v>
      </c>
      <c r="AM47" s="318">
        <f ca="1">IF(OR($A47="",TYPE(VLOOKUP($A47,Centrum!$D$3:$M$130,10,0))&gt;3),"",VLOOKUP(VLOOKUP($A47,Centrum!$D$3:$M$130,10,0),Centrum!$A$3:$CB$130,AM$132,0))</f>
        <v>-10</v>
      </c>
      <c r="AT47" s="318">
        <f ca="1">IF(OR(OR($A47="",TYPE(VLOOKUP($A47,Centrum!$D$3:$M$130,10,0))&gt;3),$A$1&lt;4),"",VLOOKUP(VLOOKUP($A47,Centrum!$D$3:$M$130,10,0),Centrum!$A$3:$CB$130,AT$132,0))</f>
        <v>25</v>
      </c>
      <c r="AU47" s="318">
        <f ca="1">IF(OR(OR($A47="",TYPE(VLOOKUP($A47,Centrum!$D$3:$M$130,10,0))&gt;3),$A$1&lt;4),"",VLOOKUP(VLOOKUP($A47,Centrum!$D$3:$M$130,10,0),Centrum!$A$3:$CB$130,AU$132,0))</f>
        <v>0</v>
      </c>
      <c r="AV47" s="318">
        <f ca="1">IF(OR(OR($A47="",TYPE(VLOOKUP($A47,Centrum!$D$3:$M$130,10,0))&gt;3),$A$1&lt;4),"",VLOOKUP(VLOOKUP($A47,Centrum!$D$3:$M$130,10,0),Centrum!$A$3:$CB$130,AV$132,0))</f>
        <v>-7</v>
      </c>
      <c r="BC47" s="318" t="str">
        <f ca="1">IF(OR(OR($A47="",TYPE(VLOOKUP($A47,Centrum!$D$3:$M$130,10,0))&gt;3),$A$1&lt;5),"",VLOOKUP(VLOOKUP($A47,Centrum!$D$3:$M$130,10,0),Centrum!$A$3:$CB$130,BC$132,0))</f>
        <v/>
      </c>
      <c r="BD47" s="318" t="str">
        <f ca="1">IF(OR(OR($A47="",TYPE(VLOOKUP($A47,Centrum!$D$3:$M$130,10,0))&gt;3),$A$1&lt;5),"",VLOOKUP(VLOOKUP($A47,Centrum!$D$3:$M$130,10,0),Centrum!$A$3:$CB$130,BD$132,0))</f>
        <v/>
      </c>
      <c r="BE47" s="318" t="str">
        <f ca="1">IF(OR(OR($A47="",TYPE(VLOOKUP($A47,Centrum!$D$3:$M$130,10,0))&gt;3),$A$1&lt;5),"",VLOOKUP(VLOOKUP($A47,Centrum!$D$3:$M$130,10,0),Centrum!$A$3:$CB$130,BE$132,0))</f>
        <v/>
      </c>
      <c r="BL47" s="318" t="str">
        <f ca="1">IF(OR(OR($A47="",TYPE(VLOOKUP($A47,Centrum!$D$3:$M$130,10,0))&gt;3),$A$1&lt;6),"",VLOOKUP(VLOOKUP($A47,Centrum!$D$3:$M$130,10,0),Centrum!$A$3:$CB$130,BL$132,0))</f>
        <v/>
      </c>
      <c r="BM47" s="318" t="str">
        <f ca="1">IF(OR(OR($A47="",TYPE(VLOOKUP($A47,Centrum!$D$3:$M$130,10,0))&gt;3),$A$1&lt;6),"",VLOOKUP(VLOOKUP($A47,Centrum!$D$3:$M$130,10,0),Centrum!$A$3:$CB$130,BM$132,0))</f>
        <v/>
      </c>
      <c r="BN47" s="318" t="str">
        <f ca="1">IF(OR(OR($A47="",TYPE(VLOOKUP($A47,Centrum!$D$3:$M$130,10,0))&gt;3),$A$1&lt;6),"",VLOOKUP(VLOOKUP($A47,Centrum!$D$3:$M$130,10,0),Centrum!$A$3:$CB$130,BN$132,0))</f>
        <v/>
      </c>
    </row>
    <row r="48" spans="1:66" x14ac:dyDescent="0.4">
      <c r="A48" s="318">
        <f ca="1">Centrum!A48</f>
        <v>46</v>
      </c>
      <c r="B48" s="421" t="str">
        <f ca="1">IF(OR($A48="",TYPE(VLOOKUP($A48,Centrum!$D$3:$M$130,10,0))&gt;3),"",VLOOKUP(VLOOKUP(A48,Centrum!$D$3:$M$130,10,0),Centrum!$A$3:$CB$130,B$132,0))</f>
        <v>16 PC Sokol Lipník - Vyoral Hynek</v>
      </c>
      <c r="C48" s="318">
        <f ca="1">IF(OR($A48="",TYPE(VLOOKUP($A48,Centrum!$D$3:$M$130,10,0))&gt;3),"",VLOOKUP($A48,Centrum!$D$3:$M$130,10,0))</f>
        <v>16</v>
      </c>
      <c r="E48" s="318">
        <f ca="1">IF(OR($A48="",TYPE(VLOOKUP($A48,Centrum!$D$3:$M$130,10,0))&gt;3),"",VLOOKUP(VLOOKUP($A48,Centrum!$D$3:$M$130,10,0),Centrum!$A$3:$CB$130,E$132,0))</f>
        <v>1</v>
      </c>
      <c r="F48" s="318">
        <f ca="1">IF(OR($A48="",TYPE(VLOOKUP($A48,Centrum!$D$3:$M$130,10,0))&gt;3),"",VLOOKUP(VLOOKUP($A48,Centrum!$D$3:$M$130,10,0),Centrum!$A$3:$CB$130,F$132,0))</f>
        <v>8</v>
      </c>
      <c r="G48" s="318">
        <f ca="1">IF(OR($A48="",TYPE(VLOOKUP($A48,Centrum!$D$3:$M$130,10,0))&gt;3),"",VLOOKUP(VLOOKUP($A48,Centrum!$D$3:$M$130,10,0),Centrum!$A$3:$CB$130,G$132,0))</f>
        <v>29</v>
      </c>
      <c r="H48" s="318">
        <f ca="1">IF($A48="","",VLOOKUP(VLOOKUP($A48,Centrum!$D$3:$M$130,10,0),Centrum!$A$3:$CB$130,H$132,0))</f>
        <v>1</v>
      </c>
      <c r="I48" s="318">
        <f ca="1">IF($A48="","",VLOOKUP(VLOOKUP($A48,Centrum!$D$3:$M$130,10,0),Centrum!$A$3:$CB$130,I$132,0))</f>
        <v>0</v>
      </c>
      <c r="J48" s="318">
        <f ca="1">IF(OR($A48="",TYPE(VLOOKUP($A48,Centrum!$D$3:$M$130,10,0))&gt;3),"",VLOOKUP(VLOOKUP($A48,Centrum!$D$3:$M$130,10,0),Centrum!$A$3:$CB$130,J$132,0))</f>
        <v>2</v>
      </c>
      <c r="L48" s="318">
        <f ca="1">IF(OR($A48="",TYPE(VLOOKUP($A48,Centrum!$D$3:$M$130,10,0))&gt;3),"",VLOOKUP(VLOOKUP($A48,Centrum!$D$3:$M$130,10,0),Centrum!$A$3:$CB$130,L$132,0))</f>
        <v>44</v>
      </c>
      <c r="M48" s="318">
        <f ca="1">IF(OR($A48="",TYPE(VLOOKUP($A48,Centrum!$D$3:$M$130,10,0))&gt;3),"",VLOOKUP(VLOOKUP($A48,Centrum!$D$3:$M$130,10,0),Centrum!$A$3:$CB$130,M$132,0))</f>
        <v>26</v>
      </c>
      <c r="N48" s="318">
        <f ca="1">IF(OR($A48="",TYPE(VLOOKUP($A48,Centrum!$D$3:$M$130,10,0))&gt;3),"",VLOOKUP(VLOOKUP($A48,Centrum!$D$3:$M$130,10,0),Centrum!$A$3:$CB$130,N$132,0))</f>
        <v>17</v>
      </c>
      <c r="O48" s="318">
        <f ca="1">IF(OR($A48="",TYPE(VLOOKUP($A48,Centrum!$D$3:$M$130,10,0))&gt;3),"",VLOOKUP(VLOOKUP($A48,Centrum!$D$3:$M$130,10,0),Centrum!$A$3:$CB$130,O$132,0))</f>
        <v>37</v>
      </c>
      <c r="P48" s="318">
        <f ca="1">IF(OR($A48="",TYPE(VLOOKUP($A48,Centrum!$D$3:$M$130,10,0))&gt;3),"",VLOOKUP(VLOOKUP($A48,Centrum!$D$3:$M$130,10,0),Centrum!$A$3:$CB$130,P$132,0))</f>
        <v>0</v>
      </c>
      <c r="Q48" s="318">
        <f ca="1">IF(OR($A48="",TYPE(VLOOKUP($A48,Centrum!$D$3:$M$130,10,0))&gt;3),"",VLOOKUP(VLOOKUP($A48,Centrum!$D$3:$M$130,10,0),Centrum!$A$3:$CB$130,Q$132,0))</f>
        <v>0</v>
      </c>
      <c r="S48" s="318">
        <f ca="1">IF(OR($A48="",TYPE(VLOOKUP($A48,Centrum!$D$3:$M$130,10,0))&gt;3),"",VLOOKUP(VLOOKUP($A48,Centrum!$D$3:$M$130,10,0),Centrum!$A$3:$CB$130,S$132,0))</f>
        <v>44</v>
      </c>
      <c r="T48" s="318">
        <f ca="1">IF(OR($A48="",TYPE(VLOOKUP($A48,Centrum!$D$3:$M$130,10,0))&gt;3),"",VLOOKUP(VLOOKUP($A48,Centrum!$D$3:$M$130,10,0),Centrum!$A$3:$CB$130,T$132,0))</f>
        <v>0</v>
      </c>
      <c r="U48" s="318">
        <f ca="1">IF(OR($A48="",TYPE(VLOOKUP($A48,Centrum!$D$3:$M$130,10,0))&gt;3),"",VLOOKUP(VLOOKUP($A48,Centrum!$D$3:$M$130,10,0),Centrum!$A$3:$CB$130,U$132,0))</f>
        <v>-4</v>
      </c>
      <c r="AB48" s="318">
        <f ca="1">IF(OR($A48="",TYPE(VLOOKUP($A48,Centrum!$D$3:$M$130,10,0))&gt;3),"",VLOOKUP(VLOOKUP($A48,Centrum!$D$3:$M$130,10,0),Centrum!$A$3:$CB$130,AB$132,0))</f>
        <v>26</v>
      </c>
      <c r="AC48" s="318">
        <f ca="1">IF(OR($A48="",TYPE(VLOOKUP($A48,Centrum!$D$3:$M$130,10,0))&gt;3),"",VLOOKUP(VLOOKUP($A48,Centrum!$D$3:$M$130,10,0),Centrum!$A$3:$CB$130,AC$132,0))</f>
        <v>1</v>
      </c>
      <c r="AD48" s="318">
        <f ca="1">IF(OR($A48="",TYPE(VLOOKUP($A48,Centrum!$D$3:$M$130,10,0))&gt;3),"",VLOOKUP(VLOOKUP($A48,Centrum!$D$3:$M$130,10,0),Centrum!$A$3:$CB$130,AD$132,0))</f>
        <v>13</v>
      </c>
      <c r="AK48" s="318">
        <f ca="1">IF(OR($A48="",TYPE(VLOOKUP($A48,Centrum!$D$3:$M$130,10,0))&gt;3),"",VLOOKUP(VLOOKUP($A48,Centrum!$D$3:$M$130,10,0),Centrum!$A$3:$CB$130,AK$132,0))</f>
        <v>17</v>
      </c>
      <c r="AL48" s="318">
        <f ca="1">IF(OR($A48="",TYPE(VLOOKUP($A48,Centrum!$D$3:$M$130,10,0))&gt;3),"",VLOOKUP(VLOOKUP($A48,Centrum!$D$3:$M$130,10,0),Centrum!$A$3:$CB$130,AL$132,0))</f>
        <v>0</v>
      </c>
      <c r="AM48" s="318">
        <f ca="1">IF(OR($A48="",TYPE(VLOOKUP($A48,Centrum!$D$3:$M$130,10,0))&gt;3),"",VLOOKUP(VLOOKUP($A48,Centrum!$D$3:$M$130,10,0),Centrum!$A$3:$CB$130,AM$132,0))</f>
        <v>-3</v>
      </c>
      <c r="AT48" s="318">
        <f ca="1">IF(OR(OR($A48="",TYPE(VLOOKUP($A48,Centrum!$D$3:$M$130,10,0))&gt;3),$A$1&lt;4),"",VLOOKUP(VLOOKUP($A48,Centrum!$D$3:$M$130,10,0),Centrum!$A$3:$CB$130,AT$132,0))</f>
        <v>37</v>
      </c>
      <c r="AU48" s="318">
        <f ca="1">IF(OR(OR($A48="",TYPE(VLOOKUP($A48,Centrum!$D$3:$M$130,10,0))&gt;3),$A$1&lt;4),"",VLOOKUP(VLOOKUP($A48,Centrum!$D$3:$M$130,10,0),Centrum!$A$3:$CB$130,AU$132,0))</f>
        <v>0</v>
      </c>
      <c r="AV48" s="318">
        <f ca="1">IF(OR(OR($A48="",TYPE(VLOOKUP($A48,Centrum!$D$3:$M$130,10,0))&gt;3),$A$1&lt;4),"",VLOOKUP(VLOOKUP($A48,Centrum!$D$3:$M$130,10,0),Centrum!$A$3:$CB$130,AV$132,0))</f>
        <v>-4</v>
      </c>
      <c r="BC48" s="318" t="str">
        <f ca="1">IF(OR(OR($A48="",TYPE(VLOOKUP($A48,Centrum!$D$3:$M$130,10,0))&gt;3),$A$1&lt;5),"",VLOOKUP(VLOOKUP($A48,Centrum!$D$3:$M$130,10,0),Centrum!$A$3:$CB$130,BC$132,0))</f>
        <v/>
      </c>
      <c r="BD48" s="318" t="str">
        <f ca="1">IF(OR(OR($A48="",TYPE(VLOOKUP($A48,Centrum!$D$3:$M$130,10,0))&gt;3),$A$1&lt;5),"",VLOOKUP(VLOOKUP($A48,Centrum!$D$3:$M$130,10,0),Centrum!$A$3:$CB$130,BD$132,0))</f>
        <v/>
      </c>
      <c r="BE48" s="318" t="str">
        <f ca="1">IF(OR(OR($A48="",TYPE(VLOOKUP($A48,Centrum!$D$3:$M$130,10,0))&gt;3),$A$1&lt;5),"",VLOOKUP(VLOOKUP($A48,Centrum!$D$3:$M$130,10,0),Centrum!$A$3:$CB$130,BE$132,0))</f>
        <v/>
      </c>
      <c r="BL48" s="318" t="str">
        <f ca="1">IF(OR(OR($A48="",TYPE(VLOOKUP($A48,Centrum!$D$3:$M$130,10,0))&gt;3),$A$1&lt;6),"",VLOOKUP(VLOOKUP($A48,Centrum!$D$3:$M$130,10,0),Centrum!$A$3:$CB$130,BL$132,0))</f>
        <v/>
      </c>
      <c r="BM48" s="318" t="str">
        <f ca="1">IF(OR(OR($A48="",TYPE(VLOOKUP($A48,Centrum!$D$3:$M$130,10,0))&gt;3),$A$1&lt;6),"",VLOOKUP(VLOOKUP($A48,Centrum!$D$3:$M$130,10,0),Centrum!$A$3:$CB$130,BM$132,0))</f>
        <v/>
      </c>
      <c r="BN48" s="318" t="str">
        <f ca="1">IF(OR(OR($A48="",TYPE(VLOOKUP($A48,Centrum!$D$3:$M$130,10,0))&gt;3),$A$1&lt;6),"",VLOOKUP(VLOOKUP($A48,Centrum!$D$3:$M$130,10,0),Centrum!$A$3:$CB$130,BN$132,0))</f>
        <v/>
      </c>
    </row>
    <row r="49" spans="1:66" x14ac:dyDescent="0.4">
      <c r="A49" s="318">
        <f ca="1">Centrum!A49</f>
        <v>47</v>
      </c>
      <c r="B49" s="421" t="str">
        <f ca="1">IF(OR($A49="",TYPE(VLOOKUP($A49,Centrum!$D$3:$M$130,10,0))&gt;3),"",VLOOKUP(VLOOKUP(A49,Centrum!$D$3:$M$130,10,0),Centrum!$A$3:$CB$130,B$132,0))</f>
        <v>36 FRAPECO - Ondryáš Jiří</v>
      </c>
      <c r="C49" s="318">
        <f ca="1">IF(OR($A49="",TYPE(VLOOKUP($A49,Centrum!$D$3:$M$130,10,0))&gt;3),"",VLOOKUP($A49,Centrum!$D$3:$M$130,10,0))</f>
        <v>36</v>
      </c>
      <c r="E49" s="318">
        <f ca="1">IF(OR($A49="",TYPE(VLOOKUP($A49,Centrum!$D$3:$M$130,10,0))&gt;3),"",VLOOKUP(VLOOKUP($A49,Centrum!$D$3:$M$130,10,0),Centrum!$A$3:$CB$130,E$132,0))</f>
        <v>1</v>
      </c>
      <c r="F49" s="318">
        <f ca="1">IF(OR($A49="",TYPE(VLOOKUP($A49,Centrum!$D$3:$M$130,10,0))&gt;3),"",VLOOKUP(VLOOKUP($A49,Centrum!$D$3:$M$130,10,0),Centrum!$A$3:$CB$130,F$132,0))</f>
        <v>8</v>
      </c>
      <c r="G49" s="318">
        <f ca="1">IF(OR($A49="",TYPE(VLOOKUP($A49,Centrum!$D$3:$M$130,10,0))&gt;3),"",VLOOKUP(VLOOKUP($A49,Centrum!$D$3:$M$130,10,0),Centrum!$A$3:$CB$130,G$132,0))</f>
        <v>27</v>
      </c>
      <c r="H49" s="318">
        <f ca="1">IF($A49="","",VLOOKUP(VLOOKUP($A49,Centrum!$D$3:$M$130,10,0),Centrum!$A$3:$CB$130,H$132,0))</f>
        <v>2</v>
      </c>
      <c r="I49" s="318">
        <f ca="1">IF($A49="","",VLOOKUP(VLOOKUP($A49,Centrum!$D$3:$M$130,10,0),Centrum!$A$3:$CB$130,I$132,0))</f>
        <v>1</v>
      </c>
      <c r="J49" s="318">
        <f ca="1">IF(OR($A49="",TYPE(VLOOKUP($A49,Centrum!$D$3:$M$130,10,0))&gt;3),"",VLOOKUP(VLOOKUP($A49,Centrum!$D$3:$M$130,10,0),Centrum!$A$3:$CB$130,J$132,0))</f>
        <v>-12</v>
      </c>
      <c r="L49" s="318">
        <f ca="1">IF(OR($A49="",TYPE(VLOOKUP($A49,Centrum!$D$3:$M$130,10,0))&gt;3),"",VLOOKUP(VLOOKUP($A49,Centrum!$D$3:$M$130,10,0),Centrum!$A$3:$CB$130,L$132,0))</f>
        <v>8</v>
      </c>
      <c r="M49" s="318">
        <f ca="1">IF(OR($A49="",TYPE(VLOOKUP($A49,Centrum!$D$3:$M$130,10,0))&gt;3),"",VLOOKUP(VLOOKUP($A49,Centrum!$D$3:$M$130,10,0),Centrum!$A$3:$CB$130,M$132,0))</f>
        <v>6</v>
      </c>
      <c r="N49" s="318">
        <f ca="1">IF(OR($A49="",TYPE(VLOOKUP($A49,Centrum!$D$3:$M$130,10,0))&gt;3),"",VLOOKUP(VLOOKUP($A49,Centrum!$D$3:$M$130,10,0),Centrum!$A$3:$CB$130,N$132,0))</f>
        <v>9</v>
      </c>
      <c r="O49" s="318">
        <f ca="1">IF(OR($A49="",TYPE(VLOOKUP($A49,Centrum!$D$3:$M$130,10,0))&gt;3),"",VLOOKUP(VLOOKUP($A49,Centrum!$D$3:$M$130,10,0),Centrum!$A$3:$CB$130,O$132,0))</f>
        <v>20</v>
      </c>
      <c r="P49" s="318">
        <f ca="1">IF(OR($A49="",TYPE(VLOOKUP($A49,Centrum!$D$3:$M$130,10,0))&gt;3),"",VLOOKUP(VLOOKUP($A49,Centrum!$D$3:$M$130,10,0),Centrum!$A$3:$CB$130,P$132,0))</f>
        <v>0</v>
      </c>
      <c r="Q49" s="318">
        <f ca="1">IF(OR($A49="",TYPE(VLOOKUP($A49,Centrum!$D$3:$M$130,10,0))&gt;3),"",VLOOKUP(VLOOKUP($A49,Centrum!$D$3:$M$130,10,0),Centrum!$A$3:$CB$130,Q$132,0))</f>
        <v>0</v>
      </c>
      <c r="S49" s="318">
        <f ca="1">IF(OR($A49="",TYPE(VLOOKUP($A49,Centrum!$D$3:$M$130,10,0))&gt;3),"",VLOOKUP(VLOOKUP($A49,Centrum!$D$3:$M$130,10,0),Centrum!$A$3:$CB$130,S$132,0))</f>
        <v>8</v>
      </c>
      <c r="T49" s="318">
        <f ca="1">IF(OR($A49="",TYPE(VLOOKUP($A49,Centrum!$D$3:$M$130,10,0))&gt;3),"",VLOOKUP(VLOOKUP($A49,Centrum!$D$3:$M$130,10,0),Centrum!$A$3:$CB$130,T$132,0))</f>
        <v>0</v>
      </c>
      <c r="U49" s="318">
        <f ca="1">IF(OR($A49="",TYPE(VLOOKUP($A49,Centrum!$D$3:$M$130,10,0))&gt;3),"",VLOOKUP(VLOOKUP($A49,Centrum!$D$3:$M$130,10,0),Centrum!$A$3:$CB$130,U$132,0))</f>
        <v>-8</v>
      </c>
      <c r="AB49" s="318">
        <f ca="1">IF(OR($A49="",TYPE(VLOOKUP($A49,Centrum!$D$3:$M$130,10,0))&gt;3),"",VLOOKUP(VLOOKUP($A49,Centrum!$D$3:$M$130,10,0),Centrum!$A$3:$CB$130,AB$132,0))</f>
        <v>6</v>
      </c>
      <c r="AC49" s="318">
        <f ca="1">IF(OR($A49="",TYPE(VLOOKUP($A49,Centrum!$D$3:$M$130,10,0))&gt;3),"",VLOOKUP(VLOOKUP($A49,Centrum!$D$3:$M$130,10,0),Centrum!$A$3:$CB$130,AC$132,0))</f>
        <v>1</v>
      </c>
      <c r="AD49" s="318">
        <f ca="1">IF(OR($A49="",TYPE(VLOOKUP($A49,Centrum!$D$3:$M$130,10,0))&gt;3),"",VLOOKUP(VLOOKUP($A49,Centrum!$D$3:$M$130,10,0),Centrum!$A$3:$CB$130,AD$132,0))</f>
        <v>7</v>
      </c>
      <c r="AK49" s="318">
        <f ca="1">IF(OR($A49="",TYPE(VLOOKUP($A49,Centrum!$D$3:$M$130,10,0))&gt;3),"",VLOOKUP(VLOOKUP($A49,Centrum!$D$3:$M$130,10,0),Centrum!$A$3:$CB$130,AK$132,0))</f>
        <v>9</v>
      </c>
      <c r="AL49" s="318">
        <f ca="1">IF(OR($A49="",TYPE(VLOOKUP($A49,Centrum!$D$3:$M$130,10,0))&gt;3),"",VLOOKUP(VLOOKUP($A49,Centrum!$D$3:$M$130,10,0),Centrum!$A$3:$CB$130,AL$132,0))</f>
        <v>0</v>
      </c>
      <c r="AM49" s="318">
        <f ca="1">IF(OR($A49="",TYPE(VLOOKUP($A49,Centrum!$D$3:$M$130,10,0))&gt;3),"",VLOOKUP(VLOOKUP($A49,Centrum!$D$3:$M$130,10,0),Centrum!$A$3:$CB$130,AM$132,0))</f>
        <v>-9</v>
      </c>
      <c r="AT49" s="318">
        <f ca="1">IF(OR(OR($A49="",TYPE(VLOOKUP($A49,Centrum!$D$3:$M$130,10,0))&gt;3),$A$1&lt;4),"",VLOOKUP(VLOOKUP($A49,Centrum!$D$3:$M$130,10,0),Centrum!$A$3:$CB$130,AT$132,0))</f>
        <v>20</v>
      </c>
      <c r="AU49" s="318">
        <f ca="1">IF(OR(OR($A49="",TYPE(VLOOKUP($A49,Centrum!$D$3:$M$130,10,0))&gt;3),$A$1&lt;4),"",VLOOKUP(VLOOKUP($A49,Centrum!$D$3:$M$130,10,0),Centrum!$A$3:$CB$130,AU$132,0))</f>
        <v>0</v>
      </c>
      <c r="AV49" s="318">
        <f ca="1">IF(OR(OR($A49="",TYPE(VLOOKUP($A49,Centrum!$D$3:$M$130,10,0))&gt;3),$A$1&lt;4),"",VLOOKUP(VLOOKUP($A49,Centrum!$D$3:$M$130,10,0),Centrum!$A$3:$CB$130,AV$132,0))</f>
        <v>-2</v>
      </c>
      <c r="BC49" s="318" t="str">
        <f ca="1">IF(OR(OR($A49="",TYPE(VLOOKUP($A49,Centrum!$D$3:$M$130,10,0))&gt;3),$A$1&lt;5),"",VLOOKUP(VLOOKUP($A49,Centrum!$D$3:$M$130,10,0),Centrum!$A$3:$CB$130,BC$132,0))</f>
        <v/>
      </c>
      <c r="BD49" s="318" t="str">
        <f ca="1">IF(OR(OR($A49="",TYPE(VLOOKUP($A49,Centrum!$D$3:$M$130,10,0))&gt;3),$A$1&lt;5),"",VLOOKUP(VLOOKUP($A49,Centrum!$D$3:$M$130,10,0),Centrum!$A$3:$CB$130,BD$132,0))</f>
        <v/>
      </c>
      <c r="BE49" s="318" t="str">
        <f ca="1">IF(OR(OR($A49="",TYPE(VLOOKUP($A49,Centrum!$D$3:$M$130,10,0))&gt;3),$A$1&lt;5),"",VLOOKUP(VLOOKUP($A49,Centrum!$D$3:$M$130,10,0),Centrum!$A$3:$CB$130,BE$132,0))</f>
        <v/>
      </c>
      <c r="BL49" s="318" t="str">
        <f ca="1">IF(OR(OR($A49="",TYPE(VLOOKUP($A49,Centrum!$D$3:$M$130,10,0))&gt;3),$A$1&lt;6),"",VLOOKUP(VLOOKUP($A49,Centrum!$D$3:$M$130,10,0),Centrum!$A$3:$CB$130,BL$132,0))</f>
        <v/>
      </c>
      <c r="BM49" s="318" t="str">
        <f ca="1">IF(OR(OR($A49="",TYPE(VLOOKUP($A49,Centrum!$D$3:$M$130,10,0))&gt;3),$A$1&lt;6),"",VLOOKUP(VLOOKUP($A49,Centrum!$D$3:$M$130,10,0),Centrum!$A$3:$CB$130,BM$132,0))</f>
        <v/>
      </c>
      <c r="BN49" s="318" t="str">
        <f ca="1">IF(OR(OR($A49="",TYPE(VLOOKUP($A49,Centrum!$D$3:$M$130,10,0))&gt;3),$A$1&lt;6),"",VLOOKUP(VLOOKUP($A49,Centrum!$D$3:$M$130,10,0),Centrum!$A$3:$CB$130,BN$132,0))</f>
        <v/>
      </c>
    </row>
    <row r="50" spans="1:66" x14ac:dyDescent="0.4">
      <c r="A50" s="318">
        <f ca="1">Centrum!A50</f>
        <v>48</v>
      </c>
      <c r="B50" s="421" t="str">
        <f ca="1">IF(OR($A50="",TYPE(VLOOKUP($A50,Centrum!$D$3:$M$130,10,0))&gt;3),"",VLOOKUP(VLOOKUP(A50,Centrum!$D$3:$M$130,10,0),Centrum!$A$3:$CB$130,B$132,0))</f>
        <v xml:space="preserve">46   - Vladimír Chládek  </v>
      </c>
      <c r="C50" s="318">
        <f ca="1">IF(OR($A50="",TYPE(VLOOKUP($A50,Centrum!$D$3:$M$130,10,0))&gt;3),"",VLOOKUP($A50,Centrum!$D$3:$M$130,10,0))</f>
        <v>46</v>
      </c>
      <c r="E50" s="318">
        <f ca="1">IF(OR($A50="",TYPE(VLOOKUP($A50,Centrum!$D$3:$M$130,10,0))&gt;3),"",VLOOKUP(VLOOKUP($A50,Centrum!$D$3:$M$130,10,0),Centrum!$A$3:$CB$130,E$132,0))</f>
        <v>1</v>
      </c>
      <c r="F50" s="318">
        <f ca="1">IF(OR($A50="",TYPE(VLOOKUP($A50,Centrum!$D$3:$M$130,10,0))&gt;3),"",VLOOKUP(VLOOKUP($A50,Centrum!$D$3:$M$130,10,0),Centrum!$A$3:$CB$130,F$132,0))</f>
        <v>8</v>
      </c>
      <c r="G50" s="318">
        <f ca="1">IF(OR($A50="",TYPE(VLOOKUP($A50,Centrum!$D$3:$M$130,10,0))&gt;3),"",VLOOKUP(VLOOKUP($A50,Centrum!$D$3:$M$130,10,0),Centrum!$A$3:$CB$130,G$132,0))</f>
        <v>26</v>
      </c>
      <c r="H50" s="318">
        <f ca="1">IF($A50="","",VLOOKUP(VLOOKUP($A50,Centrum!$D$3:$M$130,10,0),Centrum!$A$3:$CB$130,H$132,0))</f>
        <v>2</v>
      </c>
      <c r="I50" s="318">
        <f ca="1">IF($A50="","",VLOOKUP(VLOOKUP($A50,Centrum!$D$3:$M$130,10,0),Centrum!$A$3:$CB$130,I$132,0))</f>
        <v>1</v>
      </c>
      <c r="J50" s="318">
        <f ca="1">IF(OR($A50="",TYPE(VLOOKUP($A50,Centrum!$D$3:$M$130,10,0))&gt;3),"",VLOOKUP(VLOOKUP($A50,Centrum!$D$3:$M$130,10,0),Centrum!$A$3:$CB$130,J$132,0))</f>
        <v>-8</v>
      </c>
      <c r="L50" s="318">
        <f ca="1">IF(OR($A50="",TYPE(VLOOKUP($A50,Centrum!$D$3:$M$130,10,0))&gt;3),"",VLOOKUP(VLOOKUP($A50,Centrum!$D$3:$M$130,10,0),Centrum!$A$3:$CB$130,L$132,0))</f>
        <v>18</v>
      </c>
      <c r="M50" s="318">
        <f ca="1">IF(OR($A50="",TYPE(VLOOKUP($A50,Centrum!$D$3:$M$130,10,0))&gt;3),"",VLOOKUP(VLOOKUP($A50,Centrum!$D$3:$M$130,10,0),Centrum!$A$3:$CB$130,M$132,0))</f>
        <v>37</v>
      </c>
      <c r="N50" s="318">
        <f ca="1">IF(OR($A50="",TYPE(VLOOKUP($A50,Centrum!$D$3:$M$130,10,0))&gt;3),"",VLOOKUP(VLOOKUP($A50,Centrum!$D$3:$M$130,10,0),Centrum!$A$3:$CB$130,N$132,0))</f>
        <v>20</v>
      </c>
      <c r="O50" s="318">
        <f ca="1">IF(OR($A50="",TYPE(VLOOKUP($A50,Centrum!$D$3:$M$130,10,0))&gt;3),"",VLOOKUP(VLOOKUP($A50,Centrum!$D$3:$M$130,10,0),Centrum!$A$3:$CB$130,O$132,0))</f>
        <v>42</v>
      </c>
      <c r="P50" s="318">
        <f ca="1">IF(OR($A50="",TYPE(VLOOKUP($A50,Centrum!$D$3:$M$130,10,0))&gt;3),"",VLOOKUP(VLOOKUP($A50,Centrum!$D$3:$M$130,10,0),Centrum!$A$3:$CB$130,P$132,0))</f>
        <v>0</v>
      </c>
      <c r="Q50" s="318">
        <f ca="1">IF(OR($A50="",TYPE(VLOOKUP($A50,Centrum!$D$3:$M$130,10,0))&gt;3),"",VLOOKUP(VLOOKUP($A50,Centrum!$D$3:$M$130,10,0),Centrum!$A$3:$CB$130,Q$132,0))</f>
        <v>0</v>
      </c>
      <c r="S50" s="318">
        <f ca="1">IF(OR($A50="",TYPE(VLOOKUP($A50,Centrum!$D$3:$M$130,10,0))&gt;3),"",VLOOKUP(VLOOKUP($A50,Centrum!$D$3:$M$130,10,0),Centrum!$A$3:$CB$130,S$132,0))</f>
        <v>18</v>
      </c>
      <c r="T50" s="318">
        <f ca="1">IF(OR($A50="",TYPE(VLOOKUP($A50,Centrum!$D$3:$M$130,10,0))&gt;3),"",VLOOKUP(VLOOKUP($A50,Centrum!$D$3:$M$130,10,0),Centrum!$A$3:$CB$130,T$132,0))</f>
        <v>0</v>
      </c>
      <c r="U50" s="318">
        <f ca="1">IF(OR($A50="",TYPE(VLOOKUP($A50,Centrum!$D$3:$M$130,10,0))&gt;3),"",VLOOKUP(VLOOKUP($A50,Centrum!$D$3:$M$130,10,0),Centrum!$A$3:$CB$130,U$132,0))</f>
        <v>-6</v>
      </c>
      <c r="AB50" s="318">
        <f ca="1">IF(OR($A50="",TYPE(VLOOKUP($A50,Centrum!$D$3:$M$130,10,0))&gt;3),"",VLOOKUP(VLOOKUP($A50,Centrum!$D$3:$M$130,10,0),Centrum!$A$3:$CB$130,AB$132,0))</f>
        <v>37</v>
      </c>
      <c r="AC50" s="318">
        <f ca="1">IF(OR($A50="",TYPE(VLOOKUP($A50,Centrum!$D$3:$M$130,10,0))&gt;3),"",VLOOKUP(VLOOKUP($A50,Centrum!$D$3:$M$130,10,0),Centrum!$A$3:$CB$130,AC$132,0))</f>
        <v>0</v>
      </c>
      <c r="AD50" s="318">
        <f ca="1">IF(OR($A50="",TYPE(VLOOKUP($A50,Centrum!$D$3:$M$130,10,0))&gt;3),"",VLOOKUP(VLOOKUP($A50,Centrum!$D$3:$M$130,10,0),Centrum!$A$3:$CB$130,AD$132,0))</f>
        <v>-4</v>
      </c>
      <c r="AK50" s="318">
        <f ca="1">IF(OR($A50="",TYPE(VLOOKUP($A50,Centrum!$D$3:$M$130,10,0))&gt;3),"",VLOOKUP(VLOOKUP($A50,Centrum!$D$3:$M$130,10,0),Centrum!$A$3:$CB$130,AK$132,0))</f>
        <v>20</v>
      </c>
      <c r="AL50" s="318">
        <f ca="1">IF(OR($A50="",TYPE(VLOOKUP($A50,Centrum!$D$3:$M$130,10,0))&gt;3),"",VLOOKUP(VLOOKUP($A50,Centrum!$D$3:$M$130,10,0),Centrum!$A$3:$CB$130,AL$132,0))</f>
        <v>1</v>
      </c>
      <c r="AM50" s="318">
        <f ca="1">IF(OR($A50="",TYPE(VLOOKUP($A50,Centrum!$D$3:$M$130,10,0))&gt;3),"",VLOOKUP(VLOOKUP($A50,Centrum!$D$3:$M$130,10,0),Centrum!$A$3:$CB$130,AM$132,0))</f>
        <v>4</v>
      </c>
      <c r="AT50" s="318">
        <f ca="1">IF(OR(OR($A50="",TYPE(VLOOKUP($A50,Centrum!$D$3:$M$130,10,0))&gt;3),$A$1&lt;4),"",VLOOKUP(VLOOKUP($A50,Centrum!$D$3:$M$130,10,0),Centrum!$A$3:$CB$130,AT$132,0))</f>
        <v>42</v>
      </c>
      <c r="AU50" s="318">
        <f ca="1">IF(OR(OR($A50="",TYPE(VLOOKUP($A50,Centrum!$D$3:$M$130,10,0))&gt;3),$A$1&lt;4),"",VLOOKUP(VLOOKUP($A50,Centrum!$D$3:$M$130,10,0),Centrum!$A$3:$CB$130,AU$132,0))</f>
        <v>0</v>
      </c>
      <c r="AV50" s="318">
        <f ca="1">IF(OR(OR($A50="",TYPE(VLOOKUP($A50,Centrum!$D$3:$M$130,10,0))&gt;3),$A$1&lt;4),"",VLOOKUP(VLOOKUP($A50,Centrum!$D$3:$M$130,10,0),Centrum!$A$3:$CB$130,AV$132,0))</f>
        <v>-2</v>
      </c>
      <c r="BC50" s="318" t="str">
        <f ca="1">IF(OR(OR($A50="",TYPE(VLOOKUP($A50,Centrum!$D$3:$M$130,10,0))&gt;3),$A$1&lt;5),"",VLOOKUP(VLOOKUP($A50,Centrum!$D$3:$M$130,10,0),Centrum!$A$3:$CB$130,BC$132,0))</f>
        <v/>
      </c>
      <c r="BD50" s="318" t="str">
        <f ca="1">IF(OR(OR($A50="",TYPE(VLOOKUP($A50,Centrum!$D$3:$M$130,10,0))&gt;3),$A$1&lt;5),"",VLOOKUP(VLOOKUP($A50,Centrum!$D$3:$M$130,10,0),Centrum!$A$3:$CB$130,BD$132,0))</f>
        <v/>
      </c>
      <c r="BE50" s="318" t="str">
        <f ca="1">IF(OR(OR($A50="",TYPE(VLOOKUP($A50,Centrum!$D$3:$M$130,10,0))&gt;3),$A$1&lt;5),"",VLOOKUP(VLOOKUP($A50,Centrum!$D$3:$M$130,10,0),Centrum!$A$3:$CB$130,BE$132,0))</f>
        <v/>
      </c>
      <c r="BL50" s="318" t="str">
        <f ca="1">IF(OR(OR($A50="",TYPE(VLOOKUP($A50,Centrum!$D$3:$M$130,10,0))&gt;3),$A$1&lt;6),"",VLOOKUP(VLOOKUP($A50,Centrum!$D$3:$M$130,10,0),Centrum!$A$3:$CB$130,BL$132,0))</f>
        <v/>
      </c>
      <c r="BM50" s="318" t="str">
        <f ca="1">IF(OR(OR($A50="",TYPE(VLOOKUP($A50,Centrum!$D$3:$M$130,10,0))&gt;3),$A$1&lt;6),"",VLOOKUP(VLOOKUP($A50,Centrum!$D$3:$M$130,10,0),Centrum!$A$3:$CB$130,BM$132,0))</f>
        <v/>
      </c>
      <c r="BN50" s="318" t="str">
        <f ca="1">IF(OR(OR($A50="",TYPE(VLOOKUP($A50,Centrum!$D$3:$M$130,10,0))&gt;3),$A$1&lt;6),"",VLOOKUP(VLOOKUP($A50,Centrum!$D$3:$M$130,10,0),Centrum!$A$3:$CB$130,BN$132,0))</f>
        <v/>
      </c>
    </row>
    <row r="51" spans="1:66" x14ac:dyDescent="0.4">
      <c r="A51" s="318">
        <f ca="1">Centrum!A51</f>
        <v>49</v>
      </c>
      <c r="B51" s="421" t="str">
        <f ca="1">IF(OR($A51="",TYPE(VLOOKUP($A51,Centrum!$D$3:$M$130,10,0))&gt;3),"",VLOOKUP(VLOOKUP(A51,Centrum!$D$3:$M$130,10,0),Centrum!$A$3:$CB$130,B$132,0))</f>
        <v>31 SK Pétanque Řepy - Holoubek Pavel</v>
      </c>
      <c r="C51" s="318">
        <f ca="1">IF(OR($A51="",TYPE(VLOOKUP($A51,Centrum!$D$3:$M$130,10,0))&gt;3),"",VLOOKUP($A51,Centrum!$D$3:$M$130,10,0))</f>
        <v>31</v>
      </c>
      <c r="E51" s="318">
        <f ca="1">IF(OR($A51="",TYPE(VLOOKUP($A51,Centrum!$D$3:$M$130,10,0))&gt;3),"",VLOOKUP(VLOOKUP($A51,Centrum!$D$3:$M$130,10,0),Centrum!$A$3:$CB$130,E$132,0))</f>
        <v>1</v>
      </c>
      <c r="F51" s="318">
        <f ca="1">IF(OR($A51="",TYPE(VLOOKUP($A51,Centrum!$D$3:$M$130,10,0))&gt;3),"",VLOOKUP(VLOOKUP($A51,Centrum!$D$3:$M$130,10,0),Centrum!$A$3:$CB$130,F$132,0))</f>
        <v>6</v>
      </c>
      <c r="G51" s="318">
        <f ca="1">IF(OR($A51="",TYPE(VLOOKUP($A51,Centrum!$D$3:$M$130,10,0))&gt;3),"",VLOOKUP(VLOOKUP($A51,Centrum!$D$3:$M$130,10,0),Centrum!$A$3:$CB$130,G$132,0))</f>
        <v>33</v>
      </c>
      <c r="H51" s="318">
        <f ca="1">IF($A51="","",VLOOKUP(VLOOKUP($A51,Centrum!$D$3:$M$130,10,0),Centrum!$A$3:$CB$130,H$132,0))</f>
        <v>0</v>
      </c>
      <c r="I51" s="318">
        <f ca="1">IF($A51="","",VLOOKUP(VLOOKUP($A51,Centrum!$D$3:$M$130,10,0),Centrum!$A$3:$CB$130,I$132,0))</f>
        <v>1</v>
      </c>
      <c r="J51" s="318">
        <f ca="1">IF(OR($A51="",TYPE(VLOOKUP($A51,Centrum!$D$3:$M$130,10,0))&gt;3),"",VLOOKUP(VLOOKUP($A51,Centrum!$D$3:$M$130,10,0),Centrum!$A$3:$CB$130,J$132,0))</f>
        <v>-23</v>
      </c>
      <c r="L51" s="318">
        <f ca="1">IF(OR($A51="",TYPE(VLOOKUP($A51,Centrum!$D$3:$M$130,10,0))&gt;3),"",VLOOKUP(VLOOKUP($A51,Centrum!$D$3:$M$130,10,0),Centrum!$A$3:$CB$130,L$132,0))</f>
        <v>3</v>
      </c>
      <c r="M51" s="318">
        <f ca="1">IF(OR($A51="",TYPE(VLOOKUP($A51,Centrum!$D$3:$M$130,10,0))&gt;3),"",VLOOKUP(VLOOKUP($A51,Centrum!$D$3:$M$130,10,0),Centrum!$A$3:$CB$130,M$132,0))</f>
        <v>29</v>
      </c>
      <c r="N51" s="318">
        <f ca="1">IF(OR($A51="",TYPE(VLOOKUP($A51,Centrum!$D$3:$M$130,10,0))&gt;3),"",VLOOKUP(VLOOKUP($A51,Centrum!$D$3:$M$130,10,0),Centrum!$A$3:$CB$130,N$132,0))</f>
        <v>42</v>
      </c>
      <c r="O51" s="318">
        <f ca="1">IF(OR($A51="",TYPE(VLOOKUP($A51,Centrum!$D$3:$M$130,10,0))&gt;3),"",VLOOKUP(VLOOKUP($A51,Centrum!$D$3:$M$130,10,0),Centrum!$A$3:$CB$130,O$132,0))</f>
        <v>43</v>
      </c>
      <c r="P51" s="318">
        <f ca="1">IF(OR($A51="",TYPE(VLOOKUP($A51,Centrum!$D$3:$M$130,10,0))&gt;3),"",VLOOKUP(VLOOKUP($A51,Centrum!$D$3:$M$130,10,0),Centrum!$A$3:$CB$130,P$132,0))</f>
        <v>0</v>
      </c>
      <c r="Q51" s="318">
        <f ca="1">IF(OR($A51="",TYPE(VLOOKUP($A51,Centrum!$D$3:$M$130,10,0))&gt;3),"",VLOOKUP(VLOOKUP($A51,Centrum!$D$3:$M$130,10,0),Centrum!$A$3:$CB$130,Q$132,0))</f>
        <v>0</v>
      </c>
      <c r="S51" s="318">
        <f ca="1">IF(OR($A51="",TYPE(VLOOKUP($A51,Centrum!$D$3:$M$130,10,0))&gt;3),"",VLOOKUP(VLOOKUP($A51,Centrum!$D$3:$M$130,10,0),Centrum!$A$3:$CB$130,S$132,0))</f>
        <v>3</v>
      </c>
      <c r="T51" s="318">
        <f ca="1">IF(OR($A51="",TYPE(VLOOKUP($A51,Centrum!$D$3:$M$130,10,0))&gt;3),"",VLOOKUP(VLOOKUP($A51,Centrum!$D$3:$M$130,10,0),Centrum!$A$3:$CB$130,T$132,0))</f>
        <v>0</v>
      </c>
      <c r="U51" s="318">
        <f ca="1">IF(OR($A51="",TYPE(VLOOKUP($A51,Centrum!$D$3:$M$130,10,0))&gt;3),"",VLOOKUP(VLOOKUP($A51,Centrum!$D$3:$M$130,10,0),Centrum!$A$3:$CB$130,U$132,0))</f>
        <v>-12</v>
      </c>
      <c r="AB51" s="318">
        <f ca="1">IF(OR($A51="",TYPE(VLOOKUP($A51,Centrum!$D$3:$M$130,10,0))&gt;3),"",VLOOKUP(VLOOKUP($A51,Centrum!$D$3:$M$130,10,0),Centrum!$A$3:$CB$130,AB$132,0))</f>
        <v>29</v>
      </c>
      <c r="AC51" s="318">
        <f ca="1">IF(OR($A51="",TYPE(VLOOKUP($A51,Centrum!$D$3:$M$130,10,0))&gt;3),"",VLOOKUP(VLOOKUP($A51,Centrum!$D$3:$M$130,10,0),Centrum!$A$3:$CB$130,AC$132,0))</f>
        <v>0</v>
      </c>
      <c r="AD51" s="318">
        <f ca="1">IF(OR($A51="",TYPE(VLOOKUP($A51,Centrum!$D$3:$M$130,10,0))&gt;3),"",VLOOKUP(VLOOKUP($A51,Centrum!$D$3:$M$130,10,0),Centrum!$A$3:$CB$130,AD$132,0))</f>
        <v>-9</v>
      </c>
      <c r="AK51" s="318">
        <f ca="1">IF(OR($A51="",TYPE(VLOOKUP($A51,Centrum!$D$3:$M$130,10,0))&gt;3),"",VLOOKUP(VLOOKUP($A51,Centrum!$D$3:$M$130,10,0),Centrum!$A$3:$CB$130,AK$132,0))</f>
        <v>42</v>
      </c>
      <c r="AL51" s="318">
        <f ca="1">IF(OR($A51="",TYPE(VLOOKUP($A51,Centrum!$D$3:$M$130,10,0))&gt;3),"",VLOOKUP(VLOOKUP($A51,Centrum!$D$3:$M$130,10,0),Centrum!$A$3:$CB$130,AL$132,0))</f>
        <v>0</v>
      </c>
      <c r="AM51" s="318">
        <f ca="1">IF(OR($A51="",TYPE(VLOOKUP($A51,Centrum!$D$3:$M$130,10,0))&gt;3),"",VLOOKUP(VLOOKUP($A51,Centrum!$D$3:$M$130,10,0),Centrum!$A$3:$CB$130,AM$132,0))</f>
        <v>-11</v>
      </c>
      <c r="AT51" s="318">
        <f ca="1">IF(OR(OR($A51="",TYPE(VLOOKUP($A51,Centrum!$D$3:$M$130,10,0))&gt;3),$A$1&lt;4),"",VLOOKUP(VLOOKUP($A51,Centrum!$D$3:$M$130,10,0),Centrum!$A$3:$CB$130,AT$132,0))</f>
        <v>43</v>
      </c>
      <c r="AU51" s="318">
        <f ca="1">IF(OR(OR($A51="",TYPE(VLOOKUP($A51,Centrum!$D$3:$M$130,10,0))&gt;3),$A$1&lt;4),"",VLOOKUP(VLOOKUP($A51,Centrum!$D$3:$M$130,10,0),Centrum!$A$3:$CB$130,AU$132,0))</f>
        <v>1</v>
      </c>
      <c r="AV51" s="318">
        <f ca="1">IF(OR(OR($A51="",TYPE(VLOOKUP($A51,Centrum!$D$3:$M$130,10,0))&gt;3),$A$1&lt;4),"",VLOOKUP(VLOOKUP($A51,Centrum!$D$3:$M$130,10,0),Centrum!$A$3:$CB$130,AV$132,0))</f>
        <v>9</v>
      </c>
      <c r="BC51" s="318" t="str">
        <f ca="1">IF(OR(OR($A51="",TYPE(VLOOKUP($A51,Centrum!$D$3:$M$130,10,0))&gt;3),$A$1&lt;5),"",VLOOKUP(VLOOKUP($A51,Centrum!$D$3:$M$130,10,0),Centrum!$A$3:$CB$130,BC$132,0))</f>
        <v/>
      </c>
      <c r="BD51" s="318" t="str">
        <f ca="1">IF(OR(OR($A51="",TYPE(VLOOKUP($A51,Centrum!$D$3:$M$130,10,0))&gt;3),$A$1&lt;5),"",VLOOKUP(VLOOKUP($A51,Centrum!$D$3:$M$130,10,0),Centrum!$A$3:$CB$130,BD$132,0))</f>
        <v/>
      </c>
      <c r="BE51" s="318" t="str">
        <f ca="1">IF(OR(OR($A51="",TYPE(VLOOKUP($A51,Centrum!$D$3:$M$130,10,0))&gt;3),$A$1&lt;5),"",VLOOKUP(VLOOKUP($A51,Centrum!$D$3:$M$130,10,0),Centrum!$A$3:$CB$130,BE$132,0))</f>
        <v/>
      </c>
      <c r="BL51" s="318" t="str">
        <f ca="1">IF(OR(OR($A51="",TYPE(VLOOKUP($A51,Centrum!$D$3:$M$130,10,0))&gt;3),$A$1&lt;6),"",VLOOKUP(VLOOKUP($A51,Centrum!$D$3:$M$130,10,0),Centrum!$A$3:$CB$130,BL$132,0))</f>
        <v/>
      </c>
      <c r="BM51" s="318" t="str">
        <f ca="1">IF(OR(OR($A51="",TYPE(VLOOKUP($A51,Centrum!$D$3:$M$130,10,0))&gt;3),$A$1&lt;6),"",VLOOKUP(VLOOKUP($A51,Centrum!$D$3:$M$130,10,0),Centrum!$A$3:$CB$130,BM$132,0))</f>
        <v/>
      </c>
      <c r="BN51" s="318" t="str">
        <f ca="1">IF(OR(OR($A51="",TYPE(VLOOKUP($A51,Centrum!$D$3:$M$130,10,0))&gt;3),$A$1&lt;6),"",VLOOKUP(VLOOKUP($A51,Centrum!$D$3:$M$130,10,0),Centrum!$A$3:$CB$130,BN$132,0))</f>
        <v/>
      </c>
    </row>
    <row r="52" spans="1:66" x14ac:dyDescent="0.4">
      <c r="A52" s="318">
        <f ca="1">Centrum!A52</f>
        <v>50</v>
      </c>
      <c r="B52" s="421" t="str">
        <f ca="1">IF(OR($A52="",TYPE(VLOOKUP($A52,Centrum!$D$3:$M$130,10,0))&gt;3),"",VLOOKUP(VLOOKUP(A52,Centrum!$D$3:$M$130,10,0),Centrum!$A$3:$CB$130,B$132,0))</f>
        <v xml:space="preserve">55   - Bjarne, Dánsko  </v>
      </c>
      <c r="C52" s="318">
        <f ca="1">IF(OR($A52="",TYPE(VLOOKUP($A52,Centrum!$D$3:$M$130,10,0))&gt;3),"",VLOOKUP($A52,Centrum!$D$3:$M$130,10,0))</f>
        <v>55</v>
      </c>
      <c r="E52" s="318">
        <f ca="1">IF(OR($A52="",TYPE(VLOOKUP($A52,Centrum!$D$3:$M$130,10,0))&gt;3),"",VLOOKUP(VLOOKUP($A52,Centrum!$D$3:$M$130,10,0),Centrum!$A$3:$CB$130,E$132,0))</f>
        <v>1</v>
      </c>
      <c r="F52" s="318">
        <f ca="1">IF(OR($A52="",TYPE(VLOOKUP($A52,Centrum!$D$3:$M$130,10,0))&gt;3),"",VLOOKUP(VLOOKUP($A52,Centrum!$D$3:$M$130,10,0),Centrum!$A$3:$CB$130,F$132,0))</f>
        <v>6</v>
      </c>
      <c r="G52" s="318">
        <f ca="1">IF(OR($A52="",TYPE(VLOOKUP($A52,Centrum!$D$3:$M$130,10,0))&gt;3),"",VLOOKUP(VLOOKUP($A52,Centrum!$D$3:$M$130,10,0),Centrum!$A$3:$CB$130,G$132,0))</f>
        <v>30</v>
      </c>
      <c r="H52" s="318">
        <f ca="1">IF($A52="","",VLOOKUP(VLOOKUP($A52,Centrum!$D$3:$M$130,10,0),Centrum!$A$3:$CB$130,H$132,0))</f>
        <v>0</v>
      </c>
      <c r="I52" s="318">
        <f ca="1">IF($A52="","",VLOOKUP(VLOOKUP($A52,Centrum!$D$3:$M$130,10,0),Centrum!$A$3:$CB$130,I$132,0))</f>
        <v>1</v>
      </c>
      <c r="J52" s="318">
        <f ca="1">IF(OR($A52="",TYPE(VLOOKUP($A52,Centrum!$D$3:$M$130,10,0))&gt;3),"",VLOOKUP(VLOOKUP($A52,Centrum!$D$3:$M$130,10,0),Centrum!$A$3:$CB$130,J$132,0))</f>
        <v>-9</v>
      </c>
      <c r="L52" s="318">
        <f ca="1">IF(OR($A52="",TYPE(VLOOKUP($A52,Centrum!$D$3:$M$130,10,0))&gt;3),"",VLOOKUP(VLOOKUP($A52,Centrum!$D$3:$M$130,10,0),Centrum!$A$3:$CB$130,L$132,0))</f>
        <v>27</v>
      </c>
      <c r="M52" s="318">
        <f ca="1">IF(OR($A52="",TYPE(VLOOKUP($A52,Centrum!$D$3:$M$130,10,0))&gt;3),"",VLOOKUP(VLOOKUP($A52,Centrum!$D$3:$M$130,10,0),Centrum!$A$3:$CB$130,M$132,0))</f>
        <v>25</v>
      </c>
      <c r="N52" s="318">
        <f ca="1">IF(OR($A52="",TYPE(VLOOKUP($A52,Centrum!$D$3:$M$130,10,0))&gt;3),"",VLOOKUP(VLOOKUP($A52,Centrum!$D$3:$M$130,10,0),Centrum!$A$3:$CB$130,N$132,0))</f>
        <v>43</v>
      </c>
      <c r="O52" s="318">
        <f ca="1">IF(OR($A52="",TYPE(VLOOKUP($A52,Centrum!$D$3:$M$130,10,0))&gt;3),"",VLOOKUP(VLOOKUP($A52,Centrum!$D$3:$M$130,10,0),Centrum!$A$3:$CB$130,O$132,0))</f>
        <v>6</v>
      </c>
      <c r="P52" s="318">
        <f ca="1">IF(OR($A52="",TYPE(VLOOKUP($A52,Centrum!$D$3:$M$130,10,0))&gt;3),"",VLOOKUP(VLOOKUP($A52,Centrum!$D$3:$M$130,10,0),Centrum!$A$3:$CB$130,P$132,0))</f>
        <v>0</v>
      </c>
      <c r="Q52" s="318">
        <f ca="1">IF(OR($A52="",TYPE(VLOOKUP($A52,Centrum!$D$3:$M$130,10,0))&gt;3),"",VLOOKUP(VLOOKUP($A52,Centrum!$D$3:$M$130,10,0),Centrum!$A$3:$CB$130,Q$132,0))</f>
        <v>0</v>
      </c>
      <c r="S52" s="318">
        <f ca="1">IF(OR($A52="",TYPE(VLOOKUP($A52,Centrum!$D$3:$M$130,10,0))&gt;3),"",VLOOKUP(VLOOKUP($A52,Centrum!$D$3:$M$130,10,0),Centrum!$A$3:$CB$130,S$132,0))</f>
        <v>27</v>
      </c>
      <c r="T52" s="318">
        <f ca="1">IF(OR($A52="",TYPE(VLOOKUP($A52,Centrum!$D$3:$M$130,10,0))&gt;3),"",VLOOKUP(VLOOKUP($A52,Centrum!$D$3:$M$130,10,0),Centrum!$A$3:$CB$130,T$132,0))</f>
        <v>0</v>
      </c>
      <c r="U52" s="318">
        <f ca="1">IF(OR($A52="",TYPE(VLOOKUP($A52,Centrum!$D$3:$M$130,10,0))&gt;3),"",VLOOKUP(VLOOKUP($A52,Centrum!$D$3:$M$130,10,0),Centrum!$A$3:$CB$130,U$132,0))</f>
        <v>-3</v>
      </c>
      <c r="AB52" s="318">
        <f ca="1">IF(OR($A52="",TYPE(VLOOKUP($A52,Centrum!$D$3:$M$130,10,0))&gt;3),"",VLOOKUP(VLOOKUP($A52,Centrum!$D$3:$M$130,10,0),Centrum!$A$3:$CB$130,AB$132,0))</f>
        <v>25</v>
      </c>
      <c r="AC52" s="318">
        <f ca="1">IF(OR($A52="",TYPE(VLOOKUP($A52,Centrum!$D$3:$M$130,10,0))&gt;3),"",VLOOKUP(VLOOKUP($A52,Centrum!$D$3:$M$130,10,0),Centrum!$A$3:$CB$130,AC$132,0))</f>
        <v>0</v>
      </c>
      <c r="AD52" s="318">
        <f ca="1">IF(OR($A52="",TYPE(VLOOKUP($A52,Centrum!$D$3:$M$130,10,0))&gt;3),"",VLOOKUP(VLOOKUP($A52,Centrum!$D$3:$M$130,10,0),Centrum!$A$3:$CB$130,AD$132,0))</f>
        <v>-8</v>
      </c>
      <c r="AK52" s="318">
        <f ca="1">IF(OR($A52="",TYPE(VLOOKUP($A52,Centrum!$D$3:$M$130,10,0))&gt;3),"",VLOOKUP(VLOOKUP($A52,Centrum!$D$3:$M$130,10,0),Centrum!$A$3:$CB$130,AK$132,0))</f>
        <v>43</v>
      </c>
      <c r="AL52" s="318">
        <f ca="1">IF(OR($A52="",TYPE(VLOOKUP($A52,Centrum!$D$3:$M$130,10,0))&gt;3),"",VLOOKUP(VLOOKUP($A52,Centrum!$D$3:$M$130,10,0),Centrum!$A$3:$CB$130,AL$132,0))</f>
        <v>1</v>
      </c>
      <c r="AM52" s="318">
        <f ca="1">IF(OR($A52="",TYPE(VLOOKUP($A52,Centrum!$D$3:$M$130,10,0))&gt;3),"",VLOOKUP(VLOOKUP($A52,Centrum!$D$3:$M$130,10,0),Centrum!$A$3:$CB$130,AM$132,0))</f>
        <v>9</v>
      </c>
      <c r="AT52" s="318">
        <f ca="1">IF(OR(OR($A52="",TYPE(VLOOKUP($A52,Centrum!$D$3:$M$130,10,0))&gt;3),$A$1&lt;4),"",VLOOKUP(VLOOKUP($A52,Centrum!$D$3:$M$130,10,0),Centrum!$A$3:$CB$130,AT$132,0))</f>
        <v>6</v>
      </c>
      <c r="AU52" s="318">
        <f ca="1">IF(OR(OR($A52="",TYPE(VLOOKUP($A52,Centrum!$D$3:$M$130,10,0))&gt;3),$A$1&lt;4),"",VLOOKUP(VLOOKUP($A52,Centrum!$D$3:$M$130,10,0),Centrum!$A$3:$CB$130,AU$132,0))</f>
        <v>0</v>
      </c>
      <c r="AV52" s="318">
        <f ca="1">IF(OR(OR($A52="",TYPE(VLOOKUP($A52,Centrum!$D$3:$M$130,10,0))&gt;3),$A$1&lt;4),"",VLOOKUP(VLOOKUP($A52,Centrum!$D$3:$M$130,10,0),Centrum!$A$3:$CB$130,AV$132,0))</f>
        <v>-7</v>
      </c>
      <c r="BC52" s="318" t="str">
        <f ca="1">IF(OR(OR($A52="",TYPE(VLOOKUP($A52,Centrum!$D$3:$M$130,10,0))&gt;3),$A$1&lt;5),"",VLOOKUP(VLOOKUP($A52,Centrum!$D$3:$M$130,10,0),Centrum!$A$3:$CB$130,BC$132,0))</f>
        <v/>
      </c>
      <c r="BD52" s="318" t="str">
        <f ca="1">IF(OR(OR($A52="",TYPE(VLOOKUP($A52,Centrum!$D$3:$M$130,10,0))&gt;3),$A$1&lt;5),"",VLOOKUP(VLOOKUP($A52,Centrum!$D$3:$M$130,10,0),Centrum!$A$3:$CB$130,BD$132,0))</f>
        <v/>
      </c>
      <c r="BE52" s="318" t="str">
        <f ca="1">IF(OR(OR($A52="",TYPE(VLOOKUP($A52,Centrum!$D$3:$M$130,10,0))&gt;3),$A$1&lt;5),"",VLOOKUP(VLOOKUP($A52,Centrum!$D$3:$M$130,10,0),Centrum!$A$3:$CB$130,BE$132,0))</f>
        <v/>
      </c>
      <c r="BL52" s="318" t="str">
        <f ca="1">IF(OR(OR($A52="",TYPE(VLOOKUP($A52,Centrum!$D$3:$M$130,10,0))&gt;3),$A$1&lt;6),"",VLOOKUP(VLOOKUP($A52,Centrum!$D$3:$M$130,10,0),Centrum!$A$3:$CB$130,BL$132,0))</f>
        <v/>
      </c>
      <c r="BM52" s="318" t="str">
        <f ca="1">IF(OR(OR($A52="",TYPE(VLOOKUP($A52,Centrum!$D$3:$M$130,10,0))&gt;3),$A$1&lt;6),"",VLOOKUP(VLOOKUP($A52,Centrum!$D$3:$M$130,10,0),Centrum!$A$3:$CB$130,BM$132,0))</f>
        <v/>
      </c>
      <c r="BN52" s="318" t="str">
        <f ca="1">IF(OR(OR($A52="",TYPE(VLOOKUP($A52,Centrum!$D$3:$M$130,10,0))&gt;3),$A$1&lt;6),"",VLOOKUP(VLOOKUP($A52,Centrum!$D$3:$M$130,10,0),Centrum!$A$3:$CB$130,BN$132,0))</f>
        <v/>
      </c>
    </row>
    <row r="53" spans="1:66" x14ac:dyDescent="0.4">
      <c r="A53" s="318">
        <f ca="1">Centrum!A53</f>
        <v>51</v>
      </c>
      <c r="B53" s="421" t="str">
        <f ca="1">IF(OR($A53="",TYPE(VLOOKUP($A53,Centrum!$D$3:$M$130,10,0))&gt;3),"",VLOOKUP(VLOOKUP(A53,Centrum!$D$3:$M$130,10,0),Centrum!$A$3:$CB$130,B$132,0))</f>
        <v>33 SK Pétanque Řepy - Müllerová Jiřina</v>
      </c>
      <c r="C53" s="318">
        <f ca="1">IF(OR($A53="",TYPE(VLOOKUP($A53,Centrum!$D$3:$M$130,10,0))&gt;3),"",VLOOKUP($A53,Centrum!$D$3:$M$130,10,0))</f>
        <v>33</v>
      </c>
      <c r="E53" s="318">
        <f ca="1">IF(OR($A53="",TYPE(VLOOKUP($A53,Centrum!$D$3:$M$130,10,0))&gt;3),"",VLOOKUP(VLOOKUP($A53,Centrum!$D$3:$M$130,10,0),Centrum!$A$3:$CB$130,E$132,0))</f>
        <v>1</v>
      </c>
      <c r="F53" s="318">
        <f ca="1">IF(OR($A53="",TYPE(VLOOKUP($A53,Centrum!$D$3:$M$130,10,0))&gt;3),"",VLOOKUP(VLOOKUP($A53,Centrum!$D$3:$M$130,10,0),Centrum!$A$3:$CB$130,F$132,0))</f>
        <v>6</v>
      </c>
      <c r="G53" s="318">
        <f ca="1">IF(OR($A53="",TYPE(VLOOKUP($A53,Centrum!$D$3:$M$130,10,0))&gt;3),"",VLOOKUP(VLOOKUP($A53,Centrum!$D$3:$M$130,10,0),Centrum!$A$3:$CB$130,G$132,0))</f>
        <v>25</v>
      </c>
      <c r="H53" s="318">
        <f ca="1">IF($A53="","",VLOOKUP(VLOOKUP($A53,Centrum!$D$3:$M$130,10,0),Centrum!$A$3:$CB$130,H$132,0))</f>
        <v>0</v>
      </c>
      <c r="I53" s="318">
        <f ca="1">IF($A53="","",VLOOKUP(VLOOKUP($A53,Centrum!$D$3:$M$130,10,0),Centrum!$A$3:$CB$130,I$132,0))</f>
        <v>1</v>
      </c>
      <c r="J53" s="318">
        <f ca="1">IF(OR($A53="",TYPE(VLOOKUP($A53,Centrum!$D$3:$M$130,10,0))&gt;3),"",VLOOKUP(VLOOKUP($A53,Centrum!$D$3:$M$130,10,0),Centrum!$A$3:$CB$130,J$132,0))</f>
        <v>-13</v>
      </c>
      <c r="L53" s="318">
        <f ca="1">IF(OR($A53="",TYPE(VLOOKUP($A53,Centrum!$D$3:$M$130,10,0))&gt;3),"",VLOOKUP(VLOOKUP($A53,Centrum!$D$3:$M$130,10,0),Centrum!$A$3:$CB$130,L$132,0))</f>
        <v>5</v>
      </c>
      <c r="M53" s="318">
        <f ca="1">IF(OR($A53="",TYPE(VLOOKUP($A53,Centrum!$D$3:$M$130,10,0))&gt;3),"",VLOOKUP(VLOOKUP($A53,Centrum!$D$3:$M$130,10,0),Centrum!$A$3:$CB$130,M$132,0))</f>
        <v>54</v>
      </c>
      <c r="N53" s="318">
        <f ca="1">IF(OR($A53="",TYPE(VLOOKUP($A53,Centrum!$D$3:$M$130,10,0))&gt;3),"",VLOOKUP(VLOOKUP($A53,Centrum!$D$3:$M$130,10,0),Centrum!$A$3:$CB$130,N$132,0))</f>
        <v>19</v>
      </c>
      <c r="O53" s="318" t="str">
        <f ca="1">IF(OR($A53="",TYPE(VLOOKUP($A53,Centrum!$D$3:$M$130,10,0))&gt;3),"",VLOOKUP(VLOOKUP($A53,Centrum!$D$3:$M$130,10,0),Centrum!$A$3:$CB$130,O$132,0))</f>
        <v/>
      </c>
      <c r="P53" s="318">
        <f ca="1">IF(OR($A53="",TYPE(VLOOKUP($A53,Centrum!$D$3:$M$130,10,0))&gt;3),"",VLOOKUP(VLOOKUP($A53,Centrum!$D$3:$M$130,10,0),Centrum!$A$3:$CB$130,P$132,0))</f>
        <v>0</v>
      </c>
      <c r="Q53" s="318">
        <f ca="1">IF(OR($A53="",TYPE(VLOOKUP($A53,Centrum!$D$3:$M$130,10,0))&gt;3),"",VLOOKUP(VLOOKUP($A53,Centrum!$D$3:$M$130,10,0),Centrum!$A$3:$CB$130,Q$132,0))</f>
        <v>0</v>
      </c>
      <c r="S53" s="318">
        <f ca="1">IF(OR($A53="",TYPE(VLOOKUP($A53,Centrum!$D$3:$M$130,10,0))&gt;3),"",VLOOKUP(VLOOKUP($A53,Centrum!$D$3:$M$130,10,0),Centrum!$A$3:$CB$130,S$132,0))</f>
        <v>5</v>
      </c>
      <c r="T53" s="318">
        <f ca="1">IF(OR($A53="",TYPE(VLOOKUP($A53,Centrum!$D$3:$M$130,10,0))&gt;3),"",VLOOKUP(VLOOKUP($A53,Centrum!$D$3:$M$130,10,0),Centrum!$A$3:$CB$130,T$132,0))</f>
        <v>0</v>
      </c>
      <c r="U53" s="318">
        <f ca="1">IF(OR($A53="",TYPE(VLOOKUP($A53,Centrum!$D$3:$M$130,10,0))&gt;3),"",VLOOKUP(VLOOKUP($A53,Centrum!$D$3:$M$130,10,0),Centrum!$A$3:$CB$130,U$132,0))</f>
        <v>-7</v>
      </c>
      <c r="AB53" s="318">
        <f ca="1">IF(OR($A53="",TYPE(VLOOKUP($A53,Centrum!$D$3:$M$130,10,0))&gt;3),"",VLOOKUP(VLOOKUP($A53,Centrum!$D$3:$M$130,10,0),Centrum!$A$3:$CB$130,AB$132,0))</f>
        <v>54</v>
      </c>
      <c r="AC53" s="318">
        <f ca="1">IF(OR($A53="",TYPE(VLOOKUP($A53,Centrum!$D$3:$M$130,10,0))&gt;3),"",VLOOKUP(VLOOKUP($A53,Centrum!$D$3:$M$130,10,0),Centrum!$A$3:$CB$130,AC$132,0))</f>
        <v>0</v>
      </c>
      <c r="AD53" s="318">
        <f ca="1">IF(OR($A53="",TYPE(VLOOKUP($A53,Centrum!$D$3:$M$130,10,0))&gt;3),"",VLOOKUP(VLOOKUP($A53,Centrum!$D$3:$M$130,10,0),Centrum!$A$3:$CB$130,AD$132,0))</f>
        <v>-5</v>
      </c>
      <c r="AK53" s="318">
        <f ca="1">IF(OR($A53="",TYPE(VLOOKUP($A53,Centrum!$D$3:$M$130,10,0))&gt;3),"",VLOOKUP(VLOOKUP($A53,Centrum!$D$3:$M$130,10,0),Centrum!$A$3:$CB$130,AK$132,0))</f>
        <v>19</v>
      </c>
      <c r="AL53" s="318">
        <f ca="1">IF(OR($A53="",TYPE(VLOOKUP($A53,Centrum!$D$3:$M$130,10,0))&gt;3),"",VLOOKUP(VLOOKUP($A53,Centrum!$D$3:$M$130,10,0),Centrum!$A$3:$CB$130,AL$132,0))</f>
        <v>0</v>
      </c>
      <c r="AM53" s="318">
        <f ca="1">IF(OR($A53="",TYPE(VLOOKUP($A53,Centrum!$D$3:$M$130,10,0))&gt;3),"",VLOOKUP(VLOOKUP($A53,Centrum!$D$3:$M$130,10,0),Centrum!$A$3:$CB$130,AM$132,0))</f>
        <v>-7</v>
      </c>
      <c r="AT53" s="318" t="str">
        <f ca="1">IF(OR(OR($A53="",TYPE(VLOOKUP($A53,Centrum!$D$3:$M$130,10,0))&gt;3),$A$1&lt;4),"",VLOOKUP(VLOOKUP($A53,Centrum!$D$3:$M$130,10,0),Centrum!$A$3:$CB$130,AT$132,0))</f>
        <v/>
      </c>
      <c r="AU53" s="318">
        <f ca="1">IF(OR(OR($A53="",TYPE(VLOOKUP($A53,Centrum!$D$3:$M$130,10,0))&gt;3),$A$1&lt;4),"",VLOOKUP(VLOOKUP($A53,Centrum!$D$3:$M$130,10,0),Centrum!$A$3:$CB$130,AU$132,0))</f>
        <v>1</v>
      </c>
      <c r="AV53" s="318">
        <f ca="1">IF(OR(OR($A53="",TYPE(VLOOKUP($A53,Centrum!$D$3:$M$130,10,0))&gt;3),$A$1&lt;4),"",VLOOKUP(VLOOKUP($A53,Centrum!$D$3:$M$130,10,0),Centrum!$A$3:$CB$130,AV$132,0))</f>
        <v>6</v>
      </c>
      <c r="BC53" s="318" t="str">
        <f ca="1">IF(OR(OR($A53="",TYPE(VLOOKUP($A53,Centrum!$D$3:$M$130,10,0))&gt;3),$A$1&lt;5),"",VLOOKUP(VLOOKUP($A53,Centrum!$D$3:$M$130,10,0),Centrum!$A$3:$CB$130,BC$132,0))</f>
        <v/>
      </c>
      <c r="BD53" s="318" t="str">
        <f ca="1">IF(OR(OR($A53="",TYPE(VLOOKUP($A53,Centrum!$D$3:$M$130,10,0))&gt;3),$A$1&lt;5),"",VLOOKUP(VLOOKUP($A53,Centrum!$D$3:$M$130,10,0),Centrum!$A$3:$CB$130,BD$132,0))</f>
        <v/>
      </c>
      <c r="BE53" s="318" t="str">
        <f ca="1">IF(OR(OR($A53="",TYPE(VLOOKUP($A53,Centrum!$D$3:$M$130,10,0))&gt;3),$A$1&lt;5),"",VLOOKUP(VLOOKUP($A53,Centrum!$D$3:$M$130,10,0),Centrum!$A$3:$CB$130,BE$132,0))</f>
        <v/>
      </c>
      <c r="BL53" s="318" t="str">
        <f ca="1">IF(OR(OR($A53="",TYPE(VLOOKUP($A53,Centrum!$D$3:$M$130,10,0))&gt;3),$A$1&lt;6),"",VLOOKUP(VLOOKUP($A53,Centrum!$D$3:$M$130,10,0),Centrum!$A$3:$CB$130,BL$132,0))</f>
        <v/>
      </c>
      <c r="BM53" s="318" t="str">
        <f ca="1">IF(OR(OR($A53="",TYPE(VLOOKUP($A53,Centrum!$D$3:$M$130,10,0))&gt;3),$A$1&lt;6),"",VLOOKUP(VLOOKUP($A53,Centrum!$D$3:$M$130,10,0),Centrum!$A$3:$CB$130,BM$132,0))</f>
        <v/>
      </c>
      <c r="BN53" s="318" t="str">
        <f ca="1">IF(OR(OR($A53="",TYPE(VLOOKUP($A53,Centrum!$D$3:$M$130,10,0))&gt;3),$A$1&lt;6),"",VLOOKUP(VLOOKUP($A53,Centrum!$D$3:$M$130,10,0),Centrum!$A$3:$CB$130,BN$132,0))</f>
        <v/>
      </c>
    </row>
    <row r="54" spans="1:66" x14ac:dyDescent="0.4">
      <c r="A54" s="318">
        <f ca="1">Centrum!A54</f>
        <v>52</v>
      </c>
      <c r="B54" s="421" t="str">
        <f ca="1">IF(OR($A54="",TYPE(VLOOKUP($A54,Centrum!$D$3:$M$130,10,0))&gt;3),"",VLOOKUP(VLOOKUP(A54,Centrum!$D$3:$M$130,10,0),Centrum!$A$3:$CB$130,B$132,0))</f>
        <v>19 UBU Únětice - Křížek Evžen</v>
      </c>
      <c r="C54" s="318">
        <f ca="1">IF(OR($A54="",TYPE(VLOOKUP($A54,Centrum!$D$3:$M$130,10,0))&gt;3),"",VLOOKUP($A54,Centrum!$D$3:$M$130,10,0))</f>
        <v>19</v>
      </c>
      <c r="E54" s="318">
        <f ca="1">IF(OR($A54="",TYPE(VLOOKUP($A54,Centrum!$D$3:$M$130,10,0))&gt;3),"",VLOOKUP(VLOOKUP($A54,Centrum!$D$3:$M$130,10,0),Centrum!$A$3:$CB$130,E$132,0))</f>
        <v>1</v>
      </c>
      <c r="F54" s="318">
        <f ca="1">IF(OR($A54="",TYPE(VLOOKUP($A54,Centrum!$D$3:$M$130,10,0))&gt;3),"",VLOOKUP(VLOOKUP($A54,Centrum!$D$3:$M$130,10,0),Centrum!$A$3:$CB$130,F$132,0))</f>
        <v>5</v>
      </c>
      <c r="G54" s="318">
        <f ca="1">IF(OR($A54="",TYPE(VLOOKUP($A54,Centrum!$D$3:$M$130,10,0))&gt;3),"",VLOOKUP(VLOOKUP($A54,Centrum!$D$3:$M$130,10,0),Centrum!$A$3:$CB$130,G$132,0))</f>
        <v>32</v>
      </c>
      <c r="H54" s="318">
        <f ca="1">IF($A54="","",VLOOKUP(VLOOKUP($A54,Centrum!$D$3:$M$130,10,0),Centrum!$A$3:$CB$130,H$132,0))</f>
        <v>1</v>
      </c>
      <c r="I54" s="318">
        <f ca="1">IF($A54="","",VLOOKUP(VLOOKUP($A54,Centrum!$D$3:$M$130,10,0),Centrum!$A$3:$CB$130,I$132,0))</f>
        <v>0</v>
      </c>
      <c r="J54" s="318">
        <f ca="1">IF(OR($A54="",TYPE(VLOOKUP($A54,Centrum!$D$3:$M$130,10,0))&gt;3),"",VLOOKUP(VLOOKUP($A54,Centrum!$D$3:$M$130,10,0),Centrum!$A$3:$CB$130,J$132,0))</f>
        <v>-9</v>
      </c>
      <c r="L54" s="318">
        <f ca="1">IF(OR($A54="",TYPE(VLOOKUP($A54,Centrum!$D$3:$M$130,10,0))&gt;3),"",VLOOKUP(VLOOKUP($A54,Centrum!$D$3:$M$130,10,0),Centrum!$A$3:$CB$130,L$132,0))</f>
        <v>47</v>
      </c>
      <c r="M54" s="318">
        <f ca="1">IF(OR($A54="",TYPE(VLOOKUP($A54,Centrum!$D$3:$M$130,10,0))&gt;3),"",VLOOKUP(VLOOKUP($A54,Centrum!$D$3:$M$130,10,0),Centrum!$A$3:$CB$130,M$132,0))</f>
        <v>35</v>
      </c>
      <c r="N54" s="318">
        <f ca="1">IF(OR($A54="",TYPE(VLOOKUP($A54,Centrum!$D$3:$M$130,10,0))&gt;3),"",VLOOKUP(VLOOKUP($A54,Centrum!$D$3:$M$130,10,0),Centrum!$A$3:$CB$130,N$132,0))</f>
        <v>33</v>
      </c>
      <c r="O54" s="318">
        <f ca="1">IF(OR($A54="",TYPE(VLOOKUP($A54,Centrum!$D$3:$M$130,10,0))&gt;3),"",VLOOKUP(VLOOKUP($A54,Centrum!$D$3:$M$130,10,0),Centrum!$A$3:$CB$130,O$132,0))</f>
        <v>53</v>
      </c>
      <c r="P54" s="318">
        <f ca="1">IF(OR($A54="",TYPE(VLOOKUP($A54,Centrum!$D$3:$M$130,10,0))&gt;3),"",VLOOKUP(VLOOKUP($A54,Centrum!$D$3:$M$130,10,0),Centrum!$A$3:$CB$130,P$132,0))</f>
        <v>0</v>
      </c>
      <c r="Q54" s="318">
        <f ca="1">IF(OR($A54="",TYPE(VLOOKUP($A54,Centrum!$D$3:$M$130,10,0))&gt;3),"",VLOOKUP(VLOOKUP($A54,Centrum!$D$3:$M$130,10,0),Centrum!$A$3:$CB$130,Q$132,0))</f>
        <v>0</v>
      </c>
      <c r="S54" s="318">
        <f ca="1">IF(OR($A54="",TYPE(VLOOKUP($A54,Centrum!$D$3:$M$130,10,0))&gt;3),"",VLOOKUP(VLOOKUP($A54,Centrum!$D$3:$M$130,10,0),Centrum!$A$3:$CB$130,S$132,0))</f>
        <v>47</v>
      </c>
      <c r="T54" s="318">
        <f ca="1">IF(OR($A54="",TYPE(VLOOKUP($A54,Centrum!$D$3:$M$130,10,0))&gt;3),"",VLOOKUP(VLOOKUP($A54,Centrum!$D$3:$M$130,10,0),Centrum!$A$3:$CB$130,T$132,0))</f>
        <v>0</v>
      </c>
      <c r="U54" s="318">
        <f ca="1">IF(OR($A54="",TYPE(VLOOKUP($A54,Centrum!$D$3:$M$130,10,0))&gt;3),"",VLOOKUP(VLOOKUP($A54,Centrum!$D$3:$M$130,10,0),Centrum!$A$3:$CB$130,U$132,0))</f>
        <v>-4</v>
      </c>
      <c r="AB54" s="318">
        <f ca="1">IF(OR($A54="",TYPE(VLOOKUP($A54,Centrum!$D$3:$M$130,10,0))&gt;3),"",VLOOKUP(VLOOKUP($A54,Centrum!$D$3:$M$130,10,0),Centrum!$A$3:$CB$130,AB$132,0))</f>
        <v>35</v>
      </c>
      <c r="AC54" s="318">
        <f ca="1">IF(OR($A54="",TYPE(VLOOKUP($A54,Centrum!$D$3:$M$130,10,0))&gt;3),"",VLOOKUP(VLOOKUP($A54,Centrum!$D$3:$M$130,10,0),Centrum!$A$3:$CB$130,AC$132,0))</f>
        <v>0</v>
      </c>
      <c r="AD54" s="318">
        <f ca="1">IF(OR($A54="",TYPE(VLOOKUP($A54,Centrum!$D$3:$M$130,10,0))&gt;3),"",VLOOKUP(VLOOKUP($A54,Centrum!$D$3:$M$130,10,0),Centrum!$A$3:$CB$130,AD$132,0))</f>
        <v>-11</v>
      </c>
      <c r="AK54" s="318">
        <f ca="1">IF(OR($A54="",TYPE(VLOOKUP($A54,Centrum!$D$3:$M$130,10,0))&gt;3),"",VLOOKUP(VLOOKUP($A54,Centrum!$D$3:$M$130,10,0),Centrum!$A$3:$CB$130,AK$132,0))</f>
        <v>33</v>
      </c>
      <c r="AL54" s="318">
        <f ca="1">IF(OR($A54="",TYPE(VLOOKUP($A54,Centrum!$D$3:$M$130,10,0))&gt;3),"",VLOOKUP(VLOOKUP($A54,Centrum!$D$3:$M$130,10,0),Centrum!$A$3:$CB$130,AL$132,0))</f>
        <v>1</v>
      </c>
      <c r="AM54" s="318">
        <f ca="1">IF(OR($A54="",TYPE(VLOOKUP($A54,Centrum!$D$3:$M$130,10,0))&gt;3),"",VLOOKUP(VLOOKUP($A54,Centrum!$D$3:$M$130,10,0),Centrum!$A$3:$CB$130,AM$132,0))</f>
        <v>7</v>
      </c>
      <c r="AT54" s="318">
        <f ca="1">IF(OR(OR($A54="",TYPE(VLOOKUP($A54,Centrum!$D$3:$M$130,10,0))&gt;3),$A$1&lt;4),"",VLOOKUP(VLOOKUP($A54,Centrum!$D$3:$M$130,10,0),Centrum!$A$3:$CB$130,AT$132,0))</f>
        <v>53</v>
      </c>
      <c r="AU54" s="318">
        <f ca="1">IF(OR(OR($A54="",TYPE(VLOOKUP($A54,Centrum!$D$3:$M$130,10,0))&gt;3),$A$1&lt;4),"",VLOOKUP(VLOOKUP($A54,Centrum!$D$3:$M$130,10,0),Centrum!$A$3:$CB$130,AU$132,0))</f>
        <v>0</v>
      </c>
      <c r="AV54" s="318">
        <f ca="1">IF(OR(OR($A54="",TYPE(VLOOKUP($A54,Centrum!$D$3:$M$130,10,0))&gt;3),$A$1&lt;4),"",VLOOKUP(VLOOKUP($A54,Centrum!$D$3:$M$130,10,0),Centrum!$A$3:$CB$130,AV$132,0))</f>
        <v>-1</v>
      </c>
      <c r="BC54" s="318" t="str">
        <f ca="1">IF(OR(OR($A54="",TYPE(VLOOKUP($A54,Centrum!$D$3:$M$130,10,0))&gt;3),$A$1&lt;5),"",VLOOKUP(VLOOKUP($A54,Centrum!$D$3:$M$130,10,0),Centrum!$A$3:$CB$130,BC$132,0))</f>
        <v/>
      </c>
      <c r="BD54" s="318" t="str">
        <f ca="1">IF(OR(OR($A54="",TYPE(VLOOKUP($A54,Centrum!$D$3:$M$130,10,0))&gt;3),$A$1&lt;5),"",VLOOKUP(VLOOKUP($A54,Centrum!$D$3:$M$130,10,0),Centrum!$A$3:$CB$130,BD$132,0))</f>
        <v/>
      </c>
      <c r="BE54" s="318" t="str">
        <f ca="1">IF(OR(OR($A54="",TYPE(VLOOKUP($A54,Centrum!$D$3:$M$130,10,0))&gt;3),$A$1&lt;5),"",VLOOKUP(VLOOKUP($A54,Centrum!$D$3:$M$130,10,0),Centrum!$A$3:$CB$130,BE$132,0))</f>
        <v/>
      </c>
      <c r="BL54" s="318" t="str">
        <f ca="1">IF(OR(OR($A54="",TYPE(VLOOKUP($A54,Centrum!$D$3:$M$130,10,0))&gt;3),$A$1&lt;6),"",VLOOKUP(VLOOKUP($A54,Centrum!$D$3:$M$130,10,0),Centrum!$A$3:$CB$130,BL$132,0))</f>
        <v/>
      </c>
      <c r="BM54" s="318" t="str">
        <f ca="1">IF(OR(OR($A54="",TYPE(VLOOKUP($A54,Centrum!$D$3:$M$130,10,0))&gt;3),$A$1&lt;6),"",VLOOKUP(VLOOKUP($A54,Centrum!$D$3:$M$130,10,0),Centrum!$A$3:$CB$130,BM$132,0))</f>
        <v/>
      </c>
      <c r="BN54" s="318" t="str">
        <f ca="1">IF(OR(OR($A54="",TYPE(VLOOKUP($A54,Centrum!$D$3:$M$130,10,0))&gt;3),$A$1&lt;6),"",VLOOKUP(VLOOKUP($A54,Centrum!$D$3:$M$130,10,0),Centrum!$A$3:$CB$130,BN$132,0))</f>
        <v/>
      </c>
    </row>
    <row r="55" spans="1:66" x14ac:dyDescent="0.4">
      <c r="A55" s="318">
        <f ca="1">Centrum!A55</f>
        <v>53</v>
      </c>
      <c r="B55" s="421" t="str">
        <f ca="1">IF(OR($A55="",TYPE(VLOOKUP($A55,Centrum!$D$3:$M$130,10,0))&gt;3),"",VLOOKUP(VLOOKUP(A55,Centrum!$D$3:$M$130,10,0),Centrum!$A$3:$CB$130,B$132,0))</f>
        <v>26 Petank Club Praha - Klír Tomáš</v>
      </c>
      <c r="C55" s="318">
        <f ca="1">IF(OR($A55="",TYPE(VLOOKUP($A55,Centrum!$D$3:$M$130,10,0))&gt;3),"",VLOOKUP($A55,Centrum!$D$3:$M$130,10,0))</f>
        <v>26</v>
      </c>
      <c r="E55" s="318">
        <f ca="1">IF(OR($A55="",TYPE(VLOOKUP($A55,Centrum!$D$3:$M$130,10,0))&gt;3),"",VLOOKUP(VLOOKUP($A55,Centrum!$D$3:$M$130,10,0),Centrum!$A$3:$CB$130,E$132,0))</f>
        <v>1</v>
      </c>
      <c r="F55" s="318">
        <f ca="1">IF(OR($A55="",TYPE(VLOOKUP($A55,Centrum!$D$3:$M$130,10,0))&gt;3),"",VLOOKUP(VLOOKUP($A55,Centrum!$D$3:$M$130,10,0),Centrum!$A$3:$CB$130,F$132,0))</f>
        <v>5</v>
      </c>
      <c r="G55" s="318">
        <f ca="1">IF(OR($A55="",TYPE(VLOOKUP($A55,Centrum!$D$3:$M$130,10,0))&gt;3),"",VLOOKUP(VLOOKUP($A55,Centrum!$D$3:$M$130,10,0),Centrum!$A$3:$CB$130,G$132,0))</f>
        <v>26</v>
      </c>
      <c r="H55" s="318">
        <f ca="1">IF($A55="","",VLOOKUP(VLOOKUP($A55,Centrum!$D$3:$M$130,10,0),Centrum!$A$3:$CB$130,H$132,0))</f>
        <v>0</v>
      </c>
      <c r="I55" s="318">
        <f ca="1">IF($A55="","",VLOOKUP(VLOOKUP($A55,Centrum!$D$3:$M$130,10,0),Centrum!$A$3:$CB$130,I$132,0))</f>
        <v>0</v>
      </c>
      <c r="J55" s="318">
        <f ca="1">IF(OR($A55="",TYPE(VLOOKUP($A55,Centrum!$D$3:$M$130,10,0))&gt;3),"",VLOOKUP(VLOOKUP($A55,Centrum!$D$3:$M$130,10,0),Centrum!$A$3:$CB$130,J$132,0))</f>
        <v>-11</v>
      </c>
      <c r="L55" s="318">
        <f ca="1">IF(OR($A55="",TYPE(VLOOKUP($A55,Centrum!$D$3:$M$130,10,0))&gt;3),"",VLOOKUP(VLOOKUP($A55,Centrum!$D$3:$M$130,10,0),Centrum!$A$3:$CB$130,L$132,0))</f>
        <v>54</v>
      </c>
      <c r="M55" s="318">
        <f ca="1">IF(OR($A55="",TYPE(VLOOKUP($A55,Centrum!$D$3:$M$130,10,0))&gt;3),"",VLOOKUP(VLOOKUP($A55,Centrum!$D$3:$M$130,10,0),Centrum!$A$3:$CB$130,M$132,0))</f>
        <v>16</v>
      </c>
      <c r="N55" s="318" t="str">
        <f ca="1">IF(OR($A55="",TYPE(VLOOKUP($A55,Centrum!$D$3:$M$130,10,0))&gt;3),"",VLOOKUP(VLOOKUP($A55,Centrum!$D$3:$M$130,10,0),Centrum!$A$3:$CB$130,N$132,0))</f>
        <v/>
      </c>
      <c r="O55" s="318">
        <f ca="1">IF(OR($A55="",TYPE(VLOOKUP($A55,Centrum!$D$3:$M$130,10,0))&gt;3),"",VLOOKUP(VLOOKUP($A55,Centrum!$D$3:$M$130,10,0),Centrum!$A$3:$CB$130,O$132,0))</f>
        <v>40</v>
      </c>
      <c r="P55" s="318">
        <f ca="1">IF(OR($A55="",TYPE(VLOOKUP($A55,Centrum!$D$3:$M$130,10,0))&gt;3),"",VLOOKUP(VLOOKUP($A55,Centrum!$D$3:$M$130,10,0),Centrum!$A$3:$CB$130,P$132,0))</f>
        <v>0</v>
      </c>
      <c r="Q55" s="318">
        <f ca="1">IF(OR($A55="",TYPE(VLOOKUP($A55,Centrum!$D$3:$M$130,10,0))&gt;3),"",VLOOKUP(VLOOKUP($A55,Centrum!$D$3:$M$130,10,0),Centrum!$A$3:$CB$130,Q$132,0))</f>
        <v>0</v>
      </c>
      <c r="S55" s="318">
        <f ca="1">IF(OR($A55="",TYPE(VLOOKUP($A55,Centrum!$D$3:$M$130,10,0))&gt;3),"",VLOOKUP(VLOOKUP($A55,Centrum!$D$3:$M$130,10,0),Centrum!$A$3:$CB$130,S$132,0))</f>
        <v>54</v>
      </c>
      <c r="T55" s="318">
        <f ca="1">IF(OR($A55="",TYPE(VLOOKUP($A55,Centrum!$D$3:$M$130,10,0))&gt;3),"",VLOOKUP(VLOOKUP($A55,Centrum!$D$3:$M$130,10,0),Centrum!$A$3:$CB$130,T$132,0))</f>
        <v>0</v>
      </c>
      <c r="U55" s="318">
        <f ca="1">IF(OR($A55="",TYPE(VLOOKUP($A55,Centrum!$D$3:$M$130,10,0))&gt;3),"",VLOOKUP(VLOOKUP($A55,Centrum!$D$3:$M$130,10,0),Centrum!$A$3:$CB$130,U$132,0))</f>
        <v>-1</v>
      </c>
      <c r="AB55" s="318">
        <f ca="1">IF(OR($A55="",TYPE(VLOOKUP($A55,Centrum!$D$3:$M$130,10,0))&gt;3),"",VLOOKUP(VLOOKUP($A55,Centrum!$D$3:$M$130,10,0),Centrum!$A$3:$CB$130,AB$132,0))</f>
        <v>16</v>
      </c>
      <c r="AC55" s="318">
        <f ca="1">IF(OR($A55="",TYPE(VLOOKUP($A55,Centrum!$D$3:$M$130,10,0))&gt;3),"",VLOOKUP(VLOOKUP($A55,Centrum!$D$3:$M$130,10,0),Centrum!$A$3:$CB$130,AC$132,0))</f>
        <v>0</v>
      </c>
      <c r="AD55" s="318">
        <f ca="1">IF(OR($A55="",TYPE(VLOOKUP($A55,Centrum!$D$3:$M$130,10,0))&gt;3),"",VLOOKUP(VLOOKUP($A55,Centrum!$D$3:$M$130,10,0),Centrum!$A$3:$CB$130,AD$132,0))</f>
        <v>-13</v>
      </c>
      <c r="AK55" s="318" t="str">
        <f ca="1">IF(OR($A55="",TYPE(VLOOKUP($A55,Centrum!$D$3:$M$130,10,0))&gt;3),"",VLOOKUP(VLOOKUP($A55,Centrum!$D$3:$M$130,10,0),Centrum!$A$3:$CB$130,AK$132,0))</f>
        <v/>
      </c>
      <c r="AL55" s="318">
        <f ca="1">IF(OR($A55="",TYPE(VLOOKUP($A55,Centrum!$D$3:$M$130,10,0))&gt;3),"",VLOOKUP(VLOOKUP($A55,Centrum!$D$3:$M$130,10,0),Centrum!$A$3:$CB$130,AL$132,0))</f>
        <v>1</v>
      </c>
      <c r="AM55" s="318">
        <f ca="1">IF(OR($A55="",TYPE(VLOOKUP($A55,Centrum!$D$3:$M$130,10,0))&gt;3),"",VLOOKUP(VLOOKUP($A55,Centrum!$D$3:$M$130,10,0),Centrum!$A$3:$CB$130,AM$132,0))</f>
        <v>6</v>
      </c>
      <c r="AT55" s="318">
        <f ca="1">IF(OR(OR($A55="",TYPE(VLOOKUP($A55,Centrum!$D$3:$M$130,10,0))&gt;3),$A$1&lt;4),"",VLOOKUP(VLOOKUP($A55,Centrum!$D$3:$M$130,10,0),Centrum!$A$3:$CB$130,AT$132,0))</f>
        <v>40</v>
      </c>
      <c r="AU55" s="318">
        <f ca="1">IF(OR(OR($A55="",TYPE(VLOOKUP($A55,Centrum!$D$3:$M$130,10,0))&gt;3),$A$1&lt;4),"",VLOOKUP(VLOOKUP($A55,Centrum!$D$3:$M$130,10,0),Centrum!$A$3:$CB$130,AU$132,0))</f>
        <v>0</v>
      </c>
      <c r="AV55" s="318">
        <f ca="1">IF(OR(OR($A55="",TYPE(VLOOKUP($A55,Centrum!$D$3:$M$130,10,0))&gt;3),$A$1&lt;4),"",VLOOKUP(VLOOKUP($A55,Centrum!$D$3:$M$130,10,0),Centrum!$A$3:$CB$130,AV$132,0))</f>
        <v>-3</v>
      </c>
      <c r="BC55" s="318" t="str">
        <f ca="1">IF(OR(OR($A55="",TYPE(VLOOKUP($A55,Centrum!$D$3:$M$130,10,0))&gt;3),$A$1&lt;5),"",VLOOKUP(VLOOKUP($A55,Centrum!$D$3:$M$130,10,0),Centrum!$A$3:$CB$130,BC$132,0))</f>
        <v/>
      </c>
      <c r="BD55" s="318" t="str">
        <f ca="1">IF(OR(OR($A55="",TYPE(VLOOKUP($A55,Centrum!$D$3:$M$130,10,0))&gt;3),$A$1&lt;5),"",VLOOKUP(VLOOKUP($A55,Centrum!$D$3:$M$130,10,0),Centrum!$A$3:$CB$130,BD$132,0))</f>
        <v/>
      </c>
      <c r="BE55" s="318" t="str">
        <f ca="1">IF(OR(OR($A55="",TYPE(VLOOKUP($A55,Centrum!$D$3:$M$130,10,0))&gt;3),$A$1&lt;5),"",VLOOKUP(VLOOKUP($A55,Centrum!$D$3:$M$130,10,0),Centrum!$A$3:$CB$130,BE$132,0))</f>
        <v/>
      </c>
      <c r="BL55" s="318" t="str">
        <f ca="1">IF(OR(OR($A55="",TYPE(VLOOKUP($A55,Centrum!$D$3:$M$130,10,0))&gt;3),$A$1&lt;6),"",VLOOKUP(VLOOKUP($A55,Centrum!$D$3:$M$130,10,0),Centrum!$A$3:$CB$130,BL$132,0))</f>
        <v/>
      </c>
      <c r="BM55" s="318" t="str">
        <f ca="1">IF(OR(OR($A55="",TYPE(VLOOKUP($A55,Centrum!$D$3:$M$130,10,0))&gt;3),$A$1&lt;6),"",VLOOKUP(VLOOKUP($A55,Centrum!$D$3:$M$130,10,0),Centrum!$A$3:$CB$130,BM$132,0))</f>
        <v/>
      </c>
      <c r="BN55" s="318" t="str">
        <f ca="1">IF(OR(OR($A55="",TYPE(VLOOKUP($A55,Centrum!$D$3:$M$130,10,0))&gt;3),$A$1&lt;6),"",VLOOKUP(VLOOKUP($A55,Centrum!$D$3:$M$130,10,0),Centrum!$A$3:$CB$130,BN$132,0))</f>
        <v/>
      </c>
    </row>
    <row r="56" spans="1:66" x14ac:dyDescent="0.4">
      <c r="A56" s="318">
        <f ca="1">Centrum!A56</f>
        <v>54</v>
      </c>
      <c r="B56" s="421" t="str">
        <f ca="1">IF(OR($A56="",TYPE(VLOOKUP($A56,Centrum!$D$3:$M$130,10,0))&gt;3),"",VLOOKUP(VLOOKUP(A56,Centrum!$D$3:$M$130,10,0),Centrum!$A$3:$CB$130,B$132,0))</f>
        <v>41 SKMZ Sport - Kovář Petr</v>
      </c>
      <c r="C56" s="318">
        <f ca="1">IF(OR($A56="",TYPE(VLOOKUP($A56,Centrum!$D$3:$M$130,10,0))&gt;3),"",VLOOKUP($A56,Centrum!$D$3:$M$130,10,0))</f>
        <v>41</v>
      </c>
      <c r="E56" s="318">
        <f ca="1">IF(OR($A56="",TYPE(VLOOKUP($A56,Centrum!$D$3:$M$130,10,0))&gt;3),"",VLOOKUP(VLOOKUP($A56,Centrum!$D$3:$M$130,10,0),Centrum!$A$3:$CB$130,E$132,0))</f>
        <v>1</v>
      </c>
      <c r="F56" s="318">
        <f ca="1">IF(OR($A56="",TYPE(VLOOKUP($A56,Centrum!$D$3:$M$130,10,0))&gt;3),"",VLOOKUP(VLOOKUP($A56,Centrum!$D$3:$M$130,10,0),Centrum!$A$3:$CB$130,F$132,0))</f>
        <v>5</v>
      </c>
      <c r="G56" s="318">
        <f ca="1">IF(OR($A56="",TYPE(VLOOKUP($A56,Centrum!$D$3:$M$130,10,0))&gt;3),"",VLOOKUP(VLOOKUP($A56,Centrum!$D$3:$M$130,10,0),Centrum!$A$3:$CB$130,G$132,0))</f>
        <v>26</v>
      </c>
      <c r="H56" s="318">
        <f ca="1">IF($A56="","",VLOOKUP(VLOOKUP($A56,Centrum!$D$3:$M$130,10,0),Centrum!$A$3:$CB$130,H$132,0))</f>
        <v>0</v>
      </c>
      <c r="I56" s="318">
        <f ca="1">IF($A56="","",VLOOKUP(VLOOKUP($A56,Centrum!$D$3:$M$130,10,0),Centrum!$A$3:$CB$130,I$132,0))</f>
        <v>1</v>
      </c>
      <c r="J56" s="318">
        <f ca="1">IF(OR($A56="",TYPE(VLOOKUP($A56,Centrum!$D$3:$M$130,10,0))&gt;3),"",VLOOKUP(VLOOKUP($A56,Centrum!$D$3:$M$130,10,0),Centrum!$A$3:$CB$130,J$132,0))</f>
        <v>-18</v>
      </c>
      <c r="L56" s="318">
        <f ca="1">IF(OR($A56="",TYPE(VLOOKUP($A56,Centrum!$D$3:$M$130,10,0))&gt;3),"",VLOOKUP(VLOOKUP($A56,Centrum!$D$3:$M$130,10,0),Centrum!$A$3:$CB$130,L$132,0))</f>
        <v>13</v>
      </c>
      <c r="M56" s="318" t="str">
        <f ca="1">IF(OR($A56="",TYPE(VLOOKUP($A56,Centrum!$D$3:$M$130,10,0))&gt;3),"",VLOOKUP(VLOOKUP($A56,Centrum!$D$3:$M$130,10,0),Centrum!$A$3:$CB$130,M$132,0))</f>
        <v/>
      </c>
      <c r="N56" s="318">
        <f ca="1">IF(OR($A56="",TYPE(VLOOKUP($A56,Centrum!$D$3:$M$130,10,0))&gt;3),"",VLOOKUP(VLOOKUP($A56,Centrum!$D$3:$M$130,10,0),Centrum!$A$3:$CB$130,N$132,0))</f>
        <v>11</v>
      </c>
      <c r="O56" s="318">
        <f ca="1">IF(OR($A56="",TYPE(VLOOKUP($A56,Centrum!$D$3:$M$130,10,0))&gt;3),"",VLOOKUP(VLOOKUP($A56,Centrum!$D$3:$M$130,10,0),Centrum!$A$3:$CB$130,O$132,0))</f>
        <v>18</v>
      </c>
      <c r="P56" s="318">
        <f ca="1">IF(OR($A56="",TYPE(VLOOKUP($A56,Centrum!$D$3:$M$130,10,0))&gt;3),"",VLOOKUP(VLOOKUP($A56,Centrum!$D$3:$M$130,10,0),Centrum!$A$3:$CB$130,P$132,0))</f>
        <v>0</v>
      </c>
      <c r="Q56" s="318">
        <f ca="1">IF(OR($A56="",TYPE(VLOOKUP($A56,Centrum!$D$3:$M$130,10,0))&gt;3),"",VLOOKUP(VLOOKUP($A56,Centrum!$D$3:$M$130,10,0),Centrum!$A$3:$CB$130,Q$132,0))</f>
        <v>0</v>
      </c>
      <c r="S56" s="318">
        <f ca="1">IF(OR($A56="",TYPE(VLOOKUP($A56,Centrum!$D$3:$M$130,10,0))&gt;3),"",VLOOKUP(VLOOKUP($A56,Centrum!$D$3:$M$130,10,0),Centrum!$A$3:$CB$130,S$132,0))</f>
        <v>13</v>
      </c>
      <c r="T56" s="318">
        <f ca="1">IF(OR($A56="",TYPE(VLOOKUP($A56,Centrum!$D$3:$M$130,10,0))&gt;3),"",VLOOKUP(VLOOKUP($A56,Centrum!$D$3:$M$130,10,0),Centrum!$A$3:$CB$130,T$132,0))</f>
        <v>0</v>
      </c>
      <c r="U56" s="318">
        <f ca="1">IF(OR($A56="",TYPE(VLOOKUP($A56,Centrum!$D$3:$M$130,10,0))&gt;3),"",VLOOKUP(VLOOKUP($A56,Centrum!$D$3:$M$130,10,0),Centrum!$A$3:$CB$130,U$132,0))</f>
        <v>-9</v>
      </c>
      <c r="AB56" s="318" t="str">
        <f ca="1">IF(OR($A56="",TYPE(VLOOKUP($A56,Centrum!$D$3:$M$130,10,0))&gt;3),"",VLOOKUP(VLOOKUP($A56,Centrum!$D$3:$M$130,10,0),Centrum!$A$3:$CB$130,AB$132,0))</f>
        <v/>
      </c>
      <c r="AC56" s="318">
        <f ca="1">IF(OR($A56="",TYPE(VLOOKUP($A56,Centrum!$D$3:$M$130,10,0))&gt;3),"",VLOOKUP(VLOOKUP($A56,Centrum!$D$3:$M$130,10,0),Centrum!$A$3:$CB$130,AC$132,0))</f>
        <v>1</v>
      </c>
      <c r="AD56" s="318">
        <f ca="1">IF(OR($A56="",TYPE(VLOOKUP($A56,Centrum!$D$3:$M$130,10,0))&gt;3),"",VLOOKUP(VLOOKUP($A56,Centrum!$D$3:$M$130,10,0),Centrum!$A$3:$CB$130,AD$132,0))</f>
        <v>6</v>
      </c>
      <c r="AK56" s="318">
        <f ca="1">IF(OR($A56="",TYPE(VLOOKUP($A56,Centrum!$D$3:$M$130,10,0))&gt;3),"",VLOOKUP(VLOOKUP($A56,Centrum!$D$3:$M$130,10,0),Centrum!$A$3:$CB$130,AK$132,0))</f>
        <v>11</v>
      </c>
      <c r="AL56" s="318">
        <f ca="1">IF(OR($A56="",TYPE(VLOOKUP($A56,Centrum!$D$3:$M$130,10,0))&gt;3),"",VLOOKUP(VLOOKUP($A56,Centrum!$D$3:$M$130,10,0),Centrum!$A$3:$CB$130,AL$132,0))</f>
        <v>0</v>
      </c>
      <c r="AM56" s="318">
        <f ca="1">IF(OR($A56="",TYPE(VLOOKUP($A56,Centrum!$D$3:$M$130,10,0))&gt;3),"",VLOOKUP(VLOOKUP($A56,Centrum!$D$3:$M$130,10,0),Centrum!$A$3:$CB$130,AM$132,0))</f>
        <v>-9</v>
      </c>
      <c r="AT56" s="318">
        <f ca="1">IF(OR(OR($A56="",TYPE(VLOOKUP($A56,Centrum!$D$3:$M$130,10,0))&gt;3),$A$1&lt;4),"",VLOOKUP(VLOOKUP($A56,Centrum!$D$3:$M$130,10,0),Centrum!$A$3:$CB$130,AT$132,0))</f>
        <v>18</v>
      </c>
      <c r="AU56" s="318">
        <f ca="1">IF(OR(OR($A56="",TYPE(VLOOKUP($A56,Centrum!$D$3:$M$130,10,0))&gt;3),$A$1&lt;4),"",VLOOKUP(VLOOKUP($A56,Centrum!$D$3:$M$130,10,0),Centrum!$A$3:$CB$130,AU$132,0))</f>
        <v>0</v>
      </c>
      <c r="AV56" s="318">
        <f ca="1">IF(OR(OR($A56="",TYPE(VLOOKUP($A56,Centrum!$D$3:$M$130,10,0))&gt;3),$A$1&lt;4),"",VLOOKUP(VLOOKUP($A56,Centrum!$D$3:$M$130,10,0),Centrum!$A$3:$CB$130,AV$132,0))</f>
        <v>-6</v>
      </c>
      <c r="BC56" s="318" t="str">
        <f ca="1">IF(OR(OR($A56="",TYPE(VLOOKUP($A56,Centrum!$D$3:$M$130,10,0))&gt;3),$A$1&lt;5),"",VLOOKUP(VLOOKUP($A56,Centrum!$D$3:$M$130,10,0),Centrum!$A$3:$CB$130,BC$132,0))</f>
        <v/>
      </c>
      <c r="BD56" s="318" t="str">
        <f ca="1">IF(OR(OR($A56="",TYPE(VLOOKUP($A56,Centrum!$D$3:$M$130,10,0))&gt;3),$A$1&lt;5),"",VLOOKUP(VLOOKUP($A56,Centrum!$D$3:$M$130,10,0),Centrum!$A$3:$CB$130,BD$132,0))</f>
        <v/>
      </c>
      <c r="BE56" s="318" t="str">
        <f ca="1">IF(OR(OR($A56="",TYPE(VLOOKUP($A56,Centrum!$D$3:$M$130,10,0))&gt;3),$A$1&lt;5),"",VLOOKUP(VLOOKUP($A56,Centrum!$D$3:$M$130,10,0),Centrum!$A$3:$CB$130,BE$132,0))</f>
        <v/>
      </c>
      <c r="BL56" s="318" t="str">
        <f ca="1">IF(OR(OR($A56="",TYPE(VLOOKUP($A56,Centrum!$D$3:$M$130,10,0))&gt;3),$A$1&lt;6),"",VLOOKUP(VLOOKUP($A56,Centrum!$D$3:$M$130,10,0),Centrum!$A$3:$CB$130,BL$132,0))</f>
        <v/>
      </c>
      <c r="BM56" s="318" t="str">
        <f ca="1">IF(OR(OR($A56="",TYPE(VLOOKUP($A56,Centrum!$D$3:$M$130,10,0))&gt;3),$A$1&lt;6),"",VLOOKUP(VLOOKUP($A56,Centrum!$D$3:$M$130,10,0),Centrum!$A$3:$CB$130,BM$132,0))</f>
        <v/>
      </c>
      <c r="BN56" s="318" t="str">
        <f ca="1">IF(OR(OR($A56="",TYPE(VLOOKUP($A56,Centrum!$D$3:$M$130,10,0))&gt;3),$A$1&lt;6),"",VLOOKUP(VLOOKUP($A56,Centrum!$D$3:$M$130,10,0),Centrum!$A$3:$CB$130,BN$132,0))</f>
        <v/>
      </c>
    </row>
    <row r="57" spans="1:66" x14ac:dyDescent="0.4">
      <c r="A57" s="318">
        <f ca="1">Centrum!A57</f>
        <v>55</v>
      </c>
      <c r="B57" s="421" t="str">
        <f ca="1">IF(OR($A57="",TYPE(VLOOKUP($A57,Centrum!$D$3:$M$130,10,0))&gt;3),"",VLOOKUP(VLOOKUP(A57,Centrum!$D$3:$M$130,10,0),Centrum!$A$3:$CB$130,B$132,0))</f>
        <v>30 PC Přítkov - Blaščák Ondřej</v>
      </c>
      <c r="C57" s="318">
        <f ca="1">IF(OR($A57="",TYPE(VLOOKUP($A57,Centrum!$D$3:$M$130,10,0))&gt;3),"",VLOOKUP($A57,Centrum!$D$3:$M$130,10,0))</f>
        <v>30</v>
      </c>
      <c r="E57" s="318">
        <f ca="1">IF(OR($A57="",TYPE(VLOOKUP($A57,Centrum!$D$3:$M$130,10,0))&gt;3),"",VLOOKUP(VLOOKUP($A57,Centrum!$D$3:$M$130,10,0),Centrum!$A$3:$CB$130,E$132,0))</f>
        <v>0</v>
      </c>
      <c r="F57" s="318">
        <f ca="1">IF(OR($A57="",TYPE(VLOOKUP($A57,Centrum!$D$3:$M$130,10,0))&gt;3),"",VLOOKUP(VLOOKUP($A57,Centrum!$D$3:$M$130,10,0),Centrum!$A$3:$CB$130,F$132,0))</f>
        <v>10</v>
      </c>
      <c r="G57" s="318">
        <f ca="1">IF(OR($A57="",TYPE(VLOOKUP($A57,Centrum!$D$3:$M$130,10,0))&gt;3),"",VLOOKUP(VLOOKUP($A57,Centrum!$D$3:$M$130,10,0),Centrum!$A$3:$CB$130,G$132,0))</f>
        <v>26</v>
      </c>
      <c r="H57" s="318">
        <f ca="1">IF($A57="","",VLOOKUP(VLOOKUP($A57,Centrum!$D$3:$M$130,10,0),Centrum!$A$3:$CB$130,H$132,0))</f>
        <v>0</v>
      </c>
      <c r="I57" s="318">
        <f ca="1">IF($A57="","",VLOOKUP(VLOOKUP($A57,Centrum!$D$3:$M$130,10,0),Centrum!$A$3:$CB$130,I$132,0))</f>
        <v>0</v>
      </c>
      <c r="J57" s="318">
        <f ca="1">IF(OR($A57="",TYPE(VLOOKUP($A57,Centrum!$D$3:$M$130,10,0))&gt;3),"",VLOOKUP(VLOOKUP($A57,Centrum!$D$3:$M$130,10,0),Centrum!$A$3:$CB$130,J$132,0))</f>
        <v>-24</v>
      </c>
      <c r="L57" s="318">
        <f ca="1">IF(OR($A57="",TYPE(VLOOKUP($A57,Centrum!$D$3:$M$130,10,0))&gt;3),"",VLOOKUP(VLOOKUP($A57,Centrum!$D$3:$M$130,10,0),Centrum!$A$3:$CB$130,L$132,0))</f>
        <v>2</v>
      </c>
      <c r="M57" s="318">
        <f ca="1">IF(OR($A57="",TYPE(VLOOKUP($A57,Centrum!$D$3:$M$130,10,0))&gt;3),"",VLOOKUP(VLOOKUP($A57,Centrum!$D$3:$M$130,10,0),Centrum!$A$3:$CB$130,M$132,0))</f>
        <v>45</v>
      </c>
      <c r="N57" s="318">
        <f ca="1">IF(OR($A57="",TYPE(VLOOKUP($A57,Centrum!$D$3:$M$130,10,0))&gt;3),"",VLOOKUP(VLOOKUP($A57,Centrum!$D$3:$M$130,10,0),Centrum!$A$3:$CB$130,N$132,0))</f>
        <v>6</v>
      </c>
      <c r="O57" s="318">
        <f ca="1">IF(OR($A57="",TYPE(VLOOKUP($A57,Centrum!$D$3:$M$130,10,0))&gt;3),"",VLOOKUP(VLOOKUP($A57,Centrum!$D$3:$M$130,10,0),Centrum!$A$3:$CB$130,O$132,0))</f>
        <v>29</v>
      </c>
      <c r="P57" s="318">
        <f ca="1">IF(OR($A57="",TYPE(VLOOKUP($A57,Centrum!$D$3:$M$130,10,0))&gt;3),"",VLOOKUP(VLOOKUP($A57,Centrum!$D$3:$M$130,10,0),Centrum!$A$3:$CB$130,P$132,0))</f>
        <v>0</v>
      </c>
      <c r="Q57" s="318">
        <f ca="1">IF(OR($A57="",TYPE(VLOOKUP($A57,Centrum!$D$3:$M$130,10,0))&gt;3),"",VLOOKUP(VLOOKUP($A57,Centrum!$D$3:$M$130,10,0),Centrum!$A$3:$CB$130,Q$132,0))</f>
        <v>0</v>
      </c>
      <c r="S57" s="318">
        <f ca="1">IF(OR($A57="",TYPE(VLOOKUP($A57,Centrum!$D$3:$M$130,10,0))&gt;3),"",VLOOKUP(VLOOKUP($A57,Centrum!$D$3:$M$130,10,0),Centrum!$A$3:$CB$130,S$132,0))</f>
        <v>2</v>
      </c>
      <c r="T57" s="318">
        <f ca="1">IF(OR($A57="",TYPE(VLOOKUP($A57,Centrum!$D$3:$M$130,10,0))&gt;3),"",VLOOKUP(VLOOKUP($A57,Centrum!$D$3:$M$130,10,0),Centrum!$A$3:$CB$130,T$132,0))</f>
        <v>0</v>
      </c>
      <c r="U57" s="318">
        <f ca="1">IF(OR($A57="",TYPE(VLOOKUP($A57,Centrum!$D$3:$M$130,10,0))&gt;3),"",VLOOKUP(VLOOKUP($A57,Centrum!$D$3:$M$130,10,0),Centrum!$A$3:$CB$130,U$132,0))</f>
        <v>-13</v>
      </c>
      <c r="AB57" s="318">
        <f ca="1">IF(OR($A57="",TYPE(VLOOKUP($A57,Centrum!$D$3:$M$130,10,0))&gt;3),"",VLOOKUP(VLOOKUP($A57,Centrum!$D$3:$M$130,10,0),Centrum!$A$3:$CB$130,AB$132,0))</f>
        <v>45</v>
      </c>
      <c r="AC57" s="318">
        <f ca="1">IF(OR($A57="",TYPE(VLOOKUP($A57,Centrum!$D$3:$M$130,10,0))&gt;3),"",VLOOKUP(VLOOKUP($A57,Centrum!$D$3:$M$130,10,0),Centrum!$A$3:$CB$130,AC$132,0))</f>
        <v>0</v>
      </c>
      <c r="AD57" s="318">
        <f ca="1">IF(OR($A57="",TYPE(VLOOKUP($A57,Centrum!$D$3:$M$130,10,0))&gt;3),"",VLOOKUP(VLOOKUP($A57,Centrum!$D$3:$M$130,10,0),Centrum!$A$3:$CB$130,AD$132,0))</f>
        <v>-4</v>
      </c>
      <c r="AK57" s="318">
        <f ca="1">IF(OR($A57="",TYPE(VLOOKUP($A57,Centrum!$D$3:$M$130,10,0))&gt;3),"",VLOOKUP(VLOOKUP($A57,Centrum!$D$3:$M$130,10,0),Centrum!$A$3:$CB$130,AK$132,0))</f>
        <v>6</v>
      </c>
      <c r="AL57" s="318">
        <f ca="1">IF(OR($A57="",TYPE(VLOOKUP($A57,Centrum!$D$3:$M$130,10,0))&gt;3),"",VLOOKUP(VLOOKUP($A57,Centrum!$D$3:$M$130,10,0),Centrum!$A$3:$CB$130,AL$132,0))</f>
        <v>0</v>
      </c>
      <c r="AM57" s="318">
        <f ca="1">IF(OR($A57="",TYPE(VLOOKUP($A57,Centrum!$D$3:$M$130,10,0))&gt;3),"",VLOOKUP(VLOOKUP($A57,Centrum!$D$3:$M$130,10,0),Centrum!$A$3:$CB$130,AM$132,0))</f>
        <v>-1</v>
      </c>
      <c r="AT57" s="318">
        <f ca="1">IF(OR(OR($A57="",TYPE(VLOOKUP($A57,Centrum!$D$3:$M$130,10,0))&gt;3),$A$1&lt;4),"",VLOOKUP(VLOOKUP($A57,Centrum!$D$3:$M$130,10,0),Centrum!$A$3:$CB$130,AT$132,0))</f>
        <v>29</v>
      </c>
      <c r="AU57" s="318">
        <f ca="1">IF(OR(OR($A57="",TYPE(VLOOKUP($A57,Centrum!$D$3:$M$130,10,0))&gt;3),$A$1&lt;4),"",VLOOKUP(VLOOKUP($A57,Centrum!$D$3:$M$130,10,0),Centrum!$A$3:$CB$130,AU$132,0))</f>
        <v>0</v>
      </c>
      <c r="AV57" s="318">
        <f ca="1">IF(OR(OR($A57="",TYPE(VLOOKUP($A57,Centrum!$D$3:$M$130,10,0))&gt;3),$A$1&lt;4),"",VLOOKUP(VLOOKUP($A57,Centrum!$D$3:$M$130,10,0),Centrum!$A$3:$CB$130,AV$132,0))</f>
        <v>-6</v>
      </c>
      <c r="BC57" s="318" t="str">
        <f ca="1">IF(OR(OR($A57="",TYPE(VLOOKUP($A57,Centrum!$D$3:$M$130,10,0))&gt;3),$A$1&lt;5),"",VLOOKUP(VLOOKUP($A57,Centrum!$D$3:$M$130,10,0),Centrum!$A$3:$CB$130,BC$132,0))</f>
        <v/>
      </c>
      <c r="BD57" s="318" t="str">
        <f ca="1">IF(OR(OR($A57="",TYPE(VLOOKUP($A57,Centrum!$D$3:$M$130,10,0))&gt;3),$A$1&lt;5),"",VLOOKUP(VLOOKUP($A57,Centrum!$D$3:$M$130,10,0),Centrum!$A$3:$CB$130,BD$132,0))</f>
        <v/>
      </c>
      <c r="BE57" s="318" t="str">
        <f ca="1">IF(OR(OR($A57="",TYPE(VLOOKUP($A57,Centrum!$D$3:$M$130,10,0))&gt;3),$A$1&lt;5),"",VLOOKUP(VLOOKUP($A57,Centrum!$D$3:$M$130,10,0),Centrum!$A$3:$CB$130,BE$132,0))</f>
        <v/>
      </c>
      <c r="BL57" s="318" t="str">
        <f ca="1">IF(OR(OR($A57="",TYPE(VLOOKUP($A57,Centrum!$D$3:$M$130,10,0))&gt;3),$A$1&lt;6),"",VLOOKUP(VLOOKUP($A57,Centrum!$D$3:$M$130,10,0),Centrum!$A$3:$CB$130,BL$132,0))</f>
        <v/>
      </c>
      <c r="BM57" s="318" t="str">
        <f ca="1">IF(OR(OR($A57="",TYPE(VLOOKUP($A57,Centrum!$D$3:$M$130,10,0))&gt;3),$A$1&lt;6),"",VLOOKUP(VLOOKUP($A57,Centrum!$D$3:$M$130,10,0),Centrum!$A$3:$CB$130,BM$132,0))</f>
        <v/>
      </c>
      <c r="BN57" s="318" t="str">
        <f ca="1">IF(OR(OR($A57="",TYPE(VLOOKUP($A57,Centrum!$D$3:$M$130,10,0))&gt;3),$A$1&lt;6),"",VLOOKUP(VLOOKUP($A57,Centrum!$D$3:$M$130,10,0),Centrum!$A$3:$CB$130,BN$132,0))</f>
        <v/>
      </c>
    </row>
    <row r="58" spans="1:66" x14ac:dyDescent="0.4">
      <c r="A58" s="318">
        <f ca="1">Centrum!A58</f>
        <v>56</v>
      </c>
      <c r="B58" s="421" t="str">
        <f ca="1">IF(OR($A58="",TYPE(VLOOKUP($A58,Centrum!$D$3:$M$130,10,0))&gt;3),"",VLOOKUP(VLOOKUP(A58,Centrum!$D$3:$M$130,10,0),Centrum!$A$3:$CB$130,B$132,0))</f>
        <v xml:space="preserve">43   - Mika, Dánsko  </v>
      </c>
      <c r="C58" s="318">
        <f ca="1">IF(OR($A58="",TYPE(VLOOKUP($A58,Centrum!$D$3:$M$130,10,0))&gt;3),"",VLOOKUP($A58,Centrum!$D$3:$M$130,10,0))</f>
        <v>43</v>
      </c>
      <c r="E58" s="318">
        <f ca="1">IF(OR($A58="",TYPE(VLOOKUP($A58,Centrum!$D$3:$M$130,10,0))&gt;3),"",VLOOKUP(VLOOKUP($A58,Centrum!$D$3:$M$130,10,0),Centrum!$A$3:$CB$130,E$132,0))</f>
        <v>0</v>
      </c>
      <c r="F58" s="318">
        <f ca="1">IF(OR($A58="",TYPE(VLOOKUP($A58,Centrum!$D$3:$M$130,10,0))&gt;3),"",VLOOKUP(VLOOKUP($A58,Centrum!$D$3:$M$130,10,0),Centrum!$A$3:$CB$130,F$132,0))</f>
        <v>8</v>
      </c>
      <c r="G58" s="318">
        <f ca="1">IF(OR($A58="",TYPE(VLOOKUP($A58,Centrum!$D$3:$M$130,10,0))&gt;3),"",VLOOKUP(VLOOKUP($A58,Centrum!$D$3:$M$130,10,0),Centrum!$A$3:$CB$130,G$132,0))</f>
        <v>25</v>
      </c>
      <c r="H58" s="318">
        <f ca="1">IF($A58="","",VLOOKUP(VLOOKUP($A58,Centrum!$D$3:$M$130,10,0),Centrum!$A$3:$CB$130,H$132,0))</f>
        <v>0</v>
      </c>
      <c r="I58" s="318">
        <f ca="1">IF($A58="","",VLOOKUP(VLOOKUP($A58,Centrum!$D$3:$M$130,10,0),Centrum!$A$3:$CB$130,I$132,0))</f>
        <v>0</v>
      </c>
      <c r="J58" s="318">
        <f ca="1">IF(OR($A58="",TYPE(VLOOKUP($A58,Centrum!$D$3:$M$130,10,0))&gt;3),"",VLOOKUP(VLOOKUP($A58,Centrum!$D$3:$M$130,10,0),Centrum!$A$3:$CB$130,J$132,0))</f>
        <v>-36</v>
      </c>
      <c r="L58" s="318">
        <f ca="1">IF(OR($A58="",TYPE(VLOOKUP($A58,Centrum!$D$3:$M$130,10,0))&gt;3),"",VLOOKUP(VLOOKUP($A58,Centrum!$D$3:$M$130,10,0),Centrum!$A$3:$CB$130,L$132,0))</f>
        <v>15</v>
      </c>
      <c r="M58" s="318">
        <f ca="1">IF(OR($A58="",TYPE(VLOOKUP($A58,Centrum!$D$3:$M$130,10,0))&gt;3),"",VLOOKUP(VLOOKUP($A58,Centrum!$D$3:$M$130,10,0),Centrum!$A$3:$CB$130,M$132,0))</f>
        <v>56</v>
      </c>
      <c r="N58" s="318">
        <f ca="1">IF(OR($A58="",TYPE(VLOOKUP($A58,Centrum!$D$3:$M$130,10,0))&gt;3),"",VLOOKUP(VLOOKUP($A58,Centrum!$D$3:$M$130,10,0),Centrum!$A$3:$CB$130,N$132,0))</f>
        <v>55</v>
      </c>
      <c r="O58" s="318">
        <f ca="1">IF(OR($A58="",TYPE(VLOOKUP($A58,Centrum!$D$3:$M$130,10,0))&gt;3),"",VLOOKUP(VLOOKUP($A58,Centrum!$D$3:$M$130,10,0),Centrum!$A$3:$CB$130,O$132,0))</f>
        <v>31</v>
      </c>
      <c r="P58" s="318">
        <f ca="1">IF(OR($A58="",TYPE(VLOOKUP($A58,Centrum!$D$3:$M$130,10,0))&gt;3),"",VLOOKUP(VLOOKUP($A58,Centrum!$D$3:$M$130,10,0),Centrum!$A$3:$CB$130,P$132,0))</f>
        <v>0</v>
      </c>
      <c r="Q58" s="318">
        <f ca="1">IF(OR($A58="",TYPE(VLOOKUP($A58,Centrum!$D$3:$M$130,10,0))&gt;3),"",VLOOKUP(VLOOKUP($A58,Centrum!$D$3:$M$130,10,0),Centrum!$A$3:$CB$130,Q$132,0))</f>
        <v>0</v>
      </c>
      <c r="S58" s="318">
        <f ca="1">IF(OR($A58="",TYPE(VLOOKUP($A58,Centrum!$D$3:$M$130,10,0))&gt;3),"",VLOOKUP(VLOOKUP($A58,Centrum!$D$3:$M$130,10,0),Centrum!$A$3:$CB$130,S$132,0))</f>
        <v>15</v>
      </c>
      <c r="T58" s="318">
        <f ca="1">IF(OR($A58="",TYPE(VLOOKUP($A58,Centrum!$D$3:$M$130,10,0))&gt;3),"",VLOOKUP(VLOOKUP($A58,Centrum!$D$3:$M$130,10,0),Centrum!$A$3:$CB$130,T$132,0))</f>
        <v>0</v>
      </c>
      <c r="U58" s="318">
        <f ca="1">IF(OR($A58="",TYPE(VLOOKUP($A58,Centrum!$D$3:$M$130,10,0))&gt;3),"",VLOOKUP(VLOOKUP($A58,Centrum!$D$3:$M$130,10,0),Centrum!$A$3:$CB$130,U$132,0))</f>
        <v>-10</v>
      </c>
      <c r="AB58" s="318">
        <f ca="1">IF(OR($A58="",TYPE(VLOOKUP($A58,Centrum!$D$3:$M$130,10,0))&gt;3),"",VLOOKUP(VLOOKUP($A58,Centrum!$D$3:$M$130,10,0),Centrum!$A$3:$CB$130,AB$132,0))</f>
        <v>56</v>
      </c>
      <c r="AC58" s="318">
        <f ca="1">IF(OR($A58="",TYPE(VLOOKUP($A58,Centrum!$D$3:$M$130,10,0))&gt;3),"",VLOOKUP(VLOOKUP($A58,Centrum!$D$3:$M$130,10,0),Centrum!$A$3:$CB$130,AC$132,0))</f>
        <v>0</v>
      </c>
      <c r="AD58" s="318">
        <f ca="1">IF(OR($A58="",TYPE(VLOOKUP($A58,Centrum!$D$3:$M$130,10,0))&gt;3),"",VLOOKUP(VLOOKUP($A58,Centrum!$D$3:$M$130,10,0),Centrum!$A$3:$CB$130,AD$132,0))</f>
        <v>-8</v>
      </c>
      <c r="AK58" s="318">
        <f ca="1">IF(OR($A58="",TYPE(VLOOKUP($A58,Centrum!$D$3:$M$130,10,0))&gt;3),"",VLOOKUP(VLOOKUP($A58,Centrum!$D$3:$M$130,10,0),Centrum!$A$3:$CB$130,AK$132,0))</f>
        <v>55</v>
      </c>
      <c r="AL58" s="318">
        <f ca="1">IF(OR($A58="",TYPE(VLOOKUP($A58,Centrum!$D$3:$M$130,10,0))&gt;3),"",VLOOKUP(VLOOKUP($A58,Centrum!$D$3:$M$130,10,0),Centrum!$A$3:$CB$130,AL$132,0))</f>
        <v>0</v>
      </c>
      <c r="AM58" s="318">
        <f ca="1">IF(OR($A58="",TYPE(VLOOKUP($A58,Centrum!$D$3:$M$130,10,0))&gt;3),"",VLOOKUP(VLOOKUP($A58,Centrum!$D$3:$M$130,10,0),Centrum!$A$3:$CB$130,AM$132,0))</f>
        <v>-9</v>
      </c>
      <c r="AT58" s="318">
        <f ca="1">IF(OR(OR($A58="",TYPE(VLOOKUP($A58,Centrum!$D$3:$M$130,10,0))&gt;3),$A$1&lt;4),"",VLOOKUP(VLOOKUP($A58,Centrum!$D$3:$M$130,10,0),Centrum!$A$3:$CB$130,AT$132,0))</f>
        <v>31</v>
      </c>
      <c r="AU58" s="318">
        <f ca="1">IF(OR(OR($A58="",TYPE(VLOOKUP($A58,Centrum!$D$3:$M$130,10,0))&gt;3),$A$1&lt;4),"",VLOOKUP(VLOOKUP($A58,Centrum!$D$3:$M$130,10,0),Centrum!$A$3:$CB$130,AU$132,0))</f>
        <v>0</v>
      </c>
      <c r="AV58" s="318">
        <f ca="1">IF(OR(OR($A58="",TYPE(VLOOKUP($A58,Centrum!$D$3:$M$130,10,0))&gt;3),$A$1&lt;4),"",VLOOKUP(VLOOKUP($A58,Centrum!$D$3:$M$130,10,0),Centrum!$A$3:$CB$130,AV$132,0))</f>
        <v>-9</v>
      </c>
      <c r="BC58" s="318" t="str">
        <f ca="1">IF(OR(OR($A58="",TYPE(VLOOKUP($A58,Centrum!$D$3:$M$130,10,0))&gt;3),$A$1&lt;5),"",VLOOKUP(VLOOKUP($A58,Centrum!$D$3:$M$130,10,0),Centrum!$A$3:$CB$130,BC$132,0))</f>
        <v/>
      </c>
      <c r="BD58" s="318" t="str">
        <f ca="1">IF(OR(OR($A58="",TYPE(VLOOKUP($A58,Centrum!$D$3:$M$130,10,0))&gt;3),$A$1&lt;5),"",VLOOKUP(VLOOKUP($A58,Centrum!$D$3:$M$130,10,0),Centrum!$A$3:$CB$130,BD$132,0))</f>
        <v/>
      </c>
      <c r="BE58" s="318" t="str">
        <f ca="1">IF(OR(OR($A58="",TYPE(VLOOKUP($A58,Centrum!$D$3:$M$130,10,0))&gt;3),$A$1&lt;5),"",VLOOKUP(VLOOKUP($A58,Centrum!$D$3:$M$130,10,0),Centrum!$A$3:$CB$130,BE$132,0))</f>
        <v/>
      </c>
      <c r="BL58" s="318" t="str">
        <f ca="1">IF(OR(OR($A58="",TYPE(VLOOKUP($A58,Centrum!$D$3:$M$130,10,0))&gt;3),$A$1&lt;6),"",VLOOKUP(VLOOKUP($A58,Centrum!$D$3:$M$130,10,0),Centrum!$A$3:$CB$130,BL$132,0))</f>
        <v/>
      </c>
      <c r="BM58" s="318" t="str">
        <f ca="1">IF(OR(OR($A58="",TYPE(VLOOKUP($A58,Centrum!$D$3:$M$130,10,0))&gt;3),$A$1&lt;6),"",VLOOKUP(VLOOKUP($A58,Centrum!$D$3:$M$130,10,0),Centrum!$A$3:$CB$130,BM$132,0))</f>
        <v/>
      </c>
      <c r="BN58" s="318" t="str">
        <f ca="1">IF(OR(OR($A58="",TYPE(VLOOKUP($A58,Centrum!$D$3:$M$130,10,0))&gt;3),$A$1&lt;6),"",VLOOKUP(VLOOKUP($A58,Centrum!$D$3:$M$130,10,0),Centrum!$A$3:$CB$130,BN$132,0))</f>
        <v/>
      </c>
    </row>
    <row r="59" spans="1:66" x14ac:dyDescent="0.4">
      <c r="A59" s="318">
        <f ca="1">Centrum!A59</f>
        <v>57</v>
      </c>
      <c r="B59" s="421" t="str">
        <f ca="1">IF(OR($A59="",TYPE(VLOOKUP($A59,Centrum!$D$3:$M$130,10,0))&gt;3),"",VLOOKUP(VLOOKUP(A59,Centrum!$D$3:$M$130,10,0),Centrum!$A$3:$CB$130,B$132,0))</f>
        <v xml:space="preserve">48   - Tony, Dánsko  </v>
      </c>
      <c r="C59" s="318">
        <f ca="1">IF(OR($A59="",TYPE(VLOOKUP($A59,Centrum!$D$3:$M$130,10,0))&gt;3),"",VLOOKUP($A59,Centrum!$D$3:$M$130,10,0))</f>
        <v>48</v>
      </c>
      <c r="E59" s="318">
        <f ca="1">IF(OR($A59="",TYPE(VLOOKUP($A59,Centrum!$D$3:$M$130,10,0))&gt;3),"",VLOOKUP(VLOOKUP($A59,Centrum!$D$3:$M$130,10,0),Centrum!$A$3:$CB$130,E$132,0))</f>
        <v>0</v>
      </c>
      <c r="F59" s="318">
        <f ca="1">IF(OR($A59="",TYPE(VLOOKUP($A59,Centrum!$D$3:$M$130,10,0))&gt;3),"",VLOOKUP(VLOOKUP($A59,Centrum!$D$3:$M$130,10,0),Centrum!$A$3:$CB$130,F$132,0))</f>
        <v>7</v>
      </c>
      <c r="G59" s="318">
        <f ca="1">IF(OR($A59="",TYPE(VLOOKUP($A59,Centrum!$D$3:$M$130,10,0))&gt;3),"",VLOOKUP(VLOOKUP($A59,Centrum!$D$3:$M$130,10,0),Centrum!$A$3:$CB$130,G$132,0))</f>
        <v>26</v>
      </c>
      <c r="H59" s="318">
        <f ca="1">IF($A59="","",VLOOKUP(VLOOKUP($A59,Centrum!$D$3:$M$130,10,0),Centrum!$A$3:$CB$130,H$132,0))</f>
        <v>0</v>
      </c>
      <c r="I59" s="318">
        <f ca="1">IF($A59="","",VLOOKUP(VLOOKUP($A59,Centrum!$D$3:$M$130,10,0),Centrum!$A$3:$CB$130,I$132,0))</f>
        <v>0</v>
      </c>
      <c r="J59" s="318">
        <f ca="1">IF(OR($A59="",TYPE(VLOOKUP($A59,Centrum!$D$3:$M$130,10,0))&gt;3),"",VLOOKUP(VLOOKUP($A59,Centrum!$D$3:$M$130,10,0),Centrum!$A$3:$CB$130,J$132,0))</f>
        <v>-21</v>
      </c>
      <c r="L59" s="318">
        <f ca="1">IF(OR($A59="",TYPE(VLOOKUP($A59,Centrum!$D$3:$M$130,10,0))&gt;3),"",VLOOKUP(VLOOKUP($A59,Centrum!$D$3:$M$130,10,0),Centrum!$A$3:$CB$130,L$132,0))</f>
        <v>20</v>
      </c>
      <c r="M59" s="318">
        <f ca="1">IF(OR($A59="",TYPE(VLOOKUP($A59,Centrum!$D$3:$M$130,10,0))&gt;3),"",VLOOKUP(VLOOKUP($A59,Centrum!$D$3:$M$130,10,0),Centrum!$A$3:$CB$130,M$132,0))</f>
        <v>38</v>
      </c>
      <c r="N59" s="318">
        <f ca="1">IF(OR($A59="",TYPE(VLOOKUP($A59,Centrum!$D$3:$M$130,10,0))&gt;3),"",VLOOKUP(VLOOKUP($A59,Centrum!$D$3:$M$130,10,0),Centrum!$A$3:$CB$130,N$132,0))</f>
        <v>50</v>
      </c>
      <c r="O59" s="318">
        <f ca="1">IF(OR($A59="",TYPE(VLOOKUP($A59,Centrum!$D$3:$M$130,10,0))&gt;3),"",VLOOKUP(VLOOKUP($A59,Centrum!$D$3:$M$130,10,0),Centrum!$A$3:$CB$130,O$132,0))</f>
        <v>32</v>
      </c>
      <c r="P59" s="318">
        <f ca="1">IF(OR($A59="",TYPE(VLOOKUP($A59,Centrum!$D$3:$M$130,10,0))&gt;3),"",VLOOKUP(VLOOKUP($A59,Centrum!$D$3:$M$130,10,0),Centrum!$A$3:$CB$130,P$132,0))</f>
        <v>0</v>
      </c>
      <c r="Q59" s="318">
        <f ca="1">IF(OR($A59="",TYPE(VLOOKUP($A59,Centrum!$D$3:$M$130,10,0))&gt;3),"",VLOOKUP(VLOOKUP($A59,Centrum!$D$3:$M$130,10,0),Centrum!$A$3:$CB$130,Q$132,0))</f>
        <v>0</v>
      </c>
      <c r="S59" s="318">
        <f ca="1">IF(OR($A59="",TYPE(VLOOKUP($A59,Centrum!$D$3:$M$130,10,0))&gt;3),"",VLOOKUP(VLOOKUP($A59,Centrum!$D$3:$M$130,10,0),Centrum!$A$3:$CB$130,S$132,0))</f>
        <v>20</v>
      </c>
      <c r="T59" s="318">
        <f ca="1">IF(OR($A59="",TYPE(VLOOKUP($A59,Centrum!$D$3:$M$130,10,0))&gt;3),"",VLOOKUP(VLOOKUP($A59,Centrum!$D$3:$M$130,10,0),Centrum!$A$3:$CB$130,T$132,0))</f>
        <v>0</v>
      </c>
      <c r="U59" s="318">
        <f ca="1">IF(OR($A59="",TYPE(VLOOKUP($A59,Centrum!$D$3:$M$130,10,0))&gt;3),"",VLOOKUP(VLOOKUP($A59,Centrum!$D$3:$M$130,10,0),Centrum!$A$3:$CB$130,U$132,0))</f>
        <v>-8</v>
      </c>
      <c r="AB59" s="318">
        <f ca="1">IF(OR($A59="",TYPE(VLOOKUP($A59,Centrum!$D$3:$M$130,10,0))&gt;3),"",VLOOKUP(VLOOKUP($A59,Centrum!$D$3:$M$130,10,0),Centrum!$A$3:$CB$130,AB$132,0))</f>
        <v>38</v>
      </c>
      <c r="AC59" s="318">
        <f ca="1">IF(OR($A59="",TYPE(VLOOKUP($A59,Centrum!$D$3:$M$130,10,0))&gt;3),"",VLOOKUP(VLOOKUP($A59,Centrum!$D$3:$M$130,10,0),Centrum!$A$3:$CB$130,AC$132,0))</f>
        <v>0</v>
      </c>
      <c r="AD59" s="318">
        <f ca="1">IF(OR($A59="",TYPE(VLOOKUP($A59,Centrum!$D$3:$M$130,10,0))&gt;3),"",VLOOKUP(VLOOKUP($A59,Centrum!$D$3:$M$130,10,0),Centrum!$A$3:$CB$130,AD$132,0))</f>
        <v>-5</v>
      </c>
      <c r="AK59" s="318">
        <f ca="1">IF(OR($A59="",TYPE(VLOOKUP($A59,Centrum!$D$3:$M$130,10,0))&gt;3),"",VLOOKUP(VLOOKUP($A59,Centrum!$D$3:$M$130,10,0),Centrum!$A$3:$CB$130,AK$132,0))</f>
        <v>50</v>
      </c>
      <c r="AL59" s="318">
        <f ca="1">IF(OR($A59="",TYPE(VLOOKUP($A59,Centrum!$D$3:$M$130,10,0))&gt;3),"",VLOOKUP(VLOOKUP($A59,Centrum!$D$3:$M$130,10,0),Centrum!$A$3:$CB$130,AL$132,0))</f>
        <v>0</v>
      </c>
      <c r="AM59" s="318">
        <f ca="1">IF(OR($A59="",TYPE(VLOOKUP($A59,Centrum!$D$3:$M$130,10,0))&gt;3),"",VLOOKUP(VLOOKUP($A59,Centrum!$D$3:$M$130,10,0),Centrum!$A$3:$CB$130,AM$132,0))</f>
        <v>-2</v>
      </c>
      <c r="AT59" s="318">
        <f ca="1">IF(OR(OR($A59="",TYPE(VLOOKUP($A59,Centrum!$D$3:$M$130,10,0))&gt;3),$A$1&lt;4),"",VLOOKUP(VLOOKUP($A59,Centrum!$D$3:$M$130,10,0),Centrum!$A$3:$CB$130,AT$132,0))</f>
        <v>32</v>
      </c>
      <c r="AU59" s="318">
        <f ca="1">IF(OR(OR($A59="",TYPE(VLOOKUP($A59,Centrum!$D$3:$M$130,10,0))&gt;3),$A$1&lt;4),"",VLOOKUP(VLOOKUP($A59,Centrum!$D$3:$M$130,10,0),Centrum!$A$3:$CB$130,AU$132,0))</f>
        <v>0</v>
      </c>
      <c r="AV59" s="318">
        <f ca="1">IF(OR(OR($A59="",TYPE(VLOOKUP($A59,Centrum!$D$3:$M$130,10,0))&gt;3),$A$1&lt;4),"",VLOOKUP(VLOOKUP($A59,Centrum!$D$3:$M$130,10,0),Centrum!$A$3:$CB$130,AV$132,0))</f>
        <v>-6</v>
      </c>
      <c r="BC59" s="318" t="str">
        <f ca="1">IF(OR(OR($A59="",TYPE(VLOOKUP($A59,Centrum!$D$3:$M$130,10,0))&gt;3),$A$1&lt;5),"",VLOOKUP(VLOOKUP($A59,Centrum!$D$3:$M$130,10,0),Centrum!$A$3:$CB$130,BC$132,0))</f>
        <v/>
      </c>
      <c r="BD59" s="318" t="str">
        <f ca="1">IF(OR(OR($A59="",TYPE(VLOOKUP($A59,Centrum!$D$3:$M$130,10,0))&gt;3),$A$1&lt;5),"",VLOOKUP(VLOOKUP($A59,Centrum!$D$3:$M$130,10,0),Centrum!$A$3:$CB$130,BD$132,0))</f>
        <v/>
      </c>
      <c r="BE59" s="318" t="str">
        <f ca="1">IF(OR(OR($A59="",TYPE(VLOOKUP($A59,Centrum!$D$3:$M$130,10,0))&gt;3),$A$1&lt;5),"",VLOOKUP(VLOOKUP($A59,Centrum!$D$3:$M$130,10,0),Centrum!$A$3:$CB$130,BE$132,0))</f>
        <v/>
      </c>
      <c r="BL59" s="318" t="str">
        <f ca="1">IF(OR(OR($A59="",TYPE(VLOOKUP($A59,Centrum!$D$3:$M$130,10,0))&gt;3),$A$1&lt;6),"",VLOOKUP(VLOOKUP($A59,Centrum!$D$3:$M$130,10,0),Centrum!$A$3:$CB$130,BL$132,0))</f>
        <v/>
      </c>
      <c r="BM59" s="318" t="str">
        <f ca="1">IF(OR(OR($A59="",TYPE(VLOOKUP($A59,Centrum!$D$3:$M$130,10,0))&gt;3),$A$1&lt;6),"",VLOOKUP(VLOOKUP($A59,Centrum!$D$3:$M$130,10,0),Centrum!$A$3:$CB$130,BM$132,0))</f>
        <v/>
      </c>
      <c r="BN59" s="318" t="str">
        <f ca="1">IF(OR(OR($A59="",TYPE(VLOOKUP($A59,Centrum!$D$3:$M$130,10,0))&gt;3),$A$1&lt;6),"",VLOOKUP(VLOOKUP($A59,Centrum!$D$3:$M$130,10,0),Centrum!$A$3:$CB$130,BN$132,0))</f>
        <v/>
      </c>
    </row>
    <row r="60" spans="1:66" x14ac:dyDescent="0.4">
      <c r="A60" s="318" t="str">
        <f ca="1">Centrum!A60</f>
        <v/>
      </c>
      <c r="B60" s="421" t="str">
        <f ca="1">IF(OR($A60="",TYPE(VLOOKUP($A60,Centrum!$D$3:$M$130,10,0))&gt;3),"",VLOOKUP(VLOOKUP(A60,Centrum!$D$3:$M$130,10,0),Centrum!$A$3:$CB$130,B$132,0))</f>
        <v/>
      </c>
      <c r="C60" s="318" t="str">
        <f ca="1">IF(OR($A60="",TYPE(VLOOKUP($A60,Centrum!$D$3:$M$130,10,0))&gt;3),"",VLOOKUP($A60,Centrum!$D$3:$M$130,10,0))</f>
        <v/>
      </c>
      <c r="E60" s="318" t="str">
        <f ca="1">IF(OR($A60="",TYPE(VLOOKUP($A60,Centrum!$D$3:$M$130,10,0))&gt;3),"",VLOOKUP(VLOOKUP($A60,Centrum!$D$3:$M$130,10,0),Centrum!$A$3:$CB$130,E$132,0))</f>
        <v/>
      </c>
      <c r="F60" s="318" t="str">
        <f ca="1">IF(OR($A60="",TYPE(VLOOKUP($A60,Centrum!$D$3:$M$130,10,0))&gt;3),"",VLOOKUP(VLOOKUP($A60,Centrum!$D$3:$M$130,10,0),Centrum!$A$3:$CB$130,F$132,0))</f>
        <v/>
      </c>
      <c r="G60" s="318" t="str">
        <f ca="1">IF(OR($A60="",TYPE(VLOOKUP($A60,Centrum!$D$3:$M$130,10,0))&gt;3),"",VLOOKUP(VLOOKUP($A60,Centrum!$D$3:$M$130,10,0),Centrum!$A$3:$CB$130,G$132,0))</f>
        <v/>
      </c>
      <c r="H60" s="318" t="str">
        <f ca="1">IF($A60="","",VLOOKUP(VLOOKUP($A60,Centrum!$D$3:$M$130,10,0),Centrum!$A$3:$CB$130,H$132,0))</f>
        <v/>
      </c>
      <c r="I60" s="318" t="str">
        <f ca="1">IF($A60="","",VLOOKUP(VLOOKUP($A60,Centrum!$D$3:$M$130,10,0),Centrum!$A$3:$CB$130,I$132,0))</f>
        <v/>
      </c>
      <c r="J60" s="318" t="str">
        <f ca="1">IF(OR($A60="",TYPE(VLOOKUP($A60,Centrum!$D$3:$M$130,10,0))&gt;3),"",VLOOKUP(VLOOKUP($A60,Centrum!$D$3:$M$130,10,0),Centrum!$A$3:$CB$130,J$132,0))</f>
        <v/>
      </c>
      <c r="L60" s="318" t="str">
        <f ca="1">IF(OR($A60="",TYPE(VLOOKUP($A60,Centrum!$D$3:$M$130,10,0))&gt;3),"",VLOOKUP(VLOOKUP($A60,Centrum!$D$3:$M$130,10,0),Centrum!$A$3:$CB$130,L$132,0))</f>
        <v/>
      </c>
      <c r="M60" s="318" t="str">
        <f ca="1">IF(OR($A60="",TYPE(VLOOKUP($A60,Centrum!$D$3:$M$130,10,0))&gt;3),"",VLOOKUP(VLOOKUP($A60,Centrum!$D$3:$M$130,10,0),Centrum!$A$3:$CB$130,M$132,0))</f>
        <v/>
      </c>
      <c r="N60" s="318" t="str">
        <f ca="1">IF(OR($A60="",TYPE(VLOOKUP($A60,Centrum!$D$3:$M$130,10,0))&gt;3),"",VLOOKUP(VLOOKUP($A60,Centrum!$D$3:$M$130,10,0),Centrum!$A$3:$CB$130,N$132,0))</f>
        <v/>
      </c>
      <c r="O60" s="318" t="str">
        <f ca="1">IF(OR($A60="",TYPE(VLOOKUP($A60,Centrum!$D$3:$M$130,10,0))&gt;3),"",VLOOKUP(VLOOKUP($A60,Centrum!$D$3:$M$130,10,0),Centrum!$A$3:$CB$130,O$132,0))</f>
        <v/>
      </c>
      <c r="P60" s="318" t="str">
        <f ca="1">IF(OR($A60="",TYPE(VLOOKUP($A60,Centrum!$D$3:$M$130,10,0))&gt;3),"",VLOOKUP(VLOOKUP($A60,Centrum!$D$3:$M$130,10,0),Centrum!$A$3:$CB$130,P$132,0))</f>
        <v/>
      </c>
      <c r="Q60" s="318" t="str">
        <f ca="1">IF(OR($A60="",TYPE(VLOOKUP($A60,Centrum!$D$3:$M$130,10,0))&gt;3),"",VLOOKUP(VLOOKUP($A60,Centrum!$D$3:$M$130,10,0),Centrum!$A$3:$CB$130,Q$132,0))</f>
        <v/>
      </c>
      <c r="S60" s="318" t="str">
        <f ca="1">IF(OR($A60="",TYPE(VLOOKUP($A60,Centrum!$D$3:$M$130,10,0))&gt;3),"",VLOOKUP(VLOOKUP($A60,Centrum!$D$3:$M$130,10,0),Centrum!$A$3:$CB$130,S$132,0))</f>
        <v/>
      </c>
      <c r="T60" s="318" t="str">
        <f ca="1">IF(OR($A60="",TYPE(VLOOKUP($A60,Centrum!$D$3:$M$130,10,0))&gt;3),"",VLOOKUP(VLOOKUP($A60,Centrum!$D$3:$M$130,10,0),Centrum!$A$3:$CB$130,T$132,0))</f>
        <v/>
      </c>
      <c r="U60" s="318" t="str">
        <f ca="1">IF(OR($A60="",TYPE(VLOOKUP($A60,Centrum!$D$3:$M$130,10,0))&gt;3),"",VLOOKUP(VLOOKUP($A60,Centrum!$D$3:$M$130,10,0),Centrum!$A$3:$CB$130,U$132,0))</f>
        <v/>
      </c>
      <c r="AB60" s="318" t="str">
        <f ca="1">IF(OR($A60="",TYPE(VLOOKUP($A60,Centrum!$D$3:$M$130,10,0))&gt;3),"",VLOOKUP(VLOOKUP($A60,Centrum!$D$3:$M$130,10,0),Centrum!$A$3:$CB$130,AB$132,0))</f>
        <v/>
      </c>
      <c r="AC60" s="318" t="str">
        <f ca="1">IF(OR($A60="",TYPE(VLOOKUP($A60,Centrum!$D$3:$M$130,10,0))&gt;3),"",VLOOKUP(VLOOKUP($A60,Centrum!$D$3:$M$130,10,0),Centrum!$A$3:$CB$130,AC$132,0))</f>
        <v/>
      </c>
      <c r="AD60" s="318" t="str">
        <f ca="1">IF(OR($A60="",TYPE(VLOOKUP($A60,Centrum!$D$3:$M$130,10,0))&gt;3),"",VLOOKUP(VLOOKUP($A60,Centrum!$D$3:$M$130,10,0),Centrum!$A$3:$CB$130,AD$132,0))</f>
        <v/>
      </c>
      <c r="AK60" s="318" t="str">
        <f ca="1">IF(OR($A60="",TYPE(VLOOKUP($A60,Centrum!$D$3:$M$130,10,0))&gt;3),"",VLOOKUP(VLOOKUP($A60,Centrum!$D$3:$M$130,10,0),Centrum!$A$3:$CB$130,AK$132,0))</f>
        <v/>
      </c>
      <c r="AL60" s="318" t="str">
        <f ca="1">IF(OR($A60="",TYPE(VLOOKUP($A60,Centrum!$D$3:$M$130,10,0))&gt;3),"",VLOOKUP(VLOOKUP($A60,Centrum!$D$3:$M$130,10,0),Centrum!$A$3:$CB$130,AL$132,0))</f>
        <v/>
      </c>
      <c r="AM60" s="318" t="str">
        <f ca="1">IF(OR($A60="",TYPE(VLOOKUP($A60,Centrum!$D$3:$M$130,10,0))&gt;3),"",VLOOKUP(VLOOKUP($A60,Centrum!$D$3:$M$130,10,0),Centrum!$A$3:$CB$130,AM$132,0))</f>
        <v/>
      </c>
      <c r="AT60" s="318" t="str">
        <f ca="1">IF(OR(OR($A60="",TYPE(VLOOKUP($A60,Centrum!$D$3:$M$130,10,0))&gt;3),$A$1&lt;4),"",VLOOKUP(VLOOKUP($A60,Centrum!$D$3:$M$130,10,0),Centrum!$A$3:$CB$130,AT$132,0))</f>
        <v/>
      </c>
      <c r="AU60" s="318" t="str">
        <f ca="1">IF(OR(OR($A60="",TYPE(VLOOKUP($A60,Centrum!$D$3:$M$130,10,0))&gt;3),$A$1&lt;4),"",VLOOKUP(VLOOKUP($A60,Centrum!$D$3:$M$130,10,0),Centrum!$A$3:$CB$130,AU$132,0))</f>
        <v/>
      </c>
      <c r="AV60" s="318" t="str">
        <f ca="1">IF(OR(OR($A60="",TYPE(VLOOKUP($A60,Centrum!$D$3:$M$130,10,0))&gt;3),$A$1&lt;4),"",VLOOKUP(VLOOKUP($A60,Centrum!$D$3:$M$130,10,0),Centrum!$A$3:$CB$130,AV$132,0))</f>
        <v/>
      </c>
      <c r="BC60" s="318" t="str">
        <f ca="1">IF(OR(OR($A60="",TYPE(VLOOKUP($A60,Centrum!$D$3:$M$130,10,0))&gt;3),$A$1&lt;5),"",VLOOKUP(VLOOKUP($A60,Centrum!$D$3:$M$130,10,0),Centrum!$A$3:$CB$130,BC$132,0))</f>
        <v/>
      </c>
      <c r="BD60" s="318" t="str">
        <f ca="1">IF(OR(OR($A60="",TYPE(VLOOKUP($A60,Centrum!$D$3:$M$130,10,0))&gt;3),$A$1&lt;5),"",VLOOKUP(VLOOKUP($A60,Centrum!$D$3:$M$130,10,0),Centrum!$A$3:$CB$130,BD$132,0))</f>
        <v/>
      </c>
      <c r="BE60" s="318" t="str">
        <f ca="1">IF(OR(OR($A60="",TYPE(VLOOKUP($A60,Centrum!$D$3:$M$130,10,0))&gt;3),$A$1&lt;5),"",VLOOKUP(VLOOKUP($A60,Centrum!$D$3:$M$130,10,0),Centrum!$A$3:$CB$130,BE$132,0))</f>
        <v/>
      </c>
      <c r="BL60" s="318" t="str">
        <f ca="1">IF(OR(OR($A60="",TYPE(VLOOKUP($A60,Centrum!$D$3:$M$130,10,0))&gt;3),$A$1&lt;6),"",VLOOKUP(VLOOKUP($A60,Centrum!$D$3:$M$130,10,0),Centrum!$A$3:$CB$130,BL$132,0))</f>
        <v/>
      </c>
      <c r="BM60" s="318" t="str">
        <f ca="1">IF(OR(OR($A60="",TYPE(VLOOKUP($A60,Centrum!$D$3:$M$130,10,0))&gt;3),$A$1&lt;6),"",VLOOKUP(VLOOKUP($A60,Centrum!$D$3:$M$130,10,0),Centrum!$A$3:$CB$130,BM$132,0))</f>
        <v/>
      </c>
      <c r="BN60" s="318" t="str">
        <f ca="1">IF(OR(OR($A60="",TYPE(VLOOKUP($A60,Centrum!$D$3:$M$130,10,0))&gt;3),$A$1&lt;6),"",VLOOKUP(VLOOKUP($A60,Centrum!$D$3:$M$130,10,0),Centrum!$A$3:$CB$130,BN$132,0))</f>
        <v/>
      </c>
    </row>
    <row r="61" spans="1:66" x14ac:dyDescent="0.4">
      <c r="A61" s="318" t="str">
        <f ca="1">Centrum!A61</f>
        <v/>
      </c>
      <c r="B61" s="421" t="str">
        <f ca="1">IF(OR($A61="",TYPE(VLOOKUP($A61,Centrum!$D$3:$M$130,10,0))&gt;3),"",VLOOKUP(VLOOKUP(A61,Centrum!$D$3:$M$130,10,0),Centrum!$A$3:$CB$130,B$132,0))</f>
        <v/>
      </c>
      <c r="C61" s="318" t="str">
        <f ca="1">IF(OR($A61="",TYPE(VLOOKUP($A61,Centrum!$D$3:$M$130,10,0))&gt;3),"",VLOOKUP($A61,Centrum!$D$3:$M$130,10,0))</f>
        <v/>
      </c>
      <c r="E61" s="318" t="str">
        <f ca="1">IF(OR($A61="",TYPE(VLOOKUP($A61,Centrum!$D$3:$M$130,10,0))&gt;3),"",VLOOKUP(VLOOKUP($A61,Centrum!$D$3:$M$130,10,0),Centrum!$A$3:$CB$130,E$132,0))</f>
        <v/>
      </c>
      <c r="F61" s="318" t="str">
        <f ca="1">IF(OR($A61="",TYPE(VLOOKUP($A61,Centrum!$D$3:$M$130,10,0))&gt;3),"",VLOOKUP(VLOOKUP($A61,Centrum!$D$3:$M$130,10,0),Centrum!$A$3:$CB$130,F$132,0))</f>
        <v/>
      </c>
      <c r="G61" s="318" t="str">
        <f ca="1">IF(OR($A61="",TYPE(VLOOKUP($A61,Centrum!$D$3:$M$130,10,0))&gt;3),"",VLOOKUP(VLOOKUP($A61,Centrum!$D$3:$M$130,10,0),Centrum!$A$3:$CB$130,G$132,0))</f>
        <v/>
      </c>
      <c r="H61" s="318" t="str">
        <f ca="1">IF($A61="","",VLOOKUP(VLOOKUP($A61,Centrum!$D$3:$M$130,10,0),Centrum!$A$3:$CB$130,H$132,0))</f>
        <v/>
      </c>
      <c r="I61" s="318" t="str">
        <f ca="1">IF($A61="","",VLOOKUP(VLOOKUP($A61,Centrum!$D$3:$M$130,10,0),Centrum!$A$3:$CB$130,I$132,0))</f>
        <v/>
      </c>
      <c r="J61" s="318" t="str">
        <f ca="1">IF(OR($A61="",TYPE(VLOOKUP($A61,Centrum!$D$3:$M$130,10,0))&gt;3),"",VLOOKUP(VLOOKUP($A61,Centrum!$D$3:$M$130,10,0),Centrum!$A$3:$CB$130,J$132,0))</f>
        <v/>
      </c>
      <c r="L61" s="318" t="str">
        <f ca="1">IF(OR($A61="",TYPE(VLOOKUP($A61,Centrum!$D$3:$M$130,10,0))&gt;3),"",VLOOKUP(VLOOKUP($A61,Centrum!$D$3:$M$130,10,0),Centrum!$A$3:$CB$130,L$132,0))</f>
        <v/>
      </c>
      <c r="M61" s="318" t="str">
        <f ca="1">IF(OR($A61="",TYPE(VLOOKUP($A61,Centrum!$D$3:$M$130,10,0))&gt;3),"",VLOOKUP(VLOOKUP($A61,Centrum!$D$3:$M$130,10,0),Centrum!$A$3:$CB$130,M$132,0))</f>
        <v/>
      </c>
      <c r="N61" s="318" t="str">
        <f ca="1">IF(OR($A61="",TYPE(VLOOKUP($A61,Centrum!$D$3:$M$130,10,0))&gt;3),"",VLOOKUP(VLOOKUP($A61,Centrum!$D$3:$M$130,10,0),Centrum!$A$3:$CB$130,N$132,0))</f>
        <v/>
      </c>
      <c r="O61" s="318" t="str">
        <f ca="1">IF(OR($A61="",TYPE(VLOOKUP($A61,Centrum!$D$3:$M$130,10,0))&gt;3),"",VLOOKUP(VLOOKUP($A61,Centrum!$D$3:$M$130,10,0),Centrum!$A$3:$CB$130,O$132,0))</f>
        <v/>
      </c>
      <c r="P61" s="318" t="str">
        <f ca="1">IF(OR($A61="",TYPE(VLOOKUP($A61,Centrum!$D$3:$M$130,10,0))&gt;3),"",VLOOKUP(VLOOKUP($A61,Centrum!$D$3:$M$130,10,0),Centrum!$A$3:$CB$130,P$132,0))</f>
        <v/>
      </c>
      <c r="Q61" s="318" t="str">
        <f ca="1">IF(OR($A61="",TYPE(VLOOKUP($A61,Centrum!$D$3:$M$130,10,0))&gt;3),"",VLOOKUP(VLOOKUP($A61,Centrum!$D$3:$M$130,10,0),Centrum!$A$3:$CB$130,Q$132,0))</f>
        <v/>
      </c>
      <c r="S61" s="318" t="str">
        <f ca="1">IF(OR($A61="",TYPE(VLOOKUP($A61,Centrum!$D$3:$M$130,10,0))&gt;3),"",VLOOKUP(VLOOKUP($A61,Centrum!$D$3:$M$130,10,0),Centrum!$A$3:$CB$130,S$132,0))</f>
        <v/>
      </c>
      <c r="T61" s="318" t="str">
        <f ca="1">IF(OR($A61="",TYPE(VLOOKUP($A61,Centrum!$D$3:$M$130,10,0))&gt;3),"",VLOOKUP(VLOOKUP($A61,Centrum!$D$3:$M$130,10,0),Centrum!$A$3:$CB$130,T$132,0))</f>
        <v/>
      </c>
      <c r="U61" s="318" t="str">
        <f ca="1">IF(OR($A61="",TYPE(VLOOKUP($A61,Centrum!$D$3:$M$130,10,0))&gt;3),"",VLOOKUP(VLOOKUP($A61,Centrum!$D$3:$M$130,10,0),Centrum!$A$3:$CB$130,U$132,0))</f>
        <v/>
      </c>
      <c r="AB61" s="318" t="str">
        <f ca="1">IF(OR($A61="",TYPE(VLOOKUP($A61,Centrum!$D$3:$M$130,10,0))&gt;3),"",VLOOKUP(VLOOKUP($A61,Centrum!$D$3:$M$130,10,0),Centrum!$A$3:$CB$130,AB$132,0))</f>
        <v/>
      </c>
      <c r="AC61" s="318" t="str">
        <f ca="1">IF(OR($A61="",TYPE(VLOOKUP($A61,Centrum!$D$3:$M$130,10,0))&gt;3),"",VLOOKUP(VLOOKUP($A61,Centrum!$D$3:$M$130,10,0),Centrum!$A$3:$CB$130,AC$132,0))</f>
        <v/>
      </c>
      <c r="AD61" s="318" t="str">
        <f ca="1">IF(OR($A61="",TYPE(VLOOKUP($A61,Centrum!$D$3:$M$130,10,0))&gt;3),"",VLOOKUP(VLOOKUP($A61,Centrum!$D$3:$M$130,10,0),Centrum!$A$3:$CB$130,AD$132,0))</f>
        <v/>
      </c>
      <c r="AK61" s="318" t="str">
        <f ca="1">IF(OR($A61="",TYPE(VLOOKUP($A61,Centrum!$D$3:$M$130,10,0))&gt;3),"",VLOOKUP(VLOOKUP($A61,Centrum!$D$3:$M$130,10,0),Centrum!$A$3:$CB$130,AK$132,0))</f>
        <v/>
      </c>
      <c r="AL61" s="318" t="str">
        <f ca="1">IF(OR($A61="",TYPE(VLOOKUP($A61,Centrum!$D$3:$M$130,10,0))&gt;3),"",VLOOKUP(VLOOKUP($A61,Centrum!$D$3:$M$130,10,0),Centrum!$A$3:$CB$130,AL$132,0))</f>
        <v/>
      </c>
      <c r="AM61" s="318" t="str">
        <f ca="1">IF(OR($A61="",TYPE(VLOOKUP($A61,Centrum!$D$3:$M$130,10,0))&gt;3),"",VLOOKUP(VLOOKUP($A61,Centrum!$D$3:$M$130,10,0),Centrum!$A$3:$CB$130,AM$132,0))</f>
        <v/>
      </c>
      <c r="AT61" s="318" t="str">
        <f ca="1">IF(OR(OR($A61="",TYPE(VLOOKUP($A61,Centrum!$D$3:$M$130,10,0))&gt;3),$A$1&lt;4),"",VLOOKUP(VLOOKUP($A61,Centrum!$D$3:$M$130,10,0),Centrum!$A$3:$CB$130,AT$132,0))</f>
        <v/>
      </c>
      <c r="AU61" s="318" t="str">
        <f ca="1">IF(OR(OR($A61="",TYPE(VLOOKUP($A61,Centrum!$D$3:$M$130,10,0))&gt;3),$A$1&lt;4),"",VLOOKUP(VLOOKUP($A61,Centrum!$D$3:$M$130,10,0),Centrum!$A$3:$CB$130,AU$132,0))</f>
        <v/>
      </c>
      <c r="AV61" s="318" t="str">
        <f ca="1">IF(OR(OR($A61="",TYPE(VLOOKUP($A61,Centrum!$D$3:$M$130,10,0))&gt;3),$A$1&lt;4),"",VLOOKUP(VLOOKUP($A61,Centrum!$D$3:$M$130,10,0),Centrum!$A$3:$CB$130,AV$132,0))</f>
        <v/>
      </c>
      <c r="BC61" s="318" t="str">
        <f ca="1">IF(OR(OR($A61="",TYPE(VLOOKUP($A61,Centrum!$D$3:$M$130,10,0))&gt;3),$A$1&lt;5),"",VLOOKUP(VLOOKUP($A61,Centrum!$D$3:$M$130,10,0),Centrum!$A$3:$CB$130,BC$132,0))</f>
        <v/>
      </c>
      <c r="BD61" s="318" t="str">
        <f ca="1">IF(OR(OR($A61="",TYPE(VLOOKUP($A61,Centrum!$D$3:$M$130,10,0))&gt;3),$A$1&lt;5),"",VLOOKUP(VLOOKUP($A61,Centrum!$D$3:$M$130,10,0),Centrum!$A$3:$CB$130,BD$132,0))</f>
        <v/>
      </c>
      <c r="BE61" s="318" t="str">
        <f ca="1">IF(OR(OR($A61="",TYPE(VLOOKUP($A61,Centrum!$D$3:$M$130,10,0))&gt;3),$A$1&lt;5),"",VLOOKUP(VLOOKUP($A61,Centrum!$D$3:$M$130,10,0),Centrum!$A$3:$CB$130,BE$132,0))</f>
        <v/>
      </c>
      <c r="BL61" s="318" t="str">
        <f ca="1">IF(OR(OR($A61="",TYPE(VLOOKUP($A61,Centrum!$D$3:$M$130,10,0))&gt;3),$A$1&lt;6),"",VLOOKUP(VLOOKUP($A61,Centrum!$D$3:$M$130,10,0),Centrum!$A$3:$CB$130,BL$132,0))</f>
        <v/>
      </c>
      <c r="BM61" s="318" t="str">
        <f ca="1">IF(OR(OR($A61="",TYPE(VLOOKUP($A61,Centrum!$D$3:$M$130,10,0))&gt;3),$A$1&lt;6),"",VLOOKUP(VLOOKUP($A61,Centrum!$D$3:$M$130,10,0),Centrum!$A$3:$CB$130,BM$132,0))</f>
        <v/>
      </c>
      <c r="BN61" s="318" t="str">
        <f ca="1">IF(OR(OR($A61="",TYPE(VLOOKUP($A61,Centrum!$D$3:$M$130,10,0))&gt;3),$A$1&lt;6),"",VLOOKUP(VLOOKUP($A61,Centrum!$D$3:$M$130,10,0),Centrum!$A$3:$CB$130,BN$132,0))</f>
        <v/>
      </c>
    </row>
    <row r="62" spans="1:66" x14ac:dyDescent="0.4">
      <c r="A62" s="318" t="str">
        <f ca="1">Centrum!A62</f>
        <v/>
      </c>
      <c r="B62" s="421" t="str">
        <f ca="1">IF(OR($A62="",TYPE(VLOOKUP($A62,Centrum!$D$3:$M$130,10,0))&gt;3),"",VLOOKUP(VLOOKUP(A62,Centrum!$D$3:$M$130,10,0),Centrum!$A$3:$CB$130,B$132,0))</f>
        <v/>
      </c>
      <c r="C62" s="318" t="str">
        <f ca="1">IF(OR($A62="",TYPE(VLOOKUP($A62,Centrum!$D$3:$M$130,10,0))&gt;3),"",VLOOKUP($A62,Centrum!$D$3:$M$130,10,0))</f>
        <v/>
      </c>
      <c r="E62" s="318" t="str">
        <f ca="1">IF(OR($A62="",TYPE(VLOOKUP($A62,Centrum!$D$3:$M$130,10,0))&gt;3),"",VLOOKUP(VLOOKUP($A62,Centrum!$D$3:$M$130,10,0),Centrum!$A$3:$CB$130,E$132,0))</f>
        <v/>
      </c>
      <c r="F62" s="318" t="str">
        <f ca="1">IF(OR($A62="",TYPE(VLOOKUP($A62,Centrum!$D$3:$M$130,10,0))&gt;3),"",VLOOKUP(VLOOKUP($A62,Centrum!$D$3:$M$130,10,0),Centrum!$A$3:$CB$130,F$132,0))</f>
        <v/>
      </c>
      <c r="G62" s="318" t="str">
        <f ca="1">IF(OR($A62="",TYPE(VLOOKUP($A62,Centrum!$D$3:$M$130,10,0))&gt;3),"",VLOOKUP(VLOOKUP($A62,Centrum!$D$3:$M$130,10,0),Centrum!$A$3:$CB$130,G$132,0))</f>
        <v/>
      </c>
      <c r="H62" s="318" t="str">
        <f ca="1">IF($A62="","",VLOOKUP(VLOOKUP($A62,Centrum!$D$3:$M$130,10,0),Centrum!$A$3:$CB$130,H$132,0))</f>
        <v/>
      </c>
      <c r="I62" s="318" t="str">
        <f ca="1">IF($A62="","",VLOOKUP(VLOOKUP($A62,Centrum!$D$3:$M$130,10,0),Centrum!$A$3:$CB$130,I$132,0))</f>
        <v/>
      </c>
      <c r="J62" s="318" t="str">
        <f ca="1">IF(OR($A62="",TYPE(VLOOKUP($A62,Centrum!$D$3:$M$130,10,0))&gt;3),"",VLOOKUP(VLOOKUP($A62,Centrum!$D$3:$M$130,10,0),Centrum!$A$3:$CB$130,J$132,0))</f>
        <v/>
      </c>
      <c r="L62" s="318" t="str">
        <f ca="1">IF(OR($A62="",TYPE(VLOOKUP($A62,Centrum!$D$3:$M$130,10,0))&gt;3),"",VLOOKUP(VLOOKUP($A62,Centrum!$D$3:$M$130,10,0),Centrum!$A$3:$CB$130,L$132,0))</f>
        <v/>
      </c>
      <c r="M62" s="318" t="str">
        <f ca="1">IF(OR($A62="",TYPE(VLOOKUP($A62,Centrum!$D$3:$M$130,10,0))&gt;3),"",VLOOKUP(VLOOKUP($A62,Centrum!$D$3:$M$130,10,0),Centrum!$A$3:$CB$130,M$132,0))</f>
        <v/>
      </c>
      <c r="N62" s="318" t="str">
        <f ca="1">IF(OR($A62="",TYPE(VLOOKUP($A62,Centrum!$D$3:$M$130,10,0))&gt;3),"",VLOOKUP(VLOOKUP($A62,Centrum!$D$3:$M$130,10,0),Centrum!$A$3:$CB$130,N$132,0))</f>
        <v/>
      </c>
      <c r="O62" s="318" t="str">
        <f ca="1">IF(OR($A62="",TYPE(VLOOKUP($A62,Centrum!$D$3:$M$130,10,0))&gt;3),"",VLOOKUP(VLOOKUP($A62,Centrum!$D$3:$M$130,10,0),Centrum!$A$3:$CB$130,O$132,0))</f>
        <v/>
      </c>
      <c r="P62" s="318" t="str">
        <f ca="1">IF(OR($A62="",TYPE(VLOOKUP($A62,Centrum!$D$3:$M$130,10,0))&gt;3),"",VLOOKUP(VLOOKUP($A62,Centrum!$D$3:$M$130,10,0),Centrum!$A$3:$CB$130,P$132,0))</f>
        <v/>
      </c>
      <c r="Q62" s="318" t="str">
        <f ca="1">IF(OR($A62="",TYPE(VLOOKUP($A62,Centrum!$D$3:$M$130,10,0))&gt;3),"",VLOOKUP(VLOOKUP($A62,Centrum!$D$3:$M$130,10,0),Centrum!$A$3:$CB$130,Q$132,0))</f>
        <v/>
      </c>
      <c r="S62" s="318" t="str">
        <f ca="1">IF(OR($A62="",TYPE(VLOOKUP($A62,Centrum!$D$3:$M$130,10,0))&gt;3),"",VLOOKUP(VLOOKUP($A62,Centrum!$D$3:$M$130,10,0),Centrum!$A$3:$CB$130,S$132,0))</f>
        <v/>
      </c>
      <c r="T62" s="318" t="str">
        <f ca="1">IF(OR($A62="",TYPE(VLOOKUP($A62,Centrum!$D$3:$M$130,10,0))&gt;3),"",VLOOKUP(VLOOKUP($A62,Centrum!$D$3:$M$130,10,0),Centrum!$A$3:$CB$130,T$132,0))</f>
        <v/>
      </c>
      <c r="U62" s="318" t="str">
        <f ca="1">IF(OR($A62="",TYPE(VLOOKUP($A62,Centrum!$D$3:$M$130,10,0))&gt;3),"",VLOOKUP(VLOOKUP($A62,Centrum!$D$3:$M$130,10,0),Centrum!$A$3:$CB$130,U$132,0))</f>
        <v/>
      </c>
      <c r="AB62" s="318" t="str">
        <f ca="1">IF(OR($A62="",TYPE(VLOOKUP($A62,Centrum!$D$3:$M$130,10,0))&gt;3),"",VLOOKUP(VLOOKUP($A62,Centrum!$D$3:$M$130,10,0),Centrum!$A$3:$CB$130,AB$132,0))</f>
        <v/>
      </c>
      <c r="AC62" s="318" t="str">
        <f ca="1">IF(OR($A62="",TYPE(VLOOKUP($A62,Centrum!$D$3:$M$130,10,0))&gt;3),"",VLOOKUP(VLOOKUP($A62,Centrum!$D$3:$M$130,10,0),Centrum!$A$3:$CB$130,AC$132,0))</f>
        <v/>
      </c>
      <c r="AD62" s="318" t="str">
        <f ca="1">IF(OR($A62="",TYPE(VLOOKUP($A62,Centrum!$D$3:$M$130,10,0))&gt;3),"",VLOOKUP(VLOOKUP($A62,Centrum!$D$3:$M$130,10,0),Centrum!$A$3:$CB$130,AD$132,0))</f>
        <v/>
      </c>
      <c r="AK62" s="318" t="str">
        <f ca="1">IF(OR($A62="",TYPE(VLOOKUP($A62,Centrum!$D$3:$M$130,10,0))&gt;3),"",VLOOKUP(VLOOKUP($A62,Centrum!$D$3:$M$130,10,0),Centrum!$A$3:$CB$130,AK$132,0))</f>
        <v/>
      </c>
      <c r="AL62" s="318" t="str">
        <f ca="1">IF(OR($A62="",TYPE(VLOOKUP($A62,Centrum!$D$3:$M$130,10,0))&gt;3),"",VLOOKUP(VLOOKUP($A62,Centrum!$D$3:$M$130,10,0),Centrum!$A$3:$CB$130,AL$132,0))</f>
        <v/>
      </c>
      <c r="AM62" s="318" t="str">
        <f ca="1">IF(OR($A62="",TYPE(VLOOKUP($A62,Centrum!$D$3:$M$130,10,0))&gt;3),"",VLOOKUP(VLOOKUP($A62,Centrum!$D$3:$M$130,10,0),Centrum!$A$3:$CB$130,AM$132,0))</f>
        <v/>
      </c>
      <c r="AT62" s="318" t="str">
        <f ca="1">IF(OR(OR($A62="",TYPE(VLOOKUP($A62,Centrum!$D$3:$M$130,10,0))&gt;3),$A$1&lt;4),"",VLOOKUP(VLOOKUP($A62,Centrum!$D$3:$M$130,10,0),Centrum!$A$3:$CB$130,AT$132,0))</f>
        <v/>
      </c>
      <c r="AU62" s="318" t="str">
        <f ca="1">IF(OR(OR($A62="",TYPE(VLOOKUP($A62,Centrum!$D$3:$M$130,10,0))&gt;3),$A$1&lt;4),"",VLOOKUP(VLOOKUP($A62,Centrum!$D$3:$M$130,10,0),Centrum!$A$3:$CB$130,AU$132,0))</f>
        <v/>
      </c>
      <c r="AV62" s="318" t="str">
        <f ca="1">IF(OR(OR($A62="",TYPE(VLOOKUP($A62,Centrum!$D$3:$M$130,10,0))&gt;3),$A$1&lt;4),"",VLOOKUP(VLOOKUP($A62,Centrum!$D$3:$M$130,10,0),Centrum!$A$3:$CB$130,AV$132,0))</f>
        <v/>
      </c>
      <c r="BC62" s="318" t="str">
        <f ca="1">IF(OR(OR($A62="",TYPE(VLOOKUP($A62,Centrum!$D$3:$M$130,10,0))&gt;3),$A$1&lt;5),"",VLOOKUP(VLOOKUP($A62,Centrum!$D$3:$M$130,10,0),Centrum!$A$3:$CB$130,BC$132,0))</f>
        <v/>
      </c>
      <c r="BD62" s="318" t="str">
        <f ca="1">IF(OR(OR($A62="",TYPE(VLOOKUP($A62,Centrum!$D$3:$M$130,10,0))&gt;3),$A$1&lt;5),"",VLOOKUP(VLOOKUP($A62,Centrum!$D$3:$M$130,10,0),Centrum!$A$3:$CB$130,BD$132,0))</f>
        <v/>
      </c>
      <c r="BE62" s="318" t="str">
        <f ca="1">IF(OR(OR($A62="",TYPE(VLOOKUP($A62,Centrum!$D$3:$M$130,10,0))&gt;3),$A$1&lt;5),"",VLOOKUP(VLOOKUP($A62,Centrum!$D$3:$M$130,10,0),Centrum!$A$3:$CB$130,BE$132,0))</f>
        <v/>
      </c>
      <c r="BL62" s="318" t="str">
        <f ca="1">IF(OR(OR($A62="",TYPE(VLOOKUP($A62,Centrum!$D$3:$M$130,10,0))&gt;3),$A$1&lt;6),"",VLOOKUP(VLOOKUP($A62,Centrum!$D$3:$M$130,10,0),Centrum!$A$3:$CB$130,BL$132,0))</f>
        <v/>
      </c>
      <c r="BM62" s="318" t="str">
        <f ca="1">IF(OR(OR($A62="",TYPE(VLOOKUP($A62,Centrum!$D$3:$M$130,10,0))&gt;3),$A$1&lt;6),"",VLOOKUP(VLOOKUP($A62,Centrum!$D$3:$M$130,10,0),Centrum!$A$3:$CB$130,BM$132,0))</f>
        <v/>
      </c>
      <c r="BN62" s="318" t="str">
        <f ca="1">IF(OR(OR($A62="",TYPE(VLOOKUP($A62,Centrum!$D$3:$M$130,10,0))&gt;3),$A$1&lt;6),"",VLOOKUP(VLOOKUP($A62,Centrum!$D$3:$M$130,10,0),Centrum!$A$3:$CB$130,BN$132,0))</f>
        <v/>
      </c>
    </row>
    <row r="63" spans="1:66" x14ac:dyDescent="0.4">
      <c r="A63" s="318" t="str">
        <f ca="1">Centrum!A63</f>
        <v/>
      </c>
      <c r="B63" s="421" t="str">
        <f ca="1">IF(OR($A63="",TYPE(VLOOKUP($A63,Centrum!$D$3:$M$130,10,0))&gt;3),"",VLOOKUP(VLOOKUP(A63,Centrum!$D$3:$M$130,10,0),Centrum!$A$3:$CB$130,B$132,0))</f>
        <v/>
      </c>
      <c r="C63" s="318" t="str">
        <f ca="1">IF(OR($A63="",TYPE(VLOOKUP($A63,Centrum!$D$3:$M$130,10,0))&gt;3),"",VLOOKUP($A63,Centrum!$D$3:$M$130,10,0))</f>
        <v/>
      </c>
      <c r="E63" s="318" t="str">
        <f ca="1">IF(OR($A63="",TYPE(VLOOKUP($A63,Centrum!$D$3:$M$130,10,0))&gt;3),"",VLOOKUP(VLOOKUP($A63,Centrum!$D$3:$M$130,10,0),Centrum!$A$3:$CB$130,E$132,0))</f>
        <v/>
      </c>
      <c r="F63" s="318" t="str">
        <f ca="1">IF(OR($A63="",TYPE(VLOOKUP($A63,Centrum!$D$3:$M$130,10,0))&gt;3),"",VLOOKUP(VLOOKUP($A63,Centrum!$D$3:$M$130,10,0),Centrum!$A$3:$CB$130,F$132,0))</f>
        <v/>
      </c>
      <c r="G63" s="318" t="str">
        <f ca="1">IF(OR($A63="",TYPE(VLOOKUP($A63,Centrum!$D$3:$M$130,10,0))&gt;3),"",VLOOKUP(VLOOKUP($A63,Centrum!$D$3:$M$130,10,0),Centrum!$A$3:$CB$130,G$132,0))</f>
        <v/>
      </c>
      <c r="H63" s="318" t="str">
        <f ca="1">IF($A63="","",VLOOKUP(VLOOKUP($A63,Centrum!$D$3:$M$130,10,0),Centrum!$A$3:$CB$130,H$132,0))</f>
        <v/>
      </c>
      <c r="I63" s="318" t="str">
        <f ca="1">IF($A63="","",VLOOKUP(VLOOKUP($A63,Centrum!$D$3:$M$130,10,0),Centrum!$A$3:$CB$130,I$132,0))</f>
        <v/>
      </c>
      <c r="J63" s="318" t="str">
        <f ca="1">IF(OR($A63="",TYPE(VLOOKUP($A63,Centrum!$D$3:$M$130,10,0))&gt;3),"",VLOOKUP(VLOOKUP($A63,Centrum!$D$3:$M$130,10,0),Centrum!$A$3:$CB$130,J$132,0))</f>
        <v/>
      </c>
      <c r="L63" s="318" t="str">
        <f ca="1">IF(OR($A63="",TYPE(VLOOKUP($A63,Centrum!$D$3:$M$130,10,0))&gt;3),"",VLOOKUP(VLOOKUP($A63,Centrum!$D$3:$M$130,10,0),Centrum!$A$3:$CB$130,L$132,0))</f>
        <v/>
      </c>
      <c r="M63" s="318" t="str">
        <f ca="1">IF(OR($A63="",TYPE(VLOOKUP($A63,Centrum!$D$3:$M$130,10,0))&gt;3),"",VLOOKUP(VLOOKUP($A63,Centrum!$D$3:$M$130,10,0),Centrum!$A$3:$CB$130,M$132,0))</f>
        <v/>
      </c>
      <c r="N63" s="318" t="str">
        <f ca="1">IF(OR($A63="",TYPE(VLOOKUP($A63,Centrum!$D$3:$M$130,10,0))&gt;3),"",VLOOKUP(VLOOKUP($A63,Centrum!$D$3:$M$130,10,0),Centrum!$A$3:$CB$130,N$132,0))</f>
        <v/>
      </c>
      <c r="O63" s="318" t="str">
        <f ca="1">IF(OR($A63="",TYPE(VLOOKUP($A63,Centrum!$D$3:$M$130,10,0))&gt;3),"",VLOOKUP(VLOOKUP($A63,Centrum!$D$3:$M$130,10,0),Centrum!$A$3:$CB$130,O$132,0))</f>
        <v/>
      </c>
      <c r="P63" s="318" t="str">
        <f ca="1">IF(OR($A63="",TYPE(VLOOKUP($A63,Centrum!$D$3:$M$130,10,0))&gt;3),"",VLOOKUP(VLOOKUP($A63,Centrum!$D$3:$M$130,10,0),Centrum!$A$3:$CB$130,P$132,0))</f>
        <v/>
      </c>
      <c r="Q63" s="318" t="str">
        <f ca="1">IF(OR($A63="",TYPE(VLOOKUP($A63,Centrum!$D$3:$M$130,10,0))&gt;3),"",VLOOKUP(VLOOKUP($A63,Centrum!$D$3:$M$130,10,0),Centrum!$A$3:$CB$130,Q$132,0))</f>
        <v/>
      </c>
      <c r="S63" s="318" t="str">
        <f ca="1">IF(OR($A63="",TYPE(VLOOKUP($A63,Centrum!$D$3:$M$130,10,0))&gt;3),"",VLOOKUP(VLOOKUP($A63,Centrum!$D$3:$M$130,10,0),Centrum!$A$3:$CB$130,S$132,0))</f>
        <v/>
      </c>
      <c r="T63" s="318" t="str">
        <f ca="1">IF(OR($A63="",TYPE(VLOOKUP($A63,Centrum!$D$3:$M$130,10,0))&gt;3),"",VLOOKUP(VLOOKUP($A63,Centrum!$D$3:$M$130,10,0),Centrum!$A$3:$CB$130,T$132,0))</f>
        <v/>
      </c>
      <c r="U63" s="318" t="str">
        <f ca="1">IF(OR($A63="",TYPE(VLOOKUP($A63,Centrum!$D$3:$M$130,10,0))&gt;3),"",VLOOKUP(VLOOKUP($A63,Centrum!$D$3:$M$130,10,0),Centrum!$A$3:$CB$130,U$132,0))</f>
        <v/>
      </c>
      <c r="AB63" s="318" t="str">
        <f ca="1">IF(OR($A63="",TYPE(VLOOKUP($A63,Centrum!$D$3:$M$130,10,0))&gt;3),"",VLOOKUP(VLOOKUP($A63,Centrum!$D$3:$M$130,10,0),Centrum!$A$3:$CB$130,AB$132,0))</f>
        <v/>
      </c>
      <c r="AC63" s="318" t="str">
        <f ca="1">IF(OR($A63="",TYPE(VLOOKUP($A63,Centrum!$D$3:$M$130,10,0))&gt;3),"",VLOOKUP(VLOOKUP($A63,Centrum!$D$3:$M$130,10,0),Centrum!$A$3:$CB$130,AC$132,0))</f>
        <v/>
      </c>
      <c r="AD63" s="318" t="str">
        <f ca="1">IF(OR($A63="",TYPE(VLOOKUP($A63,Centrum!$D$3:$M$130,10,0))&gt;3),"",VLOOKUP(VLOOKUP($A63,Centrum!$D$3:$M$130,10,0),Centrum!$A$3:$CB$130,AD$132,0))</f>
        <v/>
      </c>
      <c r="AK63" s="318" t="str">
        <f ca="1">IF(OR($A63="",TYPE(VLOOKUP($A63,Centrum!$D$3:$M$130,10,0))&gt;3),"",VLOOKUP(VLOOKUP($A63,Centrum!$D$3:$M$130,10,0),Centrum!$A$3:$CB$130,AK$132,0))</f>
        <v/>
      </c>
      <c r="AL63" s="318" t="str">
        <f ca="1">IF(OR($A63="",TYPE(VLOOKUP($A63,Centrum!$D$3:$M$130,10,0))&gt;3),"",VLOOKUP(VLOOKUP($A63,Centrum!$D$3:$M$130,10,0),Centrum!$A$3:$CB$130,AL$132,0))</f>
        <v/>
      </c>
      <c r="AM63" s="318" t="str">
        <f ca="1">IF(OR($A63="",TYPE(VLOOKUP($A63,Centrum!$D$3:$M$130,10,0))&gt;3),"",VLOOKUP(VLOOKUP($A63,Centrum!$D$3:$M$130,10,0),Centrum!$A$3:$CB$130,AM$132,0))</f>
        <v/>
      </c>
      <c r="AT63" s="318" t="str">
        <f ca="1">IF(OR(OR($A63="",TYPE(VLOOKUP($A63,Centrum!$D$3:$M$130,10,0))&gt;3),$A$1&lt;4),"",VLOOKUP(VLOOKUP($A63,Centrum!$D$3:$M$130,10,0),Centrum!$A$3:$CB$130,AT$132,0))</f>
        <v/>
      </c>
      <c r="AU63" s="318" t="str">
        <f ca="1">IF(OR(OR($A63="",TYPE(VLOOKUP($A63,Centrum!$D$3:$M$130,10,0))&gt;3),$A$1&lt;4),"",VLOOKUP(VLOOKUP($A63,Centrum!$D$3:$M$130,10,0),Centrum!$A$3:$CB$130,AU$132,0))</f>
        <v/>
      </c>
      <c r="AV63" s="318" t="str">
        <f ca="1">IF(OR(OR($A63="",TYPE(VLOOKUP($A63,Centrum!$D$3:$M$130,10,0))&gt;3),$A$1&lt;4),"",VLOOKUP(VLOOKUP($A63,Centrum!$D$3:$M$130,10,0),Centrum!$A$3:$CB$130,AV$132,0))</f>
        <v/>
      </c>
      <c r="BC63" s="318" t="str">
        <f ca="1">IF(OR(OR($A63="",TYPE(VLOOKUP($A63,Centrum!$D$3:$M$130,10,0))&gt;3),$A$1&lt;5),"",VLOOKUP(VLOOKUP($A63,Centrum!$D$3:$M$130,10,0),Centrum!$A$3:$CB$130,BC$132,0))</f>
        <v/>
      </c>
      <c r="BD63" s="318" t="str">
        <f ca="1">IF(OR(OR($A63="",TYPE(VLOOKUP($A63,Centrum!$D$3:$M$130,10,0))&gt;3),$A$1&lt;5),"",VLOOKUP(VLOOKUP($A63,Centrum!$D$3:$M$130,10,0),Centrum!$A$3:$CB$130,BD$132,0))</f>
        <v/>
      </c>
      <c r="BE63" s="318" t="str">
        <f ca="1">IF(OR(OR($A63="",TYPE(VLOOKUP($A63,Centrum!$D$3:$M$130,10,0))&gt;3),$A$1&lt;5),"",VLOOKUP(VLOOKUP($A63,Centrum!$D$3:$M$130,10,0),Centrum!$A$3:$CB$130,BE$132,0))</f>
        <v/>
      </c>
      <c r="BL63" s="318" t="str">
        <f ca="1">IF(OR(OR($A63="",TYPE(VLOOKUP($A63,Centrum!$D$3:$M$130,10,0))&gt;3),$A$1&lt;6),"",VLOOKUP(VLOOKUP($A63,Centrum!$D$3:$M$130,10,0),Centrum!$A$3:$CB$130,BL$132,0))</f>
        <v/>
      </c>
      <c r="BM63" s="318" t="str">
        <f ca="1">IF(OR(OR($A63="",TYPE(VLOOKUP($A63,Centrum!$D$3:$M$130,10,0))&gt;3),$A$1&lt;6),"",VLOOKUP(VLOOKUP($A63,Centrum!$D$3:$M$130,10,0),Centrum!$A$3:$CB$130,BM$132,0))</f>
        <v/>
      </c>
      <c r="BN63" s="318" t="str">
        <f ca="1">IF(OR(OR($A63="",TYPE(VLOOKUP($A63,Centrum!$D$3:$M$130,10,0))&gt;3),$A$1&lt;6),"",VLOOKUP(VLOOKUP($A63,Centrum!$D$3:$M$130,10,0),Centrum!$A$3:$CB$130,BN$132,0))</f>
        <v/>
      </c>
    </row>
    <row r="64" spans="1:66" x14ac:dyDescent="0.4">
      <c r="A64" s="318" t="str">
        <f ca="1">Centrum!A64</f>
        <v/>
      </c>
      <c r="B64" s="421" t="str">
        <f ca="1">IF(OR($A64="",TYPE(VLOOKUP($A64,Centrum!$D$3:$M$130,10,0))&gt;3),"",VLOOKUP(VLOOKUP(A64,Centrum!$D$3:$M$130,10,0),Centrum!$A$3:$CB$130,B$132,0))</f>
        <v/>
      </c>
      <c r="C64" s="318" t="str">
        <f ca="1">IF(OR($A64="",TYPE(VLOOKUP($A64,Centrum!$D$3:$M$130,10,0))&gt;3),"",VLOOKUP($A64,Centrum!$D$3:$M$130,10,0))</f>
        <v/>
      </c>
      <c r="E64" s="318" t="str">
        <f ca="1">IF(OR($A64="",TYPE(VLOOKUP($A64,Centrum!$D$3:$M$130,10,0))&gt;3),"",VLOOKUP(VLOOKUP($A64,Centrum!$D$3:$M$130,10,0),Centrum!$A$3:$CB$130,E$132,0))</f>
        <v/>
      </c>
      <c r="F64" s="318" t="str">
        <f ca="1">IF(OR($A64="",TYPE(VLOOKUP($A64,Centrum!$D$3:$M$130,10,0))&gt;3),"",VLOOKUP(VLOOKUP($A64,Centrum!$D$3:$M$130,10,0),Centrum!$A$3:$CB$130,F$132,0))</f>
        <v/>
      </c>
      <c r="G64" s="318" t="str">
        <f ca="1">IF(OR($A64="",TYPE(VLOOKUP($A64,Centrum!$D$3:$M$130,10,0))&gt;3),"",VLOOKUP(VLOOKUP($A64,Centrum!$D$3:$M$130,10,0),Centrum!$A$3:$CB$130,G$132,0))</f>
        <v/>
      </c>
      <c r="H64" s="318" t="str">
        <f ca="1">IF($A64="","",VLOOKUP(VLOOKUP($A64,Centrum!$D$3:$M$130,10,0),Centrum!$A$3:$CB$130,H$132,0))</f>
        <v/>
      </c>
      <c r="I64" s="318" t="str">
        <f ca="1">IF($A64="","",VLOOKUP(VLOOKUP($A64,Centrum!$D$3:$M$130,10,0),Centrum!$A$3:$CB$130,I$132,0))</f>
        <v/>
      </c>
      <c r="J64" s="318" t="str">
        <f ca="1">IF(OR($A64="",TYPE(VLOOKUP($A64,Centrum!$D$3:$M$130,10,0))&gt;3),"",VLOOKUP(VLOOKUP($A64,Centrum!$D$3:$M$130,10,0),Centrum!$A$3:$CB$130,J$132,0))</f>
        <v/>
      </c>
      <c r="L64" s="318" t="str">
        <f ca="1">IF(OR($A64="",TYPE(VLOOKUP($A64,Centrum!$D$3:$M$130,10,0))&gt;3),"",VLOOKUP(VLOOKUP($A64,Centrum!$D$3:$M$130,10,0),Centrum!$A$3:$CB$130,L$132,0))</f>
        <v/>
      </c>
      <c r="M64" s="318" t="str">
        <f ca="1">IF(OR($A64="",TYPE(VLOOKUP($A64,Centrum!$D$3:$M$130,10,0))&gt;3),"",VLOOKUP(VLOOKUP($A64,Centrum!$D$3:$M$130,10,0),Centrum!$A$3:$CB$130,M$132,0))</f>
        <v/>
      </c>
      <c r="N64" s="318" t="str">
        <f ca="1">IF(OR($A64="",TYPE(VLOOKUP($A64,Centrum!$D$3:$M$130,10,0))&gt;3),"",VLOOKUP(VLOOKUP($A64,Centrum!$D$3:$M$130,10,0),Centrum!$A$3:$CB$130,N$132,0))</f>
        <v/>
      </c>
      <c r="O64" s="318" t="str">
        <f ca="1">IF(OR($A64="",TYPE(VLOOKUP($A64,Centrum!$D$3:$M$130,10,0))&gt;3),"",VLOOKUP(VLOOKUP($A64,Centrum!$D$3:$M$130,10,0),Centrum!$A$3:$CB$130,O$132,0))</f>
        <v/>
      </c>
      <c r="P64" s="318" t="str">
        <f ca="1">IF(OR($A64="",TYPE(VLOOKUP($A64,Centrum!$D$3:$M$130,10,0))&gt;3),"",VLOOKUP(VLOOKUP($A64,Centrum!$D$3:$M$130,10,0),Centrum!$A$3:$CB$130,P$132,0))</f>
        <v/>
      </c>
      <c r="Q64" s="318" t="str">
        <f ca="1">IF(OR($A64="",TYPE(VLOOKUP($A64,Centrum!$D$3:$M$130,10,0))&gt;3),"",VLOOKUP(VLOOKUP($A64,Centrum!$D$3:$M$130,10,0),Centrum!$A$3:$CB$130,Q$132,0))</f>
        <v/>
      </c>
      <c r="S64" s="318" t="str">
        <f ca="1">IF(OR($A64="",TYPE(VLOOKUP($A64,Centrum!$D$3:$M$130,10,0))&gt;3),"",VLOOKUP(VLOOKUP($A64,Centrum!$D$3:$M$130,10,0),Centrum!$A$3:$CB$130,S$132,0))</f>
        <v/>
      </c>
      <c r="T64" s="318" t="str">
        <f ca="1">IF(OR($A64="",TYPE(VLOOKUP($A64,Centrum!$D$3:$M$130,10,0))&gt;3),"",VLOOKUP(VLOOKUP($A64,Centrum!$D$3:$M$130,10,0),Centrum!$A$3:$CB$130,T$132,0))</f>
        <v/>
      </c>
      <c r="U64" s="318" t="str">
        <f ca="1">IF(OR($A64="",TYPE(VLOOKUP($A64,Centrum!$D$3:$M$130,10,0))&gt;3),"",VLOOKUP(VLOOKUP($A64,Centrum!$D$3:$M$130,10,0),Centrum!$A$3:$CB$130,U$132,0))</f>
        <v/>
      </c>
      <c r="AB64" s="318" t="str">
        <f ca="1">IF(OR($A64="",TYPE(VLOOKUP($A64,Centrum!$D$3:$M$130,10,0))&gt;3),"",VLOOKUP(VLOOKUP($A64,Centrum!$D$3:$M$130,10,0),Centrum!$A$3:$CB$130,AB$132,0))</f>
        <v/>
      </c>
      <c r="AC64" s="318" t="str">
        <f ca="1">IF(OR($A64="",TYPE(VLOOKUP($A64,Centrum!$D$3:$M$130,10,0))&gt;3),"",VLOOKUP(VLOOKUP($A64,Centrum!$D$3:$M$130,10,0),Centrum!$A$3:$CB$130,AC$132,0))</f>
        <v/>
      </c>
      <c r="AD64" s="318" t="str">
        <f ca="1">IF(OR($A64="",TYPE(VLOOKUP($A64,Centrum!$D$3:$M$130,10,0))&gt;3),"",VLOOKUP(VLOOKUP($A64,Centrum!$D$3:$M$130,10,0),Centrum!$A$3:$CB$130,AD$132,0))</f>
        <v/>
      </c>
      <c r="AK64" s="318" t="str">
        <f ca="1">IF(OR($A64="",TYPE(VLOOKUP($A64,Centrum!$D$3:$M$130,10,0))&gt;3),"",VLOOKUP(VLOOKUP($A64,Centrum!$D$3:$M$130,10,0),Centrum!$A$3:$CB$130,AK$132,0))</f>
        <v/>
      </c>
      <c r="AL64" s="318" t="str">
        <f ca="1">IF(OR($A64="",TYPE(VLOOKUP($A64,Centrum!$D$3:$M$130,10,0))&gt;3),"",VLOOKUP(VLOOKUP($A64,Centrum!$D$3:$M$130,10,0),Centrum!$A$3:$CB$130,AL$132,0))</f>
        <v/>
      </c>
      <c r="AM64" s="318" t="str">
        <f ca="1">IF(OR($A64="",TYPE(VLOOKUP($A64,Centrum!$D$3:$M$130,10,0))&gt;3),"",VLOOKUP(VLOOKUP($A64,Centrum!$D$3:$M$130,10,0),Centrum!$A$3:$CB$130,AM$132,0))</f>
        <v/>
      </c>
      <c r="AT64" s="318" t="str">
        <f ca="1">IF(OR(OR($A64="",TYPE(VLOOKUP($A64,Centrum!$D$3:$M$130,10,0))&gt;3),$A$1&lt;4),"",VLOOKUP(VLOOKUP($A64,Centrum!$D$3:$M$130,10,0),Centrum!$A$3:$CB$130,AT$132,0))</f>
        <v/>
      </c>
      <c r="AU64" s="318" t="str">
        <f ca="1">IF(OR(OR($A64="",TYPE(VLOOKUP($A64,Centrum!$D$3:$M$130,10,0))&gt;3),$A$1&lt;4),"",VLOOKUP(VLOOKUP($A64,Centrum!$D$3:$M$130,10,0),Centrum!$A$3:$CB$130,AU$132,0))</f>
        <v/>
      </c>
      <c r="AV64" s="318" t="str">
        <f ca="1">IF(OR(OR($A64="",TYPE(VLOOKUP($A64,Centrum!$D$3:$M$130,10,0))&gt;3),$A$1&lt;4),"",VLOOKUP(VLOOKUP($A64,Centrum!$D$3:$M$130,10,0),Centrum!$A$3:$CB$130,AV$132,0))</f>
        <v/>
      </c>
      <c r="BC64" s="318" t="str">
        <f ca="1">IF(OR(OR($A64="",TYPE(VLOOKUP($A64,Centrum!$D$3:$M$130,10,0))&gt;3),$A$1&lt;5),"",VLOOKUP(VLOOKUP($A64,Centrum!$D$3:$M$130,10,0),Centrum!$A$3:$CB$130,BC$132,0))</f>
        <v/>
      </c>
      <c r="BD64" s="318" t="str">
        <f ca="1">IF(OR(OR($A64="",TYPE(VLOOKUP($A64,Centrum!$D$3:$M$130,10,0))&gt;3),$A$1&lt;5),"",VLOOKUP(VLOOKUP($A64,Centrum!$D$3:$M$130,10,0),Centrum!$A$3:$CB$130,BD$132,0))</f>
        <v/>
      </c>
      <c r="BE64" s="318" t="str">
        <f ca="1">IF(OR(OR($A64="",TYPE(VLOOKUP($A64,Centrum!$D$3:$M$130,10,0))&gt;3),$A$1&lt;5),"",VLOOKUP(VLOOKUP($A64,Centrum!$D$3:$M$130,10,0),Centrum!$A$3:$CB$130,BE$132,0))</f>
        <v/>
      </c>
      <c r="BL64" s="318" t="str">
        <f ca="1">IF(OR(OR($A64="",TYPE(VLOOKUP($A64,Centrum!$D$3:$M$130,10,0))&gt;3),$A$1&lt;6),"",VLOOKUP(VLOOKUP($A64,Centrum!$D$3:$M$130,10,0),Centrum!$A$3:$CB$130,BL$132,0))</f>
        <v/>
      </c>
      <c r="BM64" s="318" t="str">
        <f ca="1">IF(OR(OR($A64="",TYPE(VLOOKUP($A64,Centrum!$D$3:$M$130,10,0))&gt;3),$A$1&lt;6),"",VLOOKUP(VLOOKUP($A64,Centrum!$D$3:$M$130,10,0),Centrum!$A$3:$CB$130,BM$132,0))</f>
        <v/>
      </c>
      <c r="BN64" s="318" t="str">
        <f ca="1">IF(OR(OR($A64="",TYPE(VLOOKUP($A64,Centrum!$D$3:$M$130,10,0))&gt;3),$A$1&lt;6),"",VLOOKUP(VLOOKUP($A64,Centrum!$D$3:$M$130,10,0),Centrum!$A$3:$CB$130,BN$132,0))</f>
        <v/>
      </c>
    </row>
    <row r="65" spans="1:66" x14ac:dyDescent="0.4">
      <c r="A65" s="318" t="str">
        <f ca="1">Centrum!A65</f>
        <v/>
      </c>
      <c r="B65" s="421" t="str">
        <f ca="1">IF(OR($A65="",TYPE(VLOOKUP($A65,Centrum!$D$3:$M$130,10,0))&gt;3),"",VLOOKUP(VLOOKUP(A65,Centrum!$D$3:$M$130,10,0),Centrum!$A$3:$CB$130,B$132,0))</f>
        <v/>
      </c>
      <c r="C65" s="318" t="str">
        <f ca="1">IF(OR($A65="",TYPE(VLOOKUP($A65,Centrum!$D$3:$M$130,10,0))&gt;3),"",VLOOKUP($A65,Centrum!$D$3:$M$130,10,0))</f>
        <v/>
      </c>
      <c r="E65" s="318" t="str">
        <f ca="1">IF(OR($A65="",TYPE(VLOOKUP($A65,Centrum!$D$3:$M$130,10,0))&gt;3),"",VLOOKUP(VLOOKUP($A65,Centrum!$D$3:$M$130,10,0),Centrum!$A$3:$CB$130,E$132,0))</f>
        <v/>
      </c>
      <c r="F65" s="318" t="str">
        <f ca="1">IF(OR($A65="",TYPE(VLOOKUP($A65,Centrum!$D$3:$M$130,10,0))&gt;3),"",VLOOKUP(VLOOKUP($A65,Centrum!$D$3:$M$130,10,0),Centrum!$A$3:$CB$130,F$132,0))</f>
        <v/>
      </c>
      <c r="G65" s="318" t="str">
        <f ca="1">IF(OR($A65="",TYPE(VLOOKUP($A65,Centrum!$D$3:$M$130,10,0))&gt;3),"",VLOOKUP(VLOOKUP($A65,Centrum!$D$3:$M$130,10,0),Centrum!$A$3:$CB$130,G$132,0))</f>
        <v/>
      </c>
      <c r="H65" s="318" t="str">
        <f ca="1">IF($A65="","",VLOOKUP(VLOOKUP($A65,Centrum!$D$3:$M$130,10,0),Centrum!$A$3:$CB$130,H$132,0))</f>
        <v/>
      </c>
      <c r="I65" s="318" t="str">
        <f ca="1">IF($A65="","",VLOOKUP(VLOOKUP($A65,Centrum!$D$3:$M$130,10,0),Centrum!$A$3:$CB$130,I$132,0))</f>
        <v/>
      </c>
      <c r="J65" s="318" t="str">
        <f ca="1">IF(OR($A65="",TYPE(VLOOKUP($A65,Centrum!$D$3:$M$130,10,0))&gt;3),"",VLOOKUP(VLOOKUP($A65,Centrum!$D$3:$M$130,10,0),Centrum!$A$3:$CB$130,J$132,0))</f>
        <v/>
      </c>
      <c r="L65" s="318" t="str">
        <f ca="1">IF(OR($A65="",TYPE(VLOOKUP($A65,Centrum!$D$3:$M$130,10,0))&gt;3),"",VLOOKUP(VLOOKUP($A65,Centrum!$D$3:$M$130,10,0),Centrum!$A$3:$CB$130,L$132,0))</f>
        <v/>
      </c>
      <c r="M65" s="318" t="str">
        <f ca="1">IF(OR($A65="",TYPE(VLOOKUP($A65,Centrum!$D$3:$M$130,10,0))&gt;3),"",VLOOKUP(VLOOKUP($A65,Centrum!$D$3:$M$130,10,0),Centrum!$A$3:$CB$130,M$132,0))</f>
        <v/>
      </c>
      <c r="N65" s="318" t="str">
        <f ca="1">IF(OR($A65="",TYPE(VLOOKUP($A65,Centrum!$D$3:$M$130,10,0))&gt;3),"",VLOOKUP(VLOOKUP($A65,Centrum!$D$3:$M$130,10,0),Centrum!$A$3:$CB$130,N$132,0))</f>
        <v/>
      </c>
      <c r="O65" s="318" t="str">
        <f ca="1">IF(OR($A65="",TYPE(VLOOKUP($A65,Centrum!$D$3:$M$130,10,0))&gt;3),"",VLOOKUP(VLOOKUP($A65,Centrum!$D$3:$M$130,10,0),Centrum!$A$3:$CB$130,O$132,0))</f>
        <v/>
      </c>
      <c r="P65" s="318" t="str">
        <f ca="1">IF(OR($A65="",TYPE(VLOOKUP($A65,Centrum!$D$3:$M$130,10,0))&gt;3),"",VLOOKUP(VLOOKUP($A65,Centrum!$D$3:$M$130,10,0),Centrum!$A$3:$CB$130,P$132,0))</f>
        <v/>
      </c>
      <c r="Q65" s="318" t="str">
        <f ca="1">IF(OR($A65="",TYPE(VLOOKUP($A65,Centrum!$D$3:$M$130,10,0))&gt;3),"",VLOOKUP(VLOOKUP($A65,Centrum!$D$3:$M$130,10,0),Centrum!$A$3:$CB$130,Q$132,0))</f>
        <v/>
      </c>
      <c r="S65" s="318" t="str">
        <f ca="1">IF(OR($A65="",TYPE(VLOOKUP($A65,Centrum!$D$3:$M$130,10,0))&gt;3),"",VLOOKUP(VLOOKUP($A65,Centrum!$D$3:$M$130,10,0),Centrum!$A$3:$CB$130,S$132,0))</f>
        <v/>
      </c>
      <c r="T65" s="318" t="str">
        <f ca="1">IF(OR($A65="",TYPE(VLOOKUP($A65,Centrum!$D$3:$M$130,10,0))&gt;3),"",VLOOKUP(VLOOKUP($A65,Centrum!$D$3:$M$130,10,0),Centrum!$A$3:$CB$130,T$132,0))</f>
        <v/>
      </c>
      <c r="U65" s="318" t="str">
        <f ca="1">IF(OR($A65="",TYPE(VLOOKUP($A65,Centrum!$D$3:$M$130,10,0))&gt;3),"",VLOOKUP(VLOOKUP($A65,Centrum!$D$3:$M$130,10,0),Centrum!$A$3:$CB$130,U$132,0))</f>
        <v/>
      </c>
      <c r="AB65" s="318" t="str">
        <f ca="1">IF(OR($A65="",TYPE(VLOOKUP($A65,Centrum!$D$3:$M$130,10,0))&gt;3),"",VLOOKUP(VLOOKUP($A65,Centrum!$D$3:$M$130,10,0),Centrum!$A$3:$CB$130,AB$132,0))</f>
        <v/>
      </c>
      <c r="AC65" s="318" t="str">
        <f ca="1">IF(OR($A65="",TYPE(VLOOKUP($A65,Centrum!$D$3:$M$130,10,0))&gt;3),"",VLOOKUP(VLOOKUP($A65,Centrum!$D$3:$M$130,10,0),Centrum!$A$3:$CB$130,AC$132,0))</f>
        <v/>
      </c>
      <c r="AD65" s="318" t="str">
        <f ca="1">IF(OR($A65="",TYPE(VLOOKUP($A65,Centrum!$D$3:$M$130,10,0))&gt;3),"",VLOOKUP(VLOOKUP($A65,Centrum!$D$3:$M$130,10,0),Centrum!$A$3:$CB$130,AD$132,0))</f>
        <v/>
      </c>
      <c r="AK65" s="318" t="str">
        <f ca="1">IF(OR($A65="",TYPE(VLOOKUP($A65,Centrum!$D$3:$M$130,10,0))&gt;3),"",VLOOKUP(VLOOKUP($A65,Centrum!$D$3:$M$130,10,0),Centrum!$A$3:$CB$130,AK$132,0))</f>
        <v/>
      </c>
      <c r="AL65" s="318" t="str">
        <f ca="1">IF(OR($A65="",TYPE(VLOOKUP($A65,Centrum!$D$3:$M$130,10,0))&gt;3),"",VLOOKUP(VLOOKUP($A65,Centrum!$D$3:$M$130,10,0),Centrum!$A$3:$CB$130,AL$132,0))</f>
        <v/>
      </c>
      <c r="AM65" s="318" t="str">
        <f ca="1">IF(OR($A65="",TYPE(VLOOKUP($A65,Centrum!$D$3:$M$130,10,0))&gt;3),"",VLOOKUP(VLOOKUP($A65,Centrum!$D$3:$M$130,10,0),Centrum!$A$3:$CB$130,AM$132,0))</f>
        <v/>
      </c>
      <c r="AT65" s="318" t="str">
        <f ca="1">IF(OR(OR($A65="",TYPE(VLOOKUP($A65,Centrum!$D$3:$M$130,10,0))&gt;3),$A$1&lt;4),"",VLOOKUP(VLOOKUP($A65,Centrum!$D$3:$M$130,10,0),Centrum!$A$3:$CB$130,AT$132,0))</f>
        <v/>
      </c>
      <c r="AU65" s="318" t="str">
        <f ca="1">IF(OR(OR($A65="",TYPE(VLOOKUP($A65,Centrum!$D$3:$M$130,10,0))&gt;3),$A$1&lt;4),"",VLOOKUP(VLOOKUP($A65,Centrum!$D$3:$M$130,10,0),Centrum!$A$3:$CB$130,AU$132,0))</f>
        <v/>
      </c>
      <c r="AV65" s="318" t="str">
        <f ca="1">IF(OR(OR($A65="",TYPE(VLOOKUP($A65,Centrum!$D$3:$M$130,10,0))&gt;3),$A$1&lt;4),"",VLOOKUP(VLOOKUP($A65,Centrum!$D$3:$M$130,10,0),Centrum!$A$3:$CB$130,AV$132,0))</f>
        <v/>
      </c>
      <c r="BC65" s="318" t="str">
        <f ca="1">IF(OR(OR($A65="",TYPE(VLOOKUP($A65,Centrum!$D$3:$M$130,10,0))&gt;3),$A$1&lt;5),"",VLOOKUP(VLOOKUP($A65,Centrum!$D$3:$M$130,10,0),Centrum!$A$3:$CB$130,BC$132,0))</f>
        <v/>
      </c>
      <c r="BD65" s="318" t="str">
        <f ca="1">IF(OR(OR($A65="",TYPE(VLOOKUP($A65,Centrum!$D$3:$M$130,10,0))&gt;3),$A$1&lt;5),"",VLOOKUP(VLOOKUP($A65,Centrum!$D$3:$M$130,10,0),Centrum!$A$3:$CB$130,BD$132,0))</f>
        <v/>
      </c>
      <c r="BE65" s="318" t="str">
        <f ca="1">IF(OR(OR($A65="",TYPE(VLOOKUP($A65,Centrum!$D$3:$M$130,10,0))&gt;3),$A$1&lt;5),"",VLOOKUP(VLOOKUP($A65,Centrum!$D$3:$M$130,10,0),Centrum!$A$3:$CB$130,BE$132,0))</f>
        <v/>
      </c>
      <c r="BL65" s="318" t="str">
        <f ca="1">IF(OR(OR($A65="",TYPE(VLOOKUP($A65,Centrum!$D$3:$M$130,10,0))&gt;3),$A$1&lt;6),"",VLOOKUP(VLOOKUP($A65,Centrum!$D$3:$M$130,10,0),Centrum!$A$3:$CB$130,BL$132,0))</f>
        <v/>
      </c>
      <c r="BM65" s="318" t="str">
        <f ca="1">IF(OR(OR($A65="",TYPE(VLOOKUP($A65,Centrum!$D$3:$M$130,10,0))&gt;3),$A$1&lt;6),"",VLOOKUP(VLOOKUP($A65,Centrum!$D$3:$M$130,10,0),Centrum!$A$3:$CB$130,BM$132,0))</f>
        <v/>
      </c>
      <c r="BN65" s="318" t="str">
        <f ca="1">IF(OR(OR($A65="",TYPE(VLOOKUP($A65,Centrum!$D$3:$M$130,10,0))&gt;3),$A$1&lt;6),"",VLOOKUP(VLOOKUP($A65,Centrum!$D$3:$M$130,10,0),Centrum!$A$3:$CB$130,BN$132,0))</f>
        <v/>
      </c>
    </row>
    <row r="66" spans="1:66" x14ac:dyDescent="0.4">
      <c r="A66" s="318" t="str">
        <f ca="1">Centrum!A66</f>
        <v/>
      </c>
      <c r="B66" s="421" t="str">
        <f ca="1">IF(OR($A66="",TYPE(VLOOKUP($A66,Centrum!$D$3:$M$130,10,0))&gt;3),"",VLOOKUP(VLOOKUP(A66,Centrum!$D$3:$M$130,10,0),Centrum!$A$3:$CB$130,B$132,0))</f>
        <v/>
      </c>
      <c r="C66" s="318" t="str">
        <f ca="1">IF(OR($A66="",TYPE(VLOOKUP($A66,Centrum!$D$3:$M$130,10,0))&gt;3),"",VLOOKUP($A66,Centrum!$D$3:$M$130,10,0))</f>
        <v/>
      </c>
      <c r="E66" s="318" t="str">
        <f ca="1">IF(OR($A66="",TYPE(VLOOKUP($A66,Centrum!$D$3:$M$130,10,0))&gt;3),"",VLOOKUP(VLOOKUP($A66,Centrum!$D$3:$M$130,10,0),Centrum!$A$3:$CB$130,E$132,0))</f>
        <v/>
      </c>
      <c r="F66" s="318" t="str">
        <f ca="1">IF(OR($A66="",TYPE(VLOOKUP($A66,Centrum!$D$3:$M$130,10,0))&gt;3),"",VLOOKUP(VLOOKUP($A66,Centrum!$D$3:$M$130,10,0),Centrum!$A$3:$CB$130,F$132,0))</f>
        <v/>
      </c>
      <c r="G66" s="318" t="str">
        <f ca="1">IF(OR($A66="",TYPE(VLOOKUP($A66,Centrum!$D$3:$M$130,10,0))&gt;3),"",VLOOKUP(VLOOKUP($A66,Centrum!$D$3:$M$130,10,0),Centrum!$A$3:$CB$130,G$132,0))</f>
        <v/>
      </c>
      <c r="H66" s="318" t="str">
        <f ca="1">IF($A66="","",VLOOKUP(VLOOKUP($A66,Centrum!$D$3:$M$130,10,0),Centrum!$A$3:$CB$130,H$132,0))</f>
        <v/>
      </c>
      <c r="I66" s="318" t="str">
        <f ca="1">IF($A66="","",VLOOKUP(VLOOKUP($A66,Centrum!$D$3:$M$130,10,0),Centrum!$A$3:$CB$130,I$132,0))</f>
        <v/>
      </c>
      <c r="J66" s="318" t="str">
        <f ca="1">IF(OR($A66="",TYPE(VLOOKUP($A66,Centrum!$D$3:$M$130,10,0))&gt;3),"",VLOOKUP(VLOOKUP($A66,Centrum!$D$3:$M$130,10,0),Centrum!$A$3:$CB$130,J$132,0))</f>
        <v/>
      </c>
      <c r="L66" s="318" t="str">
        <f ca="1">IF(OR($A66="",TYPE(VLOOKUP($A66,Centrum!$D$3:$M$130,10,0))&gt;3),"",VLOOKUP(VLOOKUP($A66,Centrum!$D$3:$M$130,10,0),Centrum!$A$3:$CB$130,L$132,0))</f>
        <v/>
      </c>
      <c r="M66" s="318" t="str">
        <f ca="1">IF(OR($A66="",TYPE(VLOOKUP($A66,Centrum!$D$3:$M$130,10,0))&gt;3),"",VLOOKUP(VLOOKUP($A66,Centrum!$D$3:$M$130,10,0),Centrum!$A$3:$CB$130,M$132,0))</f>
        <v/>
      </c>
      <c r="N66" s="318" t="str">
        <f ca="1">IF(OR($A66="",TYPE(VLOOKUP($A66,Centrum!$D$3:$M$130,10,0))&gt;3),"",VLOOKUP(VLOOKUP($A66,Centrum!$D$3:$M$130,10,0),Centrum!$A$3:$CB$130,N$132,0))</f>
        <v/>
      </c>
      <c r="O66" s="318" t="str">
        <f ca="1">IF(OR($A66="",TYPE(VLOOKUP($A66,Centrum!$D$3:$M$130,10,0))&gt;3),"",VLOOKUP(VLOOKUP($A66,Centrum!$D$3:$M$130,10,0),Centrum!$A$3:$CB$130,O$132,0))</f>
        <v/>
      </c>
      <c r="P66" s="318" t="str">
        <f ca="1">IF(OR($A66="",TYPE(VLOOKUP($A66,Centrum!$D$3:$M$130,10,0))&gt;3),"",VLOOKUP(VLOOKUP($A66,Centrum!$D$3:$M$130,10,0),Centrum!$A$3:$CB$130,P$132,0))</f>
        <v/>
      </c>
      <c r="Q66" s="318" t="str">
        <f ca="1">IF(OR($A66="",TYPE(VLOOKUP($A66,Centrum!$D$3:$M$130,10,0))&gt;3),"",VLOOKUP(VLOOKUP($A66,Centrum!$D$3:$M$130,10,0),Centrum!$A$3:$CB$130,Q$132,0))</f>
        <v/>
      </c>
      <c r="S66" s="318" t="str">
        <f ca="1">IF(OR($A66="",TYPE(VLOOKUP($A66,Centrum!$D$3:$M$130,10,0))&gt;3),"",VLOOKUP(VLOOKUP($A66,Centrum!$D$3:$M$130,10,0),Centrum!$A$3:$CB$130,S$132,0))</f>
        <v/>
      </c>
      <c r="T66" s="318" t="str">
        <f ca="1">IF(OR($A66="",TYPE(VLOOKUP($A66,Centrum!$D$3:$M$130,10,0))&gt;3),"",VLOOKUP(VLOOKUP($A66,Centrum!$D$3:$M$130,10,0),Centrum!$A$3:$CB$130,T$132,0))</f>
        <v/>
      </c>
      <c r="U66" s="318" t="str">
        <f ca="1">IF(OR($A66="",TYPE(VLOOKUP($A66,Centrum!$D$3:$M$130,10,0))&gt;3),"",VLOOKUP(VLOOKUP($A66,Centrum!$D$3:$M$130,10,0),Centrum!$A$3:$CB$130,U$132,0))</f>
        <v/>
      </c>
      <c r="AB66" s="318" t="str">
        <f ca="1">IF(OR($A66="",TYPE(VLOOKUP($A66,Centrum!$D$3:$M$130,10,0))&gt;3),"",VLOOKUP(VLOOKUP($A66,Centrum!$D$3:$M$130,10,0),Centrum!$A$3:$CB$130,AB$132,0))</f>
        <v/>
      </c>
      <c r="AC66" s="318" t="str">
        <f ca="1">IF(OR($A66="",TYPE(VLOOKUP($A66,Centrum!$D$3:$M$130,10,0))&gt;3),"",VLOOKUP(VLOOKUP($A66,Centrum!$D$3:$M$130,10,0),Centrum!$A$3:$CB$130,AC$132,0))</f>
        <v/>
      </c>
      <c r="AD66" s="318" t="str">
        <f ca="1">IF(OR($A66="",TYPE(VLOOKUP($A66,Centrum!$D$3:$M$130,10,0))&gt;3),"",VLOOKUP(VLOOKUP($A66,Centrum!$D$3:$M$130,10,0),Centrum!$A$3:$CB$130,AD$132,0))</f>
        <v/>
      </c>
      <c r="AK66" s="318" t="str">
        <f ca="1">IF(OR($A66="",TYPE(VLOOKUP($A66,Centrum!$D$3:$M$130,10,0))&gt;3),"",VLOOKUP(VLOOKUP($A66,Centrum!$D$3:$M$130,10,0),Centrum!$A$3:$CB$130,AK$132,0))</f>
        <v/>
      </c>
      <c r="AL66" s="318" t="str">
        <f ca="1">IF(OR($A66="",TYPE(VLOOKUP($A66,Centrum!$D$3:$M$130,10,0))&gt;3),"",VLOOKUP(VLOOKUP($A66,Centrum!$D$3:$M$130,10,0),Centrum!$A$3:$CB$130,AL$132,0))</f>
        <v/>
      </c>
      <c r="AM66" s="318" t="str">
        <f ca="1">IF(OR($A66="",TYPE(VLOOKUP($A66,Centrum!$D$3:$M$130,10,0))&gt;3),"",VLOOKUP(VLOOKUP($A66,Centrum!$D$3:$M$130,10,0),Centrum!$A$3:$CB$130,AM$132,0))</f>
        <v/>
      </c>
      <c r="AT66" s="318" t="str">
        <f ca="1">IF(OR(OR($A66="",TYPE(VLOOKUP($A66,Centrum!$D$3:$M$130,10,0))&gt;3),$A$1&lt;4),"",VLOOKUP(VLOOKUP($A66,Centrum!$D$3:$M$130,10,0),Centrum!$A$3:$CB$130,AT$132,0))</f>
        <v/>
      </c>
      <c r="AU66" s="318" t="str">
        <f ca="1">IF(OR(OR($A66="",TYPE(VLOOKUP($A66,Centrum!$D$3:$M$130,10,0))&gt;3),$A$1&lt;4),"",VLOOKUP(VLOOKUP($A66,Centrum!$D$3:$M$130,10,0),Centrum!$A$3:$CB$130,AU$132,0))</f>
        <v/>
      </c>
      <c r="AV66" s="318" t="str">
        <f ca="1">IF(OR(OR($A66="",TYPE(VLOOKUP($A66,Centrum!$D$3:$M$130,10,0))&gt;3),$A$1&lt;4),"",VLOOKUP(VLOOKUP($A66,Centrum!$D$3:$M$130,10,0),Centrum!$A$3:$CB$130,AV$132,0))</f>
        <v/>
      </c>
      <c r="BC66" s="318" t="str">
        <f ca="1">IF(OR(OR($A66="",TYPE(VLOOKUP($A66,Centrum!$D$3:$M$130,10,0))&gt;3),$A$1&lt;5),"",VLOOKUP(VLOOKUP($A66,Centrum!$D$3:$M$130,10,0),Centrum!$A$3:$CB$130,BC$132,0))</f>
        <v/>
      </c>
      <c r="BD66" s="318" t="str">
        <f ca="1">IF(OR(OR($A66="",TYPE(VLOOKUP($A66,Centrum!$D$3:$M$130,10,0))&gt;3),$A$1&lt;5),"",VLOOKUP(VLOOKUP($A66,Centrum!$D$3:$M$130,10,0),Centrum!$A$3:$CB$130,BD$132,0))</f>
        <v/>
      </c>
      <c r="BE66" s="318" t="str">
        <f ca="1">IF(OR(OR($A66="",TYPE(VLOOKUP($A66,Centrum!$D$3:$M$130,10,0))&gt;3),$A$1&lt;5),"",VLOOKUP(VLOOKUP($A66,Centrum!$D$3:$M$130,10,0),Centrum!$A$3:$CB$130,BE$132,0))</f>
        <v/>
      </c>
      <c r="BL66" s="318" t="str">
        <f ca="1">IF(OR(OR($A66="",TYPE(VLOOKUP($A66,Centrum!$D$3:$M$130,10,0))&gt;3),$A$1&lt;6),"",VLOOKUP(VLOOKUP($A66,Centrum!$D$3:$M$130,10,0),Centrum!$A$3:$CB$130,BL$132,0))</f>
        <v/>
      </c>
      <c r="BM66" s="318" t="str">
        <f ca="1">IF(OR(OR($A66="",TYPE(VLOOKUP($A66,Centrum!$D$3:$M$130,10,0))&gt;3),$A$1&lt;6),"",VLOOKUP(VLOOKUP($A66,Centrum!$D$3:$M$130,10,0),Centrum!$A$3:$CB$130,BM$132,0))</f>
        <v/>
      </c>
      <c r="BN66" s="318" t="str">
        <f ca="1">IF(OR(OR($A66="",TYPE(VLOOKUP($A66,Centrum!$D$3:$M$130,10,0))&gt;3),$A$1&lt;6),"",VLOOKUP(VLOOKUP($A66,Centrum!$D$3:$M$130,10,0),Centrum!$A$3:$CB$130,BN$132,0))</f>
        <v/>
      </c>
    </row>
    <row r="67" spans="1:66" x14ac:dyDescent="0.4">
      <c r="A67" s="318" t="str">
        <f ca="1">Centrum!A67</f>
        <v/>
      </c>
      <c r="B67" s="421" t="str">
        <f ca="1">IF(OR($A67="",TYPE(VLOOKUP($A67,Centrum!$D$3:$M$130,10,0))&gt;3),"",VLOOKUP(VLOOKUP(A67,Centrum!$D$3:$M$130,10,0),Centrum!$A$3:$CB$130,B$132,0))</f>
        <v/>
      </c>
      <c r="C67" s="318" t="str">
        <f ca="1">IF(OR($A67="",TYPE(VLOOKUP($A67,Centrum!$D$3:$M$130,10,0))&gt;3),"",VLOOKUP($A67,Centrum!$D$3:$M$130,10,0))</f>
        <v/>
      </c>
      <c r="E67" s="318" t="str">
        <f ca="1">IF(OR($A67="",TYPE(VLOOKUP($A67,Centrum!$D$3:$M$130,10,0))&gt;3),"",VLOOKUP(VLOOKUP($A67,Centrum!$D$3:$M$130,10,0),Centrum!$A$3:$CB$130,E$132,0))</f>
        <v/>
      </c>
      <c r="F67" s="318" t="str">
        <f ca="1">IF(OR($A67="",TYPE(VLOOKUP($A67,Centrum!$D$3:$M$130,10,0))&gt;3),"",VLOOKUP(VLOOKUP($A67,Centrum!$D$3:$M$130,10,0),Centrum!$A$3:$CB$130,F$132,0))</f>
        <v/>
      </c>
      <c r="G67" s="318" t="str">
        <f ca="1">IF(OR($A67="",TYPE(VLOOKUP($A67,Centrum!$D$3:$M$130,10,0))&gt;3),"",VLOOKUP(VLOOKUP($A67,Centrum!$D$3:$M$130,10,0),Centrum!$A$3:$CB$130,G$132,0))</f>
        <v/>
      </c>
      <c r="H67" s="318" t="str">
        <f ca="1">IF($A67="","",VLOOKUP(VLOOKUP($A67,Centrum!$D$3:$M$130,10,0),Centrum!$A$3:$CB$130,H$132,0))</f>
        <v/>
      </c>
      <c r="I67" s="318" t="str">
        <f ca="1">IF($A67="","",VLOOKUP(VLOOKUP($A67,Centrum!$D$3:$M$130,10,0),Centrum!$A$3:$CB$130,I$132,0))</f>
        <v/>
      </c>
      <c r="J67" s="318" t="str">
        <f ca="1">IF(OR($A67="",TYPE(VLOOKUP($A67,Centrum!$D$3:$M$130,10,0))&gt;3),"",VLOOKUP(VLOOKUP($A67,Centrum!$D$3:$M$130,10,0),Centrum!$A$3:$CB$130,J$132,0))</f>
        <v/>
      </c>
      <c r="L67" s="318" t="str">
        <f ca="1">IF(OR($A67="",TYPE(VLOOKUP($A67,Centrum!$D$3:$M$130,10,0))&gt;3),"",VLOOKUP(VLOOKUP($A67,Centrum!$D$3:$M$130,10,0),Centrum!$A$3:$CB$130,L$132,0))</f>
        <v/>
      </c>
      <c r="M67" s="318" t="str">
        <f ca="1">IF(OR($A67="",TYPE(VLOOKUP($A67,Centrum!$D$3:$M$130,10,0))&gt;3),"",VLOOKUP(VLOOKUP($A67,Centrum!$D$3:$M$130,10,0),Centrum!$A$3:$CB$130,M$132,0))</f>
        <v/>
      </c>
      <c r="N67" s="318" t="str">
        <f ca="1">IF(OR($A67="",TYPE(VLOOKUP($A67,Centrum!$D$3:$M$130,10,0))&gt;3),"",VLOOKUP(VLOOKUP($A67,Centrum!$D$3:$M$130,10,0),Centrum!$A$3:$CB$130,N$132,0))</f>
        <v/>
      </c>
      <c r="O67" s="318" t="str">
        <f ca="1">IF(OR($A67="",TYPE(VLOOKUP($A67,Centrum!$D$3:$M$130,10,0))&gt;3),"",VLOOKUP(VLOOKUP($A67,Centrum!$D$3:$M$130,10,0),Centrum!$A$3:$CB$130,O$132,0))</f>
        <v/>
      </c>
      <c r="P67" s="318" t="str">
        <f ca="1">IF(OR($A67="",TYPE(VLOOKUP($A67,Centrum!$D$3:$M$130,10,0))&gt;3),"",VLOOKUP(VLOOKUP($A67,Centrum!$D$3:$M$130,10,0),Centrum!$A$3:$CB$130,P$132,0))</f>
        <v/>
      </c>
      <c r="Q67" s="318" t="str">
        <f ca="1">IF(OR($A67="",TYPE(VLOOKUP($A67,Centrum!$D$3:$M$130,10,0))&gt;3),"",VLOOKUP(VLOOKUP($A67,Centrum!$D$3:$M$130,10,0),Centrum!$A$3:$CB$130,Q$132,0))</f>
        <v/>
      </c>
      <c r="S67" s="318" t="str">
        <f ca="1">IF(OR($A67="",TYPE(VLOOKUP($A67,Centrum!$D$3:$M$130,10,0))&gt;3),"",VLOOKUP(VLOOKUP($A67,Centrum!$D$3:$M$130,10,0),Centrum!$A$3:$CB$130,S$132,0))</f>
        <v/>
      </c>
      <c r="T67" s="318" t="str">
        <f ca="1">IF(OR($A67="",TYPE(VLOOKUP($A67,Centrum!$D$3:$M$130,10,0))&gt;3),"",VLOOKUP(VLOOKUP($A67,Centrum!$D$3:$M$130,10,0),Centrum!$A$3:$CB$130,T$132,0))</f>
        <v/>
      </c>
      <c r="U67" s="318" t="str">
        <f ca="1">IF(OR($A67="",TYPE(VLOOKUP($A67,Centrum!$D$3:$M$130,10,0))&gt;3),"",VLOOKUP(VLOOKUP($A67,Centrum!$D$3:$M$130,10,0),Centrum!$A$3:$CB$130,U$132,0))</f>
        <v/>
      </c>
      <c r="AB67" s="318" t="str">
        <f ca="1">IF(OR($A67="",TYPE(VLOOKUP($A67,Centrum!$D$3:$M$130,10,0))&gt;3),"",VLOOKUP(VLOOKUP($A67,Centrum!$D$3:$M$130,10,0),Centrum!$A$3:$CB$130,AB$132,0))</f>
        <v/>
      </c>
      <c r="AC67" s="318" t="str">
        <f ca="1">IF(OR($A67="",TYPE(VLOOKUP($A67,Centrum!$D$3:$M$130,10,0))&gt;3),"",VLOOKUP(VLOOKUP($A67,Centrum!$D$3:$M$130,10,0),Centrum!$A$3:$CB$130,AC$132,0))</f>
        <v/>
      </c>
      <c r="AD67" s="318" t="str">
        <f ca="1">IF(OR($A67="",TYPE(VLOOKUP($A67,Centrum!$D$3:$M$130,10,0))&gt;3),"",VLOOKUP(VLOOKUP($A67,Centrum!$D$3:$M$130,10,0),Centrum!$A$3:$CB$130,AD$132,0))</f>
        <v/>
      </c>
      <c r="AK67" s="318" t="str">
        <f ca="1">IF(OR($A67="",TYPE(VLOOKUP($A67,Centrum!$D$3:$M$130,10,0))&gt;3),"",VLOOKUP(VLOOKUP($A67,Centrum!$D$3:$M$130,10,0),Centrum!$A$3:$CB$130,AK$132,0))</f>
        <v/>
      </c>
      <c r="AL67" s="318" t="str">
        <f ca="1">IF(OR($A67="",TYPE(VLOOKUP($A67,Centrum!$D$3:$M$130,10,0))&gt;3),"",VLOOKUP(VLOOKUP($A67,Centrum!$D$3:$M$130,10,0),Centrum!$A$3:$CB$130,AL$132,0))</f>
        <v/>
      </c>
      <c r="AM67" s="318" t="str">
        <f ca="1">IF(OR($A67="",TYPE(VLOOKUP($A67,Centrum!$D$3:$M$130,10,0))&gt;3),"",VLOOKUP(VLOOKUP($A67,Centrum!$D$3:$M$130,10,0),Centrum!$A$3:$CB$130,AM$132,0))</f>
        <v/>
      </c>
      <c r="AT67" s="318" t="str">
        <f ca="1">IF(OR(OR($A67="",TYPE(VLOOKUP($A67,Centrum!$D$3:$M$130,10,0))&gt;3),$A$1&lt;4),"",VLOOKUP(VLOOKUP($A67,Centrum!$D$3:$M$130,10,0),Centrum!$A$3:$CB$130,AT$132,0))</f>
        <v/>
      </c>
      <c r="AU67" s="318" t="str">
        <f ca="1">IF(OR(OR($A67="",TYPE(VLOOKUP($A67,Centrum!$D$3:$M$130,10,0))&gt;3),$A$1&lt;4),"",VLOOKUP(VLOOKUP($A67,Centrum!$D$3:$M$130,10,0),Centrum!$A$3:$CB$130,AU$132,0))</f>
        <v/>
      </c>
      <c r="AV67" s="318" t="str">
        <f ca="1">IF(OR(OR($A67="",TYPE(VLOOKUP($A67,Centrum!$D$3:$M$130,10,0))&gt;3),$A$1&lt;4),"",VLOOKUP(VLOOKUP($A67,Centrum!$D$3:$M$130,10,0),Centrum!$A$3:$CB$130,AV$132,0))</f>
        <v/>
      </c>
      <c r="BC67" s="318" t="str">
        <f ca="1">IF(OR(OR($A67="",TYPE(VLOOKUP($A67,Centrum!$D$3:$M$130,10,0))&gt;3),$A$1&lt;5),"",VLOOKUP(VLOOKUP($A67,Centrum!$D$3:$M$130,10,0),Centrum!$A$3:$CB$130,BC$132,0))</f>
        <v/>
      </c>
      <c r="BD67" s="318" t="str">
        <f ca="1">IF(OR(OR($A67="",TYPE(VLOOKUP($A67,Centrum!$D$3:$M$130,10,0))&gt;3),$A$1&lt;5),"",VLOOKUP(VLOOKUP($A67,Centrum!$D$3:$M$130,10,0),Centrum!$A$3:$CB$130,BD$132,0))</f>
        <v/>
      </c>
      <c r="BE67" s="318" t="str">
        <f ca="1">IF(OR(OR($A67="",TYPE(VLOOKUP($A67,Centrum!$D$3:$M$130,10,0))&gt;3),$A$1&lt;5),"",VLOOKUP(VLOOKUP($A67,Centrum!$D$3:$M$130,10,0),Centrum!$A$3:$CB$130,BE$132,0))</f>
        <v/>
      </c>
      <c r="BL67" s="318" t="str">
        <f ca="1">IF(OR(OR($A67="",TYPE(VLOOKUP($A67,Centrum!$D$3:$M$130,10,0))&gt;3),$A$1&lt;6),"",VLOOKUP(VLOOKUP($A67,Centrum!$D$3:$M$130,10,0),Centrum!$A$3:$CB$130,BL$132,0))</f>
        <v/>
      </c>
      <c r="BM67" s="318" t="str">
        <f ca="1">IF(OR(OR($A67="",TYPE(VLOOKUP($A67,Centrum!$D$3:$M$130,10,0))&gt;3),$A$1&lt;6),"",VLOOKUP(VLOOKUP($A67,Centrum!$D$3:$M$130,10,0),Centrum!$A$3:$CB$130,BM$132,0))</f>
        <v/>
      </c>
      <c r="BN67" s="318" t="str">
        <f ca="1">IF(OR(OR($A67="",TYPE(VLOOKUP($A67,Centrum!$D$3:$M$130,10,0))&gt;3),$A$1&lt;6),"",VLOOKUP(VLOOKUP($A67,Centrum!$D$3:$M$130,10,0),Centrum!$A$3:$CB$130,BN$132,0))</f>
        <v/>
      </c>
    </row>
    <row r="68" spans="1:66" x14ac:dyDescent="0.4">
      <c r="A68" s="318" t="str">
        <f ca="1">Centrum!A68</f>
        <v/>
      </c>
      <c r="B68" s="421" t="str">
        <f ca="1">IF(OR($A68="",TYPE(VLOOKUP($A68,Centrum!$D$3:$M$130,10,0))&gt;3),"",VLOOKUP(VLOOKUP(A68,Centrum!$D$3:$M$130,10,0),Centrum!$A$3:$CB$130,B$132,0))</f>
        <v/>
      </c>
      <c r="C68" s="318" t="str">
        <f ca="1">IF(OR($A68="",TYPE(VLOOKUP($A68,Centrum!$D$3:$M$130,10,0))&gt;3),"",VLOOKUP($A68,Centrum!$D$3:$M$130,10,0))</f>
        <v/>
      </c>
      <c r="E68" s="318" t="str">
        <f ca="1">IF(OR($A68="",TYPE(VLOOKUP($A68,Centrum!$D$3:$M$130,10,0))&gt;3),"",VLOOKUP(VLOOKUP($A68,Centrum!$D$3:$M$130,10,0),Centrum!$A$3:$CB$130,E$132,0))</f>
        <v/>
      </c>
      <c r="F68" s="318" t="str">
        <f ca="1">IF(OR($A68="",TYPE(VLOOKUP($A68,Centrum!$D$3:$M$130,10,0))&gt;3),"",VLOOKUP(VLOOKUP($A68,Centrum!$D$3:$M$130,10,0),Centrum!$A$3:$CB$130,F$132,0))</f>
        <v/>
      </c>
      <c r="G68" s="318" t="str">
        <f ca="1">IF(OR($A68="",TYPE(VLOOKUP($A68,Centrum!$D$3:$M$130,10,0))&gt;3),"",VLOOKUP(VLOOKUP($A68,Centrum!$D$3:$M$130,10,0),Centrum!$A$3:$CB$130,G$132,0))</f>
        <v/>
      </c>
      <c r="H68" s="318" t="str">
        <f ca="1">IF($A68="","",VLOOKUP(VLOOKUP($A68,Centrum!$D$3:$M$130,10,0),Centrum!$A$3:$CB$130,H$132,0))</f>
        <v/>
      </c>
      <c r="I68" s="318" t="str">
        <f ca="1">IF($A68="","",VLOOKUP(VLOOKUP($A68,Centrum!$D$3:$M$130,10,0),Centrum!$A$3:$CB$130,I$132,0))</f>
        <v/>
      </c>
      <c r="J68" s="318" t="str">
        <f ca="1">IF(OR($A68="",TYPE(VLOOKUP($A68,Centrum!$D$3:$M$130,10,0))&gt;3),"",VLOOKUP(VLOOKUP($A68,Centrum!$D$3:$M$130,10,0),Centrum!$A$3:$CB$130,J$132,0))</f>
        <v/>
      </c>
      <c r="L68" s="318" t="str">
        <f ca="1">IF(OR($A68="",TYPE(VLOOKUP($A68,Centrum!$D$3:$M$130,10,0))&gt;3),"",VLOOKUP(VLOOKUP($A68,Centrum!$D$3:$M$130,10,0),Centrum!$A$3:$CB$130,L$132,0))</f>
        <v/>
      </c>
      <c r="M68" s="318" t="str">
        <f ca="1">IF(OR($A68="",TYPE(VLOOKUP($A68,Centrum!$D$3:$M$130,10,0))&gt;3),"",VLOOKUP(VLOOKUP($A68,Centrum!$D$3:$M$130,10,0),Centrum!$A$3:$CB$130,M$132,0))</f>
        <v/>
      </c>
      <c r="N68" s="318" t="str">
        <f ca="1">IF(OR($A68="",TYPE(VLOOKUP($A68,Centrum!$D$3:$M$130,10,0))&gt;3),"",VLOOKUP(VLOOKUP($A68,Centrum!$D$3:$M$130,10,0),Centrum!$A$3:$CB$130,N$132,0))</f>
        <v/>
      </c>
      <c r="O68" s="318" t="str">
        <f ca="1">IF(OR($A68="",TYPE(VLOOKUP($A68,Centrum!$D$3:$M$130,10,0))&gt;3),"",VLOOKUP(VLOOKUP($A68,Centrum!$D$3:$M$130,10,0),Centrum!$A$3:$CB$130,O$132,0))</f>
        <v/>
      </c>
      <c r="P68" s="318" t="str">
        <f ca="1">IF(OR($A68="",TYPE(VLOOKUP($A68,Centrum!$D$3:$M$130,10,0))&gt;3),"",VLOOKUP(VLOOKUP($A68,Centrum!$D$3:$M$130,10,0),Centrum!$A$3:$CB$130,P$132,0))</f>
        <v/>
      </c>
      <c r="Q68" s="318" t="str">
        <f ca="1">IF(OR($A68="",TYPE(VLOOKUP($A68,Centrum!$D$3:$M$130,10,0))&gt;3),"",VLOOKUP(VLOOKUP($A68,Centrum!$D$3:$M$130,10,0),Centrum!$A$3:$CB$130,Q$132,0))</f>
        <v/>
      </c>
      <c r="S68" s="318" t="str">
        <f ca="1">IF(OR($A68="",TYPE(VLOOKUP($A68,Centrum!$D$3:$M$130,10,0))&gt;3),"",VLOOKUP(VLOOKUP($A68,Centrum!$D$3:$M$130,10,0),Centrum!$A$3:$CB$130,S$132,0))</f>
        <v/>
      </c>
      <c r="T68" s="318" t="str">
        <f ca="1">IF(OR($A68="",TYPE(VLOOKUP($A68,Centrum!$D$3:$M$130,10,0))&gt;3),"",VLOOKUP(VLOOKUP($A68,Centrum!$D$3:$M$130,10,0),Centrum!$A$3:$CB$130,T$132,0))</f>
        <v/>
      </c>
      <c r="U68" s="318" t="str">
        <f ca="1">IF(OR($A68="",TYPE(VLOOKUP($A68,Centrum!$D$3:$M$130,10,0))&gt;3),"",VLOOKUP(VLOOKUP($A68,Centrum!$D$3:$M$130,10,0),Centrum!$A$3:$CB$130,U$132,0))</f>
        <v/>
      </c>
      <c r="AB68" s="318" t="str">
        <f ca="1">IF(OR($A68="",TYPE(VLOOKUP($A68,Centrum!$D$3:$M$130,10,0))&gt;3),"",VLOOKUP(VLOOKUP($A68,Centrum!$D$3:$M$130,10,0),Centrum!$A$3:$CB$130,AB$132,0))</f>
        <v/>
      </c>
      <c r="AC68" s="318" t="str">
        <f ca="1">IF(OR($A68="",TYPE(VLOOKUP($A68,Centrum!$D$3:$M$130,10,0))&gt;3),"",VLOOKUP(VLOOKUP($A68,Centrum!$D$3:$M$130,10,0),Centrum!$A$3:$CB$130,AC$132,0))</f>
        <v/>
      </c>
      <c r="AD68" s="318" t="str">
        <f ca="1">IF(OR($A68="",TYPE(VLOOKUP($A68,Centrum!$D$3:$M$130,10,0))&gt;3),"",VLOOKUP(VLOOKUP($A68,Centrum!$D$3:$M$130,10,0),Centrum!$A$3:$CB$130,AD$132,0))</f>
        <v/>
      </c>
      <c r="AK68" s="318" t="str">
        <f ca="1">IF(OR($A68="",TYPE(VLOOKUP($A68,Centrum!$D$3:$M$130,10,0))&gt;3),"",VLOOKUP(VLOOKUP($A68,Centrum!$D$3:$M$130,10,0),Centrum!$A$3:$CB$130,AK$132,0))</f>
        <v/>
      </c>
      <c r="AL68" s="318" t="str">
        <f ca="1">IF(OR($A68="",TYPE(VLOOKUP($A68,Centrum!$D$3:$M$130,10,0))&gt;3),"",VLOOKUP(VLOOKUP($A68,Centrum!$D$3:$M$130,10,0),Centrum!$A$3:$CB$130,AL$132,0))</f>
        <v/>
      </c>
      <c r="AM68" s="318" t="str">
        <f ca="1">IF(OR($A68="",TYPE(VLOOKUP($A68,Centrum!$D$3:$M$130,10,0))&gt;3),"",VLOOKUP(VLOOKUP($A68,Centrum!$D$3:$M$130,10,0),Centrum!$A$3:$CB$130,AM$132,0))</f>
        <v/>
      </c>
      <c r="AT68" s="318" t="str">
        <f ca="1">IF(OR(OR($A68="",TYPE(VLOOKUP($A68,Centrum!$D$3:$M$130,10,0))&gt;3),$A$1&lt;4),"",VLOOKUP(VLOOKUP($A68,Centrum!$D$3:$M$130,10,0),Centrum!$A$3:$CB$130,AT$132,0))</f>
        <v/>
      </c>
      <c r="AU68" s="318" t="str">
        <f ca="1">IF(OR(OR($A68="",TYPE(VLOOKUP($A68,Centrum!$D$3:$M$130,10,0))&gt;3),$A$1&lt;4),"",VLOOKUP(VLOOKUP($A68,Centrum!$D$3:$M$130,10,0),Centrum!$A$3:$CB$130,AU$132,0))</f>
        <v/>
      </c>
      <c r="AV68" s="318" t="str">
        <f ca="1">IF(OR(OR($A68="",TYPE(VLOOKUP($A68,Centrum!$D$3:$M$130,10,0))&gt;3),$A$1&lt;4),"",VLOOKUP(VLOOKUP($A68,Centrum!$D$3:$M$130,10,0),Centrum!$A$3:$CB$130,AV$132,0))</f>
        <v/>
      </c>
      <c r="BC68" s="318" t="str">
        <f ca="1">IF(OR(OR($A68="",TYPE(VLOOKUP($A68,Centrum!$D$3:$M$130,10,0))&gt;3),$A$1&lt;5),"",VLOOKUP(VLOOKUP($A68,Centrum!$D$3:$M$130,10,0),Centrum!$A$3:$CB$130,BC$132,0))</f>
        <v/>
      </c>
      <c r="BD68" s="318" t="str">
        <f ca="1">IF(OR(OR($A68="",TYPE(VLOOKUP($A68,Centrum!$D$3:$M$130,10,0))&gt;3),$A$1&lt;5),"",VLOOKUP(VLOOKUP($A68,Centrum!$D$3:$M$130,10,0),Centrum!$A$3:$CB$130,BD$132,0))</f>
        <v/>
      </c>
      <c r="BE68" s="318" t="str">
        <f ca="1">IF(OR(OR($A68="",TYPE(VLOOKUP($A68,Centrum!$D$3:$M$130,10,0))&gt;3),$A$1&lt;5),"",VLOOKUP(VLOOKUP($A68,Centrum!$D$3:$M$130,10,0),Centrum!$A$3:$CB$130,BE$132,0))</f>
        <v/>
      </c>
      <c r="BL68" s="318" t="str">
        <f ca="1">IF(OR(OR($A68="",TYPE(VLOOKUP($A68,Centrum!$D$3:$M$130,10,0))&gt;3),$A$1&lt;6),"",VLOOKUP(VLOOKUP($A68,Centrum!$D$3:$M$130,10,0),Centrum!$A$3:$CB$130,BL$132,0))</f>
        <v/>
      </c>
      <c r="BM68" s="318" t="str">
        <f ca="1">IF(OR(OR($A68="",TYPE(VLOOKUP($A68,Centrum!$D$3:$M$130,10,0))&gt;3),$A$1&lt;6),"",VLOOKUP(VLOOKUP($A68,Centrum!$D$3:$M$130,10,0),Centrum!$A$3:$CB$130,BM$132,0))</f>
        <v/>
      </c>
      <c r="BN68" s="318" t="str">
        <f ca="1">IF(OR(OR($A68="",TYPE(VLOOKUP($A68,Centrum!$D$3:$M$130,10,0))&gt;3),$A$1&lt;6),"",VLOOKUP(VLOOKUP($A68,Centrum!$D$3:$M$130,10,0),Centrum!$A$3:$CB$130,BN$132,0))</f>
        <v/>
      </c>
    </row>
    <row r="69" spans="1:66" x14ac:dyDescent="0.4">
      <c r="A69" s="318" t="str">
        <f ca="1">Centrum!A69</f>
        <v/>
      </c>
      <c r="B69" s="421" t="str">
        <f ca="1">IF(OR($A69="",TYPE(VLOOKUP($A69,Centrum!$D$3:$M$130,10,0))&gt;3),"",VLOOKUP(VLOOKUP(A69,Centrum!$D$3:$M$130,10,0),Centrum!$A$3:$CB$130,B$132,0))</f>
        <v/>
      </c>
      <c r="C69" s="318" t="str">
        <f ca="1">IF(OR($A69="",TYPE(VLOOKUP($A69,Centrum!$D$3:$M$130,10,0))&gt;3),"",VLOOKUP($A69,Centrum!$D$3:$M$130,10,0))</f>
        <v/>
      </c>
      <c r="E69" s="318" t="str">
        <f ca="1">IF(OR($A69="",TYPE(VLOOKUP($A69,Centrum!$D$3:$M$130,10,0))&gt;3),"",VLOOKUP(VLOOKUP($A69,Centrum!$D$3:$M$130,10,0),Centrum!$A$3:$CB$130,E$132,0))</f>
        <v/>
      </c>
      <c r="F69" s="318" t="str">
        <f ca="1">IF(OR($A69="",TYPE(VLOOKUP($A69,Centrum!$D$3:$M$130,10,0))&gt;3),"",VLOOKUP(VLOOKUP($A69,Centrum!$D$3:$M$130,10,0),Centrum!$A$3:$CB$130,F$132,0))</f>
        <v/>
      </c>
      <c r="G69" s="318" t="str">
        <f ca="1">IF(OR($A69="",TYPE(VLOOKUP($A69,Centrum!$D$3:$M$130,10,0))&gt;3),"",VLOOKUP(VLOOKUP($A69,Centrum!$D$3:$M$130,10,0),Centrum!$A$3:$CB$130,G$132,0))</f>
        <v/>
      </c>
      <c r="H69" s="318" t="str">
        <f ca="1">IF($A69="","",VLOOKUP(VLOOKUP($A69,Centrum!$D$3:$M$130,10,0),Centrum!$A$3:$CB$130,H$132,0))</f>
        <v/>
      </c>
      <c r="I69" s="318" t="str">
        <f ca="1">IF($A69="","",VLOOKUP(VLOOKUP($A69,Centrum!$D$3:$M$130,10,0),Centrum!$A$3:$CB$130,I$132,0))</f>
        <v/>
      </c>
      <c r="J69" s="318" t="str">
        <f ca="1">IF(OR($A69="",TYPE(VLOOKUP($A69,Centrum!$D$3:$M$130,10,0))&gt;3),"",VLOOKUP(VLOOKUP($A69,Centrum!$D$3:$M$130,10,0),Centrum!$A$3:$CB$130,J$132,0))</f>
        <v/>
      </c>
      <c r="L69" s="318" t="str">
        <f ca="1">IF(OR($A69="",TYPE(VLOOKUP($A69,Centrum!$D$3:$M$130,10,0))&gt;3),"",VLOOKUP(VLOOKUP($A69,Centrum!$D$3:$M$130,10,0),Centrum!$A$3:$CB$130,L$132,0))</f>
        <v/>
      </c>
      <c r="M69" s="318" t="str">
        <f ca="1">IF(OR($A69="",TYPE(VLOOKUP($A69,Centrum!$D$3:$M$130,10,0))&gt;3),"",VLOOKUP(VLOOKUP($A69,Centrum!$D$3:$M$130,10,0),Centrum!$A$3:$CB$130,M$132,0))</f>
        <v/>
      </c>
      <c r="N69" s="318" t="str">
        <f ca="1">IF(OR($A69="",TYPE(VLOOKUP($A69,Centrum!$D$3:$M$130,10,0))&gt;3),"",VLOOKUP(VLOOKUP($A69,Centrum!$D$3:$M$130,10,0),Centrum!$A$3:$CB$130,N$132,0))</f>
        <v/>
      </c>
      <c r="O69" s="318" t="str">
        <f ca="1">IF(OR($A69="",TYPE(VLOOKUP($A69,Centrum!$D$3:$M$130,10,0))&gt;3),"",VLOOKUP(VLOOKUP($A69,Centrum!$D$3:$M$130,10,0),Centrum!$A$3:$CB$130,O$132,0))</f>
        <v/>
      </c>
      <c r="P69" s="318" t="str">
        <f ca="1">IF(OR($A69="",TYPE(VLOOKUP($A69,Centrum!$D$3:$M$130,10,0))&gt;3),"",VLOOKUP(VLOOKUP($A69,Centrum!$D$3:$M$130,10,0),Centrum!$A$3:$CB$130,P$132,0))</f>
        <v/>
      </c>
      <c r="Q69" s="318" t="str">
        <f ca="1">IF(OR($A69="",TYPE(VLOOKUP($A69,Centrum!$D$3:$M$130,10,0))&gt;3),"",VLOOKUP(VLOOKUP($A69,Centrum!$D$3:$M$130,10,0),Centrum!$A$3:$CB$130,Q$132,0))</f>
        <v/>
      </c>
      <c r="S69" s="318" t="str">
        <f ca="1">IF(OR($A69="",TYPE(VLOOKUP($A69,Centrum!$D$3:$M$130,10,0))&gt;3),"",VLOOKUP(VLOOKUP($A69,Centrum!$D$3:$M$130,10,0),Centrum!$A$3:$CB$130,S$132,0))</f>
        <v/>
      </c>
      <c r="T69" s="318" t="str">
        <f ca="1">IF(OR($A69="",TYPE(VLOOKUP($A69,Centrum!$D$3:$M$130,10,0))&gt;3),"",VLOOKUP(VLOOKUP($A69,Centrum!$D$3:$M$130,10,0),Centrum!$A$3:$CB$130,T$132,0))</f>
        <v/>
      </c>
      <c r="U69" s="318" t="str">
        <f ca="1">IF(OR($A69="",TYPE(VLOOKUP($A69,Centrum!$D$3:$M$130,10,0))&gt;3),"",VLOOKUP(VLOOKUP($A69,Centrum!$D$3:$M$130,10,0),Centrum!$A$3:$CB$130,U$132,0))</f>
        <v/>
      </c>
      <c r="AB69" s="318" t="str">
        <f ca="1">IF(OR($A69="",TYPE(VLOOKUP($A69,Centrum!$D$3:$M$130,10,0))&gt;3),"",VLOOKUP(VLOOKUP($A69,Centrum!$D$3:$M$130,10,0),Centrum!$A$3:$CB$130,AB$132,0))</f>
        <v/>
      </c>
      <c r="AC69" s="318" t="str">
        <f ca="1">IF(OR($A69="",TYPE(VLOOKUP($A69,Centrum!$D$3:$M$130,10,0))&gt;3),"",VLOOKUP(VLOOKUP($A69,Centrum!$D$3:$M$130,10,0),Centrum!$A$3:$CB$130,AC$132,0))</f>
        <v/>
      </c>
      <c r="AD69" s="318" t="str">
        <f ca="1">IF(OR($A69="",TYPE(VLOOKUP($A69,Centrum!$D$3:$M$130,10,0))&gt;3),"",VLOOKUP(VLOOKUP($A69,Centrum!$D$3:$M$130,10,0),Centrum!$A$3:$CB$130,AD$132,0))</f>
        <v/>
      </c>
      <c r="AK69" s="318" t="str">
        <f ca="1">IF(OR($A69="",TYPE(VLOOKUP($A69,Centrum!$D$3:$M$130,10,0))&gt;3),"",VLOOKUP(VLOOKUP($A69,Centrum!$D$3:$M$130,10,0),Centrum!$A$3:$CB$130,AK$132,0))</f>
        <v/>
      </c>
      <c r="AL69" s="318" t="str">
        <f ca="1">IF(OR($A69="",TYPE(VLOOKUP($A69,Centrum!$D$3:$M$130,10,0))&gt;3),"",VLOOKUP(VLOOKUP($A69,Centrum!$D$3:$M$130,10,0),Centrum!$A$3:$CB$130,AL$132,0))</f>
        <v/>
      </c>
      <c r="AM69" s="318" t="str">
        <f ca="1">IF(OR($A69="",TYPE(VLOOKUP($A69,Centrum!$D$3:$M$130,10,0))&gt;3),"",VLOOKUP(VLOOKUP($A69,Centrum!$D$3:$M$130,10,0),Centrum!$A$3:$CB$130,AM$132,0))</f>
        <v/>
      </c>
      <c r="AT69" s="318" t="str">
        <f ca="1">IF(OR(OR($A69="",TYPE(VLOOKUP($A69,Centrum!$D$3:$M$130,10,0))&gt;3),$A$1&lt;4),"",VLOOKUP(VLOOKUP($A69,Centrum!$D$3:$M$130,10,0),Centrum!$A$3:$CB$130,AT$132,0))</f>
        <v/>
      </c>
      <c r="AU69" s="318" t="str">
        <f ca="1">IF(OR(OR($A69="",TYPE(VLOOKUP($A69,Centrum!$D$3:$M$130,10,0))&gt;3),$A$1&lt;4),"",VLOOKUP(VLOOKUP($A69,Centrum!$D$3:$M$130,10,0),Centrum!$A$3:$CB$130,AU$132,0))</f>
        <v/>
      </c>
      <c r="AV69" s="318" t="str">
        <f ca="1">IF(OR(OR($A69="",TYPE(VLOOKUP($A69,Centrum!$D$3:$M$130,10,0))&gt;3),$A$1&lt;4),"",VLOOKUP(VLOOKUP($A69,Centrum!$D$3:$M$130,10,0),Centrum!$A$3:$CB$130,AV$132,0))</f>
        <v/>
      </c>
      <c r="BC69" s="318" t="str">
        <f ca="1">IF(OR(OR($A69="",TYPE(VLOOKUP($A69,Centrum!$D$3:$M$130,10,0))&gt;3),$A$1&lt;5),"",VLOOKUP(VLOOKUP($A69,Centrum!$D$3:$M$130,10,0),Centrum!$A$3:$CB$130,BC$132,0))</f>
        <v/>
      </c>
      <c r="BD69" s="318" t="str">
        <f ca="1">IF(OR(OR($A69="",TYPE(VLOOKUP($A69,Centrum!$D$3:$M$130,10,0))&gt;3),$A$1&lt;5),"",VLOOKUP(VLOOKUP($A69,Centrum!$D$3:$M$130,10,0),Centrum!$A$3:$CB$130,BD$132,0))</f>
        <v/>
      </c>
      <c r="BE69" s="318" t="str">
        <f ca="1">IF(OR(OR($A69="",TYPE(VLOOKUP($A69,Centrum!$D$3:$M$130,10,0))&gt;3),$A$1&lt;5),"",VLOOKUP(VLOOKUP($A69,Centrum!$D$3:$M$130,10,0),Centrum!$A$3:$CB$130,BE$132,0))</f>
        <v/>
      </c>
      <c r="BL69" s="318" t="str">
        <f ca="1">IF(OR(OR($A69="",TYPE(VLOOKUP($A69,Centrum!$D$3:$M$130,10,0))&gt;3),$A$1&lt;6),"",VLOOKUP(VLOOKUP($A69,Centrum!$D$3:$M$130,10,0),Centrum!$A$3:$CB$130,BL$132,0))</f>
        <v/>
      </c>
      <c r="BM69" s="318" t="str">
        <f ca="1">IF(OR(OR($A69="",TYPE(VLOOKUP($A69,Centrum!$D$3:$M$130,10,0))&gt;3),$A$1&lt;6),"",VLOOKUP(VLOOKUP($A69,Centrum!$D$3:$M$130,10,0),Centrum!$A$3:$CB$130,BM$132,0))</f>
        <v/>
      </c>
      <c r="BN69" s="318" t="str">
        <f ca="1">IF(OR(OR($A69="",TYPE(VLOOKUP($A69,Centrum!$D$3:$M$130,10,0))&gt;3),$A$1&lt;6),"",VLOOKUP(VLOOKUP($A69,Centrum!$D$3:$M$130,10,0),Centrum!$A$3:$CB$130,BN$132,0))</f>
        <v/>
      </c>
    </row>
    <row r="70" spans="1:66" x14ac:dyDescent="0.4">
      <c r="A70" s="318" t="str">
        <f ca="1">Centrum!A70</f>
        <v/>
      </c>
      <c r="B70" s="421" t="str">
        <f ca="1">IF(OR($A70="",TYPE(VLOOKUP($A70,Centrum!$D$3:$M$130,10,0))&gt;3),"",VLOOKUP(VLOOKUP(A70,Centrum!$D$3:$M$130,10,0),Centrum!$A$3:$CB$130,B$132,0))</f>
        <v/>
      </c>
      <c r="C70" s="318" t="str">
        <f ca="1">IF(OR($A70="",TYPE(VLOOKUP($A70,Centrum!$D$3:$M$130,10,0))&gt;3),"",VLOOKUP($A70,Centrum!$D$3:$M$130,10,0))</f>
        <v/>
      </c>
      <c r="E70" s="318" t="str">
        <f ca="1">IF(OR($A70="",TYPE(VLOOKUP($A70,Centrum!$D$3:$M$130,10,0))&gt;3),"",VLOOKUP(VLOOKUP($A70,Centrum!$D$3:$M$130,10,0),Centrum!$A$3:$CB$130,E$132,0))</f>
        <v/>
      </c>
      <c r="F70" s="318" t="str">
        <f ca="1">IF(OR($A70="",TYPE(VLOOKUP($A70,Centrum!$D$3:$M$130,10,0))&gt;3),"",VLOOKUP(VLOOKUP($A70,Centrum!$D$3:$M$130,10,0),Centrum!$A$3:$CB$130,F$132,0))</f>
        <v/>
      </c>
      <c r="G70" s="318" t="str">
        <f ca="1">IF(OR($A70="",TYPE(VLOOKUP($A70,Centrum!$D$3:$M$130,10,0))&gt;3),"",VLOOKUP(VLOOKUP($A70,Centrum!$D$3:$M$130,10,0),Centrum!$A$3:$CB$130,G$132,0))</f>
        <v/>
      </c>
      <c r="H70" s="318" t="str">
        <f ca="1">IF($A70="","",VLOOKUP(VLOOKUP($A70,Centrum!$D$3:$M$130,10,0),Centrum!$A$3:$CB$130,H$132,0))</f>
        <v/>
      </c>
      <c r="I70" s="318" t="str">
        <f ca="1">IF($A70="","",VLOOKUP(VLOOKUP($A70,Centrum!$D$3:$M$130,10,0),Centrum!$A$3:$CB$130,I$132,0))</f>
        <v/>
      </c>
      <c r="J70" s="318" t="str">
        <f ca="1">IF(OR($A70="",TYPE(VLOOKUP($A70,Centrum!$D$3:$M$130,10,0))&gt;3),"",VLOOKUP(VLOOKUP($A70,Centrum!$D$3:$M$130,10,0),Centrum!$A$3:$CB$130,J$132,0))</f>
        <v/>
      </c>
      <c r="L70" s="318" t="str">
        <f ca="1">IF(OR($A70="",TYPE(VLOOKUP($A70,Centrum!$D$3:$M$130,10,0))&gt;3),"",VLOOKUP(VLOOKUP($A70,Centrum!$D$3:$M$130,10,0),Centrum!$A$3:$CB$130,L$132,0))</f>
        <v/>
      </c>
      <c r="M70" s="318" t="str">
        <f ca="1">IF(OR($A70="",TYPE(VLOOKUP($A70,Centrum!$D$3:$M$130,10,0))&gt;3),"",VLOOKUP(VLOOKUP($A70,Centrum!$D$3:$M$130,10,0),Centrum!$A$3:$CB$130,M$132,0))</f>
        <v/>
      </c>
      <c r="N70" s="318" t="str">
        <f ca="1">IF(OR($A70="",TYPE(VLOOKUP($A70,Centrum!$D$3:$M$130,10,0))&gt;3),"",VLOOKUP(VLOOKUP($A70,Centrum!$D$3:$M$130,10,0),Centrum!$A$3:$CB$130,N$132,0))</f>
        <v/>
      </c>
      <c r="O70" s="318" t="str">
        <f ca="1">IF(OR($A70="",TYPE(VLOOKUP($A70,Centrum!$D$3:$M$130,10,0))&gt;3),"",VLOOKUP(VLOOKUP($A70,Centrum!$D$3:$M$130,10,0),Centrum!$A$3:$CB$130,O$132,0))</f>
        <v/>
      </c>
      <c r="P70" s="318" t="str">
        <f ca="1">IF(OR($A70="",TYPE(VLOOKUP($A70,Centrum!$D$3:$M$130,10,0))&gt;3),"",VLOOKUP(VLOOKUP($A70,Centrum!$D$3:$M$130,10,0),Centrum!$A$3:$CB$130,P$132,0))</f>
        <v/>
      </c>
      <c r="Q70" s="318" t="str">
        <f ca="1">IF(OR($A70="",TYPE(VLOOKUP($A70,Centrum!$D$3:$M$130,10,0))&gt;3),"",VLOOKUP(VLOOKUP($A70,Centrum!$D$3:$M$130,10,0),Centrum!$A$3:$CB$130,Q$132,0))</f>
        <v/>
      </c>
      <c r="S70" s="318" t="str">
        <f ca="1">IF(OR($A70="",TYPE(VLOOKUP($A70,Centrum!$D$3:$M$130,10,0))&gt;3),"",VLOOKUP(VLOOKUP($A70,Centrum!$D$3:$M$130,10,0),Centrum!$A$3:$CB$130,S$132,0))</f>
        <v/>
      </c>
      <c r="T70" s="318" t="str">
        <f ca="1">IF(OR($A70="",TYPE(VLOOKUP($A70,Centrum!$D$3:$M$130,10,0))&gt;3),"",VLOOKUP(VLOOKUP($A70,Centrum!$D$3:$M$130,10,0),Centrum!$A$3:$CB$130,T$132,0))</f>
        <v/>
      </c>
      <c r="U70" s="318" t="str">
        <f ca="1">IF(OR($A70="",TYPE(VLOOKUP($A70,Centrum!$D$3:$M$130,10,0))&gt;3),"",VLOOKUP(VLOOKUP($A70,Centrum!$D$3:$M$130,10,0),Centrum!$A$3:$CB$130,U$132,0))</f>
        <v/>
      </c>
      <c r="AB70" s="318" t="str">
        <f ca="1">IF(OR($A70="",TYPE(VLOOKUP($A70,Centrum!$D$3:$M$130,10,0))&gt;3),"",VLOOKUP(VLOOKUP($A70,Centrum!$D$3:$M$130,10,0),Centrum!$A$3:$CB$130,AB$132,0))</f>
        <v/>
      </c>
      <c r="AC70" s="318" t="str">
        <f ca="1">IF(OR($A70="",TYPE(VLOOKUP($A70,Centrum!$D$3:$M$130,10,0))&gt;3),"",VLOOKUP(VLOOKUP($A70,Centrum!$D$3:$M$130,10,0),Centrum!$A$3:$CB$130,AC$132,0))</f>
        <v/>
      </c>
      <c r="AD70" s="318" t="str">
        <f ca="1">IF(OR($A70="",TYPE(VLOOKUP($A70,Centrum!$D$3:$M$130,10,0))&gt;3),"",VLOOKUP(VLOOKUP($A70,Centrum!$D$3:$M$130,10,0),Centrum!$A$3:$CB$130,AD$132,0))</f>
        <v/>
      </c>
      <c r="AK70" s="318" t="str">
        <f ca="1">IF(OR($A70="",TYPE(VLOOKUP($A70,Centrum!$D$3:$M$130,10,0))&gt;3),"",VLOOKUP(VLOOKUP($A70,Centrum!$D$3:$M$130,10,0),Centrum!$A$3:$CB$130,AK$132,0))</f>
        <v/>
      </c>
      <c r="AL70" s="318" t="str">
        <f ca="1">IF(OR($A70="",TYPE(VLOOKUP($A70,Centrum!$D$3:$M$130,10,0))&gt;3),"",VLOOKUP(VLOOKUP($A70,Centrum!$D$3:$M$130,10,0),Centrum!$A$3:$CB$130,AL$132,0))</f>
        <v/>
      </c>
      <c r="AM70" s="318" t="str">
        <f ca="1">IF(OR($A70="",TYPE(VLOOKUP($A70,Centrum!$D$3:$M$130,10,0))&gt;3),"",VLOOKUP(VLOOKUP($A70,Centrum!$D$3:$M$130,10,0),Centrum!$A$3:$CB$130,AM$132,0))</f>
        <v/>
      </c>
      <c r="AT70" s="318" t="str">
        <f ca="1">IF(OR(OR($A70="",TYPE(VLOOKUP($A70,Centrum!$D$3:$M$130,10,0))&gt;3),$A$1&lt;4),"",VLOOKUP(VLOOKUP($A70,Centrum!$D$3:$M$130,10,0),Centrum!$A$3:$CB$130,AT$132,0))</f>
        <v/>
      </c>
      <c r="AU70" s="318" t="str">
        <f ca="1">IF(OR(OR($A70="",TYPE(VLOOKUP($A70,Centrum!$D$3:$M$130,10,0))&gt;3),$A$1&lt;4),"",VLOOKUP(VLOOKUP($A70,Centrum!$D$3:$M$130,10,0),Centrum!$A$3:$CB$130,AU$132,0))</f>
        <v/>
      </c>
      <c r="AV70" s="318" t="str">
        <f ca="1">IF(OR(OR($A70="",TYPE(VLOOKUP($A70,Centrum!$D$3:$M$130,10,0))&gt;3),$A$1&lt;4),"",VLOOKUP(VLOOKUP($A70,Centrum!$D$3:$M$130,10,0),Centrum!$A$3:$CB$130,AV$132,0))</f>
        <v/>
      </c>
      <c r="BC70" s="318" t="str">
        <f ca="1">IF(OR(OR($A70="",TYPE(VLOOKUP($A70,Centrum!$D$3:$M$130,10,0))&gt;3),$A$1&lt;5),"",VLOOKUP(VLOOKUP($A70,Centrum!$D$3:$M$130,10,0),Centrum!$A$3:$CB$130,BC$132,0))</f>
        <v/>
      </c>
      <c r="BD70" s="318" t="str">
        <f ca="1">IF(OR(OR($A70="",TYPE(VLOOKUP($A70,Centrum!$D$3:$M$130,10,0))&gt;3),$A$1&lt;5),"",VLOOKUP(VLOOKUP($A70,Centrum!$D$3:$M$130,10,0),Centrum!$A$3:$CB$130,BD$132,0))</f>
        <v/>
      </c>
      <c r="BE70" s="318" t="str">
        <f ca="1">IF(OR(OR($A70="",TYPE(VLOOKUP($A70,Centrum!$D$3:$M$130,10,0))&gt;3),$A$1&lt;5),"",VLOOKUP(VLOOKUP($A70,Centrum!$D$3:$M$130,10,0),Centrum!$A$3:$CB$130,BE$132,0))</f>
        <v/>
      </c>
      <c r="BL70" s="318" t="str">
        <f ca="1">IF(OR(OR($A70="",TYPE(VLOOKUP($A70,Centrum!$D$3:$M$130,10,0))&gt;3),$A$1&lt;6),"",VLOOKUP(VLOOKUP($A70,Centrum!$D$3:$M$130,10,0),Centrum!$A$3:$CB$130,BL$132,0))</f>
        <v/>
      </c>
      <c r="BM70" s="318" t="str">
        <f ca="1">IF(OR(OR($A70="",TYPE(VLOOKUP($A70,Centrum!$D$3:$M$130,10,0))&gt;3),$A$1&lt;6),"",VLOOKUP(VLOOKUP($A70,Centrum!$D$3:$M$130,10,0),Centrum!$A$3:$CB$130,BM$132,0))</f>
        <v/>
      </c>
      <c r="BN70" s="318" t="str">
        <f ca="1">IF(OR(OR($A70="",TYPE(VLOOKUP($A70,Centrum!$D$3:$M$130,10,0))&gt;3),$A$1&lt;6),"",VLOOKUP(VLOOKUP($A70,Centrum!$D$3:$M$130,10,0),Centrum!$A$3:$CB$130,BN$132,0))</f>
        <v/>
      </c>
    </row>
    <row r="71" spans="1:66" x14ac:dyDescent="0.4">
      <c r="A71" s="318" t="str">
        <f ca="1">Centrum!A71</f>
        <v/>
      </c>
      <c r="B71" s="421" t="str">
        <f ca="1">IF(OR($A71="",TYPE(VLOOKUP($A71,Centrum!$D$3:$M$130,10,0))&gt;3),"",VLOOKUP(VLOOKUP(A71,Centrum!$D$3:$M$130,10,0),Centrum!$A$3:$CB$130,B$132,0))</f>
        <v/>
      </c>
      <c r="C71" s="318" t="str">
        <f ca="1">IF(OR($A71="",TYPE(VLOOKUP($A71,Centrum!$D$3:$M$130,10,0))&gt;3),"",VLOOKUP($A71,Centrum!$D$3:$M$130,10,0))</f>
        <v/>
      </c>
      <c r="E71" s="318" t="str">
        <f ca="1">IF(OR($A71="",TYPE(VLOOKUP($A71,Centrum!$D$3:$M$130,10,0))&gt;3),"",VLOOKUP(VLOOKUP($A71,Centrum!$D$3:$M$130,10,0),Centrum!$A$3:$CB$130,E$132,0))</f>
        <v/>
      </c>
      <c r="F71" s="318" t="str">
        <f ca="1">IF(OR($A71="",TYPE(VLOOKUP($A71,Centrum!$D$3:$M$130,10,0))&gt;3),"",VLOOKUP(VLOOKUP($A71,Centrum!$D$3:$M$130,10,0),Centrum!$A$3:$CB$130,F$132,0))</f>
        <v/>
      </c>
      <c r="G71" s="318" t="str">
        <f ca="1">IF(OR($A71="",TYPE(VLOOKUP($A71,Centrum!$D$3:$M$130,10,0))&gt;3),"",VLOOKUP(VLOOKUP($A71,Centrum!$D$3:$M$130,10,0),Centrum!$A$3:$CB$130,G$132,0))</f>
        <v/>
      </c>
      <c r="H71" s="318" t="str">
        <f ca="1">IF($A71="","",VLOOKUP(VLOOKUP($A71,Centrum!$D$3:$M$130,10,0),Centrum!$A$3:$CB$130,H$132,0))</f>
        <v/>
      </c>
      <c r="I71" s="318" t="str">
        <f ca="1">IF($A71="","",VLOOKUP(VLOOKUP($A71,Centrum!$D$3:$M$130,10,0),Centrum!$A$3:$CB$130,I$132,0))</f>
        <v/>
      </c>
      <c r="J71" s="318" t="str">
        <f ca="1">IF(OR($A71="",TYPE(VLOOKUP($A71,Centrum!$D$3:$M$130,10,0))&gt;3),"",VLOOKUP(VLOOKUP($A71,Centrum!$D$3:$M$130,10,0),Centrum!$A$3:$CB$130,J$132,0))</f>
        <v/>
      </c>
      <c r="L71" s="318" t="str">
        <f ca="1">IF(OR($A71="",TYPE(VLOOKUP($A71,Centrum!$D$3:$M$130,10,0))&gt;3),"",VLOOKUP(VLOOKUP($A71,Centrum!$D$3:$M$130,10,0),Centrum!$A$3:$CB$130,L$132,0))</f>
        <v/>
      </c>
      <c r="M71" s="318" t="str">
        <f ca="1">IF(OR($A71="",TYPE(VLOOKUP($A71,Centrum!$D$3:$M$130,10,0))&gt;3),"",VLOOKUP(VLOOKUP($A71,Centrum!$D$3:$M$130,10,0),Centrum!$A$3:$CB$130,M$132,0))</f>
        <v/>
      </c>
      <c r="N71" s="318" t="str">
        <f ca="1">IF(OR($A71="",TYPE(VLOOKUP($A71,Centrum!$D$3:$M$130,10,0))&gt;3),"",VLOOKUP(VLOOKUP($A71,Centrum!$D$3:$M$130,10,0),Centrum!$A$3:$CB$130,N$132,0))</f>
        <v/>
      </c>
      <c r="O71" s="318" t="str">
        <f ca="1">IF(OR($A71="",TYPE(VLOOKUP($A71,Centrum!$D$3:$M$130,10,0))&gt;3),"",VLOOKUP(VLOOKUP($A71,Centrum!$D$3:$M$130,10,0),Centrum!$A$3:$CB$130,O$132,0))</f>
        <v/>
      </c>
      <c r="P71" s="318" t="str">
        <f ca="1">IF(OR($A71="",TYPE(VLOOKUP($A71,Centrum!$D$3:$M$130,10,0))&gt;3),"",VLOOKUP(VLOOKUP($A71,Centrum!$D$3:$M$130,10,0),Centrum!$A$3:$CB$130,P$132,0))</f>
        <v/>
      </c>
      <c r="Q71" s="318" t="str">
        <f ca="1">IF(OR($A71="",TYPE(VLOOKUP($A71,Centrum!$D$3:$M$130,10,0))&gt;3),"",VLOOKUP(VLOOKUP($A71,Centrum!$D$3:$M$130,10,0),Centrum!$A$3:$CB$130,Q$132,0))</f>
        <v/>
      </c>
      <c r="S71" s="318" t="str">
        <f ca="1">IF(OR($A71="",TYPE(VLOOKUP($A71,Centrum!$D$3:$M$130,10,0))&gt;3),"",VLOOKUP(VLOOKUP($A71,Centrum!$D$3:$M$130,10,0),Centrum!$A$3:$CB$130,S$132,0))</f>
        <v/>
      </c>
      <c r="T71" s="318" t="str">
        <f ca="1">IF(OR($A71="",TYPE(VLOOKUP($A71,Centrum!$D$3:$M$130,10,0))&gt;3),"",VLOOKUP(VLOOKUP($A71,Centrum!$D$3:$M$130,10,0),Centrum!$A$3:$CB$130,T$132,0))</f>
        <v/>
      </c>
      <c r="U71" s="318" t="str">
        <f ca="1">IF(OR($A71="",TYPE(VLOOKUP($A71,Centrum!$D$3:$M$130,10,0))&gt;3),"",VLOOKUP(VLOOKUP($A71,Centrum!$D$3:$M$130,10,0),Centrum!$A$3:$CB$130,U$132,0))</f>
        <v/>
      </c>
      <c r="AB71" s="318" t="str">
        <f ca="1">IF(OR($A71="",TYPE(VLOOKUP($A71,Centrum!$D$3:$M$130,10,0))&gt;3),"",VLOOKUP(VLOOKUP($A71,Centrum!$D$3:$M$130,10,0),Centrum!$A$3:$CB$130,AB$132,0))</f>
        <v/>
      </c>
      <c r="AC71" s="318" t="str">
        <f ca="1">IF(OR($A71="",TYPE(VLOOKUP($A71,Centrum!$D$3:$M$130,10,0))&gt;3),"",VLOOKUP(VLOOKUP($A71,Centrum!$D$3:$M$130,10,0),Centrum!$A$3:$CB$130,AC$132,0))</f>
        <v/>
      </c>
      <c r="AD71" s="318" t="str">
        <f ca="1">IF(OR($A71="",TYPE(VLOOKUP($A71,Centrum!$D$3:$M$130,10,0))&gt;3),"",VLOOKUP(VLOOKUP($A71,Centrum!$D$3:$M$130,10,0),Centrum!$A$3:$CB$130,AD$132,0))</f>
        <v/>
      </c>
      <c r="AK71" s="318" t="str">
        <f ca="1">IF(OR($A71="",TYPE(VLOOKUP($A71,Centrum!$D$3:$M$130,10,0))&gt;3),"",VLOOKUP(VLOOKUP($A71,Centrum!$D$3:$M$130,10,0),Centrum!$A$3:$CB$130,AK$132,0))</f>
        <v/>
      </c>
      <c r="AL71" s="318" t="str">
        <f ca="1">IF(OR($A71="",TYPE(VLOOKUP($A71,Centrum!$D$3:$M$130,10,0))&gt;3),"",VLOOKUP(VLOOKUP($A71,Centrum!$D$3:$M$130,10,0),Centrum!$A$3:$CB$130,AL$132,0))</f>
        <v/>
      </c>
      <c r="AM71" s="318" t="str">
        <f ca="1">IF(OR($A71="",TYPE(VLOOKUP($A71,Centrum!$D$3:$M$130,10,0))&gt;3),"",VLOOKUP(VLOOKUP($A71,Centrum!$D$3:$M$130,10,0),Centrum!$A$3:$CB$130,AM$132,0))</f>
        <v/>
      </c>
      <c r="AT71" s="318" t="str">
        <f ca="1">IF(OR(OR($A71="",TYPE(VLOOKUP($A71,Centrum!$D$3:$M$130,10,0))&gt;3),$A$1&lt;4),"",VLOOKUP(VLOOKUP($A71,Centrum!$D$3:$M$130,10,0),Centrum!$A$3:$CB$130,AT$132,0))</f>
        <v/>
      </c>
      <c r="AU71" s="318" t="str">
        <f ca="1">IF(OR(OR($A71="",TYPE(VLOOKUP($A71,Centrum!$D$3:$M$130,10,0))&gt;3),$A$1&lt;4),"",VLOOKUP(VLOOKUP($A71,Centrum!$D$3:$M$130,10,0),Centrum!$A$3:$CB$130,AU$132,0))</f>
        <v/>
      </c>
      <c r="AV71" s="318" t="str">
        <f ca="1">IF(OR(OR($A71="",TYPE(VLOOKUP($A71,Centrum!$D$3:$M$130,10,0))&gt;3),$A$1&lt;4),"",VLOOKUP(VLOOKUP($A71,Centrum!$D$3:$M$130,10,0),Centrum!$A$3:$CB$130,AV$132,0))</f>
        <v/>
      </c>
      <c r="BC71" s="318" t="str">
        <f ca="1">IF(OR(OR($A71="",TYPE(VLOOKUP($A71,Centrum!$D$3:$M$130,10,0))&gt;3),$A$1&lt;5),"",VLOOKUP(VLOOKUP($A71,Centrum!$D$3:$M$130,10,0),Centrum!$A$3:$CB$130,BC$132,0))</f>
        <v/>
      </c>
      <c r="BD71" s="318" t="str">
        <f ca="1">IF(OR(OR($A71="",TYPE(VLOOKUP($A71,Centrum!$D$3:$M$130,10,0))&gt;3),$A$1&lt;5),"",VLOOKUP(VLOOKUP($A71,Centrum!$D$3:$M$130,10,0),Centrum!$A$3:$CB$130,BD$132,0))</f>
        <v/>
      </c>
      <c r="BE71" s="318" t="str">
        <f ca="1">IF(OR(OR($A71="",TYPE(VLOOKUP($A71,Centrum!$D$3:$M$130,10,0))&gt;3),$A$1&lt;5),"",VLOOKUP(VLOOKUP($A71,Centrum!$D$3:$M$130,10,0),Centrum!$A$3:$CB$130,BE$132,0))</f>
        <v/>
      </c>
      <c r="BL71" s="318" t="str">
        <f ca="1">IF(OR(OR($A71="",TYPE(VLOOKUP($A71,Centrum!$D$3:$M$130,10,0))&gt;3),$A$1&lt;6),"",VLOOKUP(VLOOKUP($A71,Centrum!$D$3:$M$130,10,0),Centrum!$A$3:$CB$130,BL$132,0))</f>
        <v/>
      </c>
      <c r="BM71" s="318" t="str">
        <f ca="1">IF(OR(OR($A71="",TYPE(VLOOKUP($A71,Centrum!$D$3:$M$130,10,0))&gt;3),$A$1&lt;6),"",VLOOKUP(VLOOKUP($A71,Centrum!$D$3:$M$130,10,0),Centrum!$A$3:$CB$130,BM$132,0))</f>
        <v/>
      </c>
      <c r="BN71" s="318" t="str">
        <f ca="1">IF(OR(OR($A71="",TYPE(VLOOKUP($A71,Centrum!$D$3:$M$130,10,0))&gt;3),$A$1&lt;6),"",VLOOKUP(VLOOKUP($A71,Centrum!$D$3:$M$130,10,0),Centrum!$A$3:$CB$130,BN$132,0))</f>
        <v/>
      </c>
    </row>
    <row r="72" spans="1:66" x14ac:dyDescent="0.4">
      <c r="A72" s="318" t="str">
        <f ca="1">Centrum!A72</f>
        <v/>
      </c>
      <c r="B72" s="421" t="str">
        <f ca="1">IF(OR($A72="",TYPE(VLOOKUP($A72,Centrum!$D$3:$M$130,10,0))&gt;3),"",VLOOKUP(VLOOKUP(A72,Centrum!$D$3:$M$130,10,0),Centrum!$A$3:$CB$130,B$132,0))</f>
        <v/>
      </c>
      <c r="C72" s="318" t="str">
        <f ca="1">IF(OR($A72="",TYPE(VLOOKUP($A72,Centrum!$D$3:$M$130,10,0))&gt;3),"",VLOOKUP($A72,Centrum!$D$3:$M$130,10,0))</f>
        <v/>
      </c>
      <c r="E72" s="318" t="str">
        <f ca="1">IF(OR($A72="",TYPE(VLOOKUP($A72,Centrum!$D$3:$M$130,10,0))&gt;3),"",VLOOKUP(VLOOKUP($A72,Centrum!$D$3:$M$130,10,0),Centrum!$A$3:$CB$130,E$132,0))</f>
        <v/>
      </c>
      <c r="F72" s="318" t="str">
        <f ca="1">IF(OR($A72="",TYPE(VLOOKUP($A72,Centrum!$D$3:$M$130,10,0))&gt;3),"",VLOOKUP(VLOOKUP($A72,Centrum!$D$3:$M$130,10,0),Centrum!$A$3:$CB$130,F$132,0))</f>
        <v/>
      </c>
      <c r="G72" s="318" t="str">
        <f ca="1">IF(OR($A72="",TYPE(VLOOKUP($A72,Centrum!$D$3:$M$130,10,0))&gt;3),"",VLOOKUP(VLOOKUP($A72,Centrum!$D$3:$M$130,10,0),Centrum!$A$3:$CB$130,G$132,0))</f>
        <v/>
      </c>
      <c r="H72" s="318" t="str">
        <f ca="1">IF($A72="","",VLOOKUP(VLOOKUP($A72,Centrum!$D$3:$M$130,10,0),Centrum!$A$3:$CB$130,H$132,0))</f>
        <v/>
      </c>
      <c r="I72" s="318" t="str">
        <f ca="1">IF($A72="","",VLOOKUP(VLOOKUP($A72,Centrum!$D$3:$M$130,10,0),Centrum!$A$3:$CB$130,I$132,0))</f>
        <v/>
      </c>
      <c r="J72" s="318" t="str">
        <f ca="1">IF(OR($A72="",TYPE(VLOOKUP($A72,Centrum!$D$3:$M$130,10,0))&gt;3),"",VLOOKUP(VLOOKUP($A72,Centrum!$D$3:$M$130,10,0),Centrum!$A$3:$CB$130,J$132,0))</f>
        <v/>
      </c>
      <c r="L72" s="318" t="str">
        <f ca="1">IF(OR($A72="",TYPE(VLOOKUP($A72,Centrum!$D$3:$M$130,10,0))&gt;3),"",VLOOKUP(VLOOKUP($A72,Centrum!$D$3:$M$130,10,0),Centrum!$A$3:$CB$130,L$132,0))</f>
        <v/>
      </c>
      <c r="M72" s="318" t="str">
        <f ca="1">IF(OR($A72="",TYPE(VLOOKUP($A72,Centrum!$D$3:$M$130,10,0))&gt;3),"",VLOOKUP(VLOOKUP($A72,Centrum!$D$3:$M$130,10,0),Centrum!$A$3:$CB$130,M$132,0))</f>
        <v/>
      </c>
      <c r="N72" s="318" t="str">
        <f ca="1">IF(OR($A72="",TYPE(VLOOKUP($A72,Centrum!$D$3:$M$130,10,0))&gt;3),"",VLOOKUP(VLOOKUP($A72,Centrum!$D$3:$M$130,10,0),Centrum!$A$3:$CB$130,N$132,0))</f>
        <v/>
      </c>
      <c r="O72" s="318" t="str">
        <f ca="1">IF(OR($A72="",TYPE(VLOOKUP($A72,Centrum!$D$3:$M$130,10,0))&gt;3),"",VLOOKUP(VLOOKUP($A72,Centrum!$D$3:$M$130,10,0),Centrum!$A$3:$CB$130,O$132,0))</f>
        <v/>
      </c>
      <c r="P72" s="318" t="str">
        <f ca="1">IF(OR($A72="",TYPE(VLOOKUP($A72,Centrum!$D$3:$M$130,10,0))&gt;3),"",VLOOKUP(VLOOKUP($A72,Centrum!$D$3:$M$130,10,0),Centrum!$A$3:$CB$130,P$132,0))</f>
        <v/>
      </c>
      <c r="Q72" s="318" t="str">
        <f ca="1">IF(OR($A72="",TYPE(VLOOKUP($A72,Centrum!$D$3:$M$130,10,0))&gt;3),"",VLOOKUP(VLOOKUP($A72,Centrum!$D$3:$M$130,10,0),Centrum!$A$3:$CB$130,Q$132,0))</f>
        <v/>
      </c>
      <c r="S72" s="318" t="str">
        <f ca="1">IF(OR($A72="",TYPE(VLOOKUP($A72,Centrum!$D$3:$M$130,10,0))&gt;3),"",VLOOKUP(VLOOKUP($A72,Centrum!$D$3:$M$130,10,0),Centrum!$A$3:$CB$130,S$132,0))</f>
        <v/>
      </c>
      <c r="T72" s="318" t="str">
        <f ca="1">IF(OR($A72="",TYPE(VLOOKUP($A72,Centrum!$D$3:$M$130,10,0))&gt;3),"",VLOOKUP(VLOOKUP($A72,Centrum!$D$3:$M$130,10,0),Centrum!$A$3:$CB$130,T$132,0))</f>
        <v/>
      </c>
      <c r="U72" s="318" t="str">
        <f ca="1">IF(OR($A72="",TYPE(VLOOKUP($A72,Centrum!$D$3:$M$130,10,0))&gt;3),"",VLOOKUP(VLOOKUP($A72,Centrum!$D$3:$M$130,10,0),Centrum!$A$3:$CB$130,U$132,0))</f>
        <v/>
      </c>
      <c r="AB72" s="318" t="str">
        <f ca="1">IF(OR($A72="",TYPE(VLOOKUP($A72,Centrum!$D$3:$M$130,10,0))&gt;3),"",VLOOKUP(VLOOKUP($A72,Centrum!$D$3:$M$130,10,0),Centrum!$A$3:$CB$130,AB$132,0))</f>
        <v/>
      </c>
      <c r="AC72" s="318" t="str">
        <f ca="1">IF(OR($A72="",TYPE(VLOOKUP($A72,Centrum!$D$3:$M$130,10,0))&gt;3),"",VLOOKUP(VLOOKUP($A72,Centrum!$D$3:$M$130,10,0),Centrum!$A$3:$CB$130,AC$132,0))</f>
        <v/>
      </c>
      <c r="AD72" s="318" t="str">
        <f ca="1">IF(OR($A72="",TYPE(VLOOKUP($A72,Centrum!$D$3:$M$130,10,0))&gt;3),"",VLOOKUP(VLOOKUP($A72,Centrum!$D$3:$M$130,10,0),Centrum!$A$3:$CB$130,AD$132,0))</f>
        <v/>
      </c>
      <c r="AK72" s="318" t="str">
        <f ca="1">IF(OR($A72="",TYPE(VLOOKUP($A72,Centrum!$D$3:$M$130,10,0))&gt;3),"",VLOOKUP(VLOOKUP($A72,Centrum!$D$3:$M$130,10,0),Centrum!$A$3:$CB$130,AK$132,0))</f>
        <v/>
      </c>
      <c r="AL72" s="318" t="str">
        <f ca="1">IF(OR($A72="",TYPE(VLOOKUP($A72,Centrum!$D$3:$M$130,10,0))&gt;3),"",VLOOKUP(VLOOKUP($A72,Centrum!$D$3:$M$130,10,0),Centrum!$A$3:$CB$130,AL$132,0))</f>
        <v/>
      </c>
      <c r="AM72" s="318" t="str">
        <f ca="1">IF(OR($A72="",TYPE(VLOOKUP($A72,Centrum!$D$3:$M$130,10,0))&gt;3),"",VLOOKUP(VLOOKUP($A72,Centrum!$D$3:$M$130,10,0),Centrum!$A$3:$CB$130,AM$132,0))</f>
        <v/>
      </c>
      <c r="AT72" s="318" t="str">
        <f ca="1">IF(OR(OR($A72="",TYPE(VLOOKUP($A72,Centrum!$D$3:$M$130,10,0))&gt;3),$A$1&lt;4),"",VLOOKUP(VLOOKUP($A72,Centrum!$D$3:$M$130,10,0),Centrum!$A$3:$CB$130,AT$132,0))</f>
        <v/>
      </c>
      <c r="AU72" s="318" t="str">
        <f ca="1">IF(OR(OR($A72="",TYPE(VLOOKUP($A72,Centrum!$D$3:$M$130,10,0))&gt;3),$A$1&lt;4),"",VLOOKUP(VLOOKUP($A72,Centrum!$D$3:$M$130,10,0),Centrum!$A$3:$CB$130,AU$132,0))</f>
        <v/>
      </c>
      <c r="AV72" s="318" t="str">
        <f ca="1">IF(OR(OR($A72="",TYPE(VLOOKUP($A72,Centrum!$D$3:$M$130,10,0))&gt;3),$A$1&lt;4),"",VLOOKUP(VLOOKUP($A72,Centrum!$D$3:$M$130,10,0),Centrum!$A$3:$CB$130,AV$132,0))</f>
        <v/>
      </c>
      <c r="BC72" s="318" t="str">
        <f ca="1">IF(OR(OR($A72="",TYPE(VLOOKUP($A72,Centrum!$D$3:$M$130,10,0))&gt;3),$A$1&lt;5),"",VLOOKUP(VLOOKUP($A72,Centrum!$D$3:$M$130,10,0),Centrum!$A$3:$CB$130,BC$132,0))</f>
        <v/>
      </c>
      <c r="BD72" s="318" t="str">
        <f ca="1">IF(OR(OR($A72="",TYPE(VLOOKUP($A72,Centrum!$D$3:$M$130,10,0))&gt;3),$A$1&lt;5),"",VLOOKUP(VLOOKUP($A72,Centrum!$D$3:$M$130,10,0),Centrum!$A$3:$CB$130,BD$132,0))</f>
        <v/>
      </c>
      <c r="BE72" s="318" t="str">
        <f ca="1">IF(OR(OR($A72="",TYPE(VLOOKUP($A72,Centrum!$D$3:$M$130,10,0))&gt;3),$A$1&lt;5),"",VLOOKUP(VLOOKUP($A72,Centrum!$D$3:$M$130,10,0),Centrum!$A$3:$CB$130,BE$132,0))</f>
        <v/>
      </c>
      <c r="BL72" s="318" t="str">
        <f ca="1">IF(OR(OR($A72="",TYPE(VLOOKUP($A72,Centrum!$D$3:$M$130,10,0))&gt;3),$A$1&lt;6),"",VLOOKUP(VLOOKUP($A72,Centrum!$D$3:$M$130,10,0),Centrum!$A$3:$CB$130,BL$132,0))</f>
        <v/>
      </c>
      <c r="BM72" s="318" t="str">
        <f ca="1">IF(OR(OR($A72="",TYPE(VLOOKUP($A72,Centrum!$D$3:$M$130,10,0))&gt;3),$A$1&lt;6),"",VLOOKUP(VLOOKUP($A72,Centrum!$D$3:$M$130,10,0),Centrum!$A$3:$CB$130,BM$132,0))</f>
        <v/>
      </c>
      <c r="BN72" s="318" t="str">
        <f ca="1">IF(OR(OR($A72="",TYPE(VLOOKUP($A72,Centrum!$D$3:$M$130,10,0))&gt;3),$A$1&lt;6),"",VLOOKUP(VLOOKUP($A72,Centrum!$D$3:$M$130,10,0),Centrum!$A$3:$CB$130,BN$132,0))</f>
        <v/>
      </c>
    </row>
    <row r="73" spans="1:66" x14ac:dyDescent="0.4">
      <c r="A73" s="318" t="str">
        <f ca="1">Centrum!A73</f>
        <v/>
      </c>
      <c r="B73" s="421" t="str">
        <f ca="1">IF(OR($A73="",TYPE(VLOOKUP($A73,Centrum!$D$3:$M$130,10,0))&gt;3),"",VLOOKUP(VLOOKUP(A73,Centrum!$D$3:$M$130,10,0),Centrum!$A$3:$CB$130,B$132,0))</f>
        <v/>
      </c>
      <c r="C73" s="318" t="str">
        <f ca="1">IF(OR($A73="",TYPE(VLOOKUP($A73,Centrum!$D$3:$M$130,10,0))&gt;3),"",VLOOKUP($A73,Centrum!$D$3:$M$130,10,0))</f>
        <v/>
      </c>
      <c r="E73" s="318" t="str">
        <f ca="1">IF(OR($A73="",TYPE(VLOOKUP($A73,Centrum!$D$3:$M$130,10,0))&gt;3),"",VLOOKUP(VLOOKUP($A73,Centrum!$D$3:$M$130,10,0),Centrum!$A$3:$CB$130,E$132,0))</f>
        <v/>
      </c>
      <c r="F73" s="318" t="str">
        <f ca="1">IF(OR($A73="",TYPE(VLOOKUP($A73,Centrum!$D$3:$M$130,10,0))&gt;3),"",VLOOKUP(VLOOKUP($A73,Centrum!$D$3:$M$130,10,0),Centrum!$A$3:$CB$130,F$132,0))</f>
        <v/>
      </c>
      <c r="G73" s="318" t="str">
        <f ca="1">IF(OR($A73="",TYPE(VLOOKUP($A73,Centrum!$D$3:$M$130,10,0))&gt;3),"",VLOOKUP(VLOOKUP($A73,Centrum!$D$3:$M$130,10,0),Centrum!$A$3:$CB$130,G$132,0))</f>
        <v/>
      </c>
      <c r="H73" s="318" t="str">
        <f ca="1">IF($A73="","",VLOOKUP(VLOOKUP($A73,Centrum!$D$3:$M$130,10,0),Centrum!$A$3:$CB$130,H$132,0))</f>
        <v/>
      </c>
      <c r="I73" s="318" t="str">
        <f ca="1">IF($A73="","",VLOOKUP(VLOOKUP($A73,Centrum!$D$3:$M$130,10,0),Centrum!$A$3:$CB$130,I$132,0))</f>
        <v/>
      </c>
      <c r="J73" s="318" t="str">
        <f ca="1">IF(OR($A73="",TYPE(VLOOKUP($A73,Centrum!$D$3:$M$130,10,0))&gt;3),"",VLOOKUP(VLOOKUP($A73,Centrum!$D$3:$M$130,10,0),Centrum!$A$3:$CB$130,J$132,0))</f>
        <v/>
      </c>
      <c r="L73" s="318" t="str">
        <f ca="1">IF(OR($A73="",TYPE(VLOOKUP($A73,Centrum!$D$3:$M$130,10,0))&gt;3),"",VLOOKUP(VLOOKUP($A73,Centrum!$D$3:$M$130,10,0),Centrum!$A$3:$CB$130,L$132,0))</f>
        <v/>
      </c>
      <c r="M73" s="318" t="str">
        <f ca="1">IF(OR($A73="",TYPE(VLOOKUP($A73,Centrum!$D$3:$M$130,10,0))&gt;3),"",VLOOKUP(VLOOKUP($A73,Centrum!$D$3:$M$130,10,0),Centrum!$A$3:$CB$130,M$132,0))</f>
        <v/>
      </c>
      <c r="N73" s="318" t="str">
        <f ca="1">IF(OR($A73="",TYPE(VLOOKUP($A73,Centrum!$D$3:$M$130,10,0))&gt;3),"",VLOOKUP(VLOOKUP($A73,Centrum!$D$3:$M$130,10,0),Centrum!$A$3:$CB$130,N$132,0))</f>
        <v/>
      </c>
      <c r="O73" s="318" t="str">
        <f ca="1">IF(OR($A73="",TYPE(VLOOKUP($A73,Centrum!$D$3:$M$130,10,0))&gt;3),"",VLOOKUP(VLOOKUP($A73,Centrum!$D$3:$M$130,10,0),Centrum!$A$3:$CB$130,O$132,0))</f>
        <v/>
      </c>
      <c r="P73" s="318" t="str">
        <f ca="1">IF(OR($A73="",TYPE(VLOOKUP($A73,Centrum!$D$3:$M$130,10,0))&gt;3),"",VLOOKUP(VLOOKUP($A73,Centrum!$D$3:$M$130,10,0),Centrum!$A$3:$CB$130,P$132,0))</f>
        <v/>
      </c>
      <c r="Q73" s="318" t="str">
        <f ca="1">IF(OR($A73="",TYPE(VLOOKUP($A73,Centrum!$D$3:$M$130,10,0))&gt;3),"",VLOOKUP(VLOOKUP($A73,Centrum!$D$3:$M$130,10,0),Centrum!$A$3:$CB$130,Q$132,0))</f>
        <v/>
      </c>
      <c r="S73" s="318" t="str">
        <f ca="1">IF(OR($A73="",TYPE(VLOOKUP($A73,Centrum!$D$3:$M$130,10,0))&gt;3),"",VLOOKUP(VLOOKUP($A73,Centrum!$D$3:$M$130,10,0),Centrum!$A$3:$CB$130,S$132,0))</f>
        <v/>
      </c>
      <c r="T73" s="318" t="str">
        <f ca="1">IF(OR($A73="",TYPE(VLOOKUP($A73,Centrum!$D$3:$M$130,10,0))&gt;3),"",VLOOKUP(VLOOKUP($A73,Centrum!$D$3:$M$130,10,0),Centrum!$A$3:$CB$130,T$132,0))</f>
        <v/>
      </c>
      <c r="U73" s="318" t="str">
        <f ca="1">IF(OR($A73="",TYPE(VLOOKUP($A73,Centrum!$D$3:$M$130,10,0))&gt;3),"",VLOOKUP(VLOOKUP($A73,Centrum!$D$3:$M$130,10,0),Centrum!$A$3:$CB$130,U$132,0))</f>
        <v/>
      </c>
      <c r="AB73" s="318" t="str">
        <f ca="1">IF(OR($A73="",TYPE(VLOOKUP($A73,Centrum!$D$3:$M$130,10,0))&gt;3),"",VLOOKUP(VLOOKUP($A73,Centrum!$D$3:$M$130,10,0),Centrum!$A$3:$CB$130,AB$132,0))</f>
        <v/>
      </c>
      <c r="AC73" s="318" t="str">
        <f ca="1">IF(OR($A73="",TYPE(VLOOKUP($A73,Centrum!$D$3:$M$130,10,0))&gt;3),"",VLOOKUP(VLOOKUP($A73,Centrum!$D$3:$M$130,10,0),Centrum!$A$3:$CB$130,AC$132,0))</f>
        <v/>
      </c>
      <c r="AD73" s="318" t="str">
        <f ca="1">IF(OR($A73="",TYPE(VLOOKUP($A73,Centrum!$D$3:$M$130,10,0))&gt;3),"",VLOOKUP(VLOOKUP($A73,Centrum!$D$3:$M$130,10,0),Centrum!$A$3:$CB$130,AD$132,0))</f>
        <v/>
      </c>
      <c r="AK73" s="318" t="str">
        <f ca="1">IF(OR($A73="",TYPE(VLOOKUP($A73,Centrum!$D$3:$M$130,10,0))&gt;3),"",VLOOKUP(VLOOKUP($A73,Centrum!$D$3:$M$130,10,0),Centrum!$A$3:$CB$130,AK$132,0))</f>
        <v/>
      </c>
      <c r="AL73" s="318" t="str">
        <f ca="1">IF(OR($A73="",TYPE(VLOOKUP($A73,Centrum!$D$3:$M$130,10,0))&gt;3),"",VLOOKUP(VLOOKUP($A73,Centrum!$D$3:$M$130,10,0),Centrum!$A$3:$CB$130,AL$132,0))</f>
        <v/>
      </c>
      <c r="AM73" s="318" t="str">
        <f ca="1">IF(OR($A73="",TYPE(VLOOKUP($A73,Centrum!$D$3:$M$130,10,0))&gt;3),"",VLOOKUP(VLOOKUP($A73,Centrum!$D$3:$M$130,10,0),Centrum!$A$3:$CB$130,AM$132,0))</f>
        <v/>
      </c>
      <c r="AT73" s="318" t="str">
        <f ca="1">IF(OR(OR($A73="",TYPE(VLOOKUP($A73,Centrum!$D$3:$M$130,10,0))&gt;3),$A$1&lt;4),"",VLOOKUP(VLOOKUP($A73,Centrum!$D$3:$M$130,10,0),Centrum!$A$3:$CB$130,AT$132,0))</f>
        <v/>
      </c>
      <c r="AU73" s="318" t="str">
        <f ca="1">IF(OR(OR($A73="",TYPE(VLOOKUP($A73,Centrum!$D$3:$M$130,10,0))&gt;3),$A$1&lt;4),"",VLOOKUP(VLOOKUP($A73,Centrum!$D$3:$M$130,10,0),Centrum!$A$3:$CB$130,AU$132,0))</f>
        <v/>
      </c>
      <c r="AV73" s="318" t="str">
        <f ca="1">IF(OR(OR($A73="",TYPE(VLOOKUP($A73,Centrum!$D$3:$M$130,10,0))&gt;3),$A$1&lt;4),"",VLOOKUP(VLOOKUP($A73,Centrum!$D$3:$M$130,10,0),Centrum!$A$3:$CB$130,AV$132,0))</f>
        <v/>
      </c>
      <c r="BC73" s="318" t="str">
        <f ca="1">IF(OR(OR($A73="",TYPE(VLOOKUP($A73,Centrum!$D$3:$M$130,10,0))&gt;3),$A$1&lt;5),"",VLOOKUP(VLOOKUP($A73,Centrum!$D$3:$M$130,10,0),Centrum!$A$3:$CB$130,BC$132,0))</f>
        <v/>
      </c>
      <c r="BD73" s="318" t="str">
        <f ca="1">IF(OR(OR($A73="",TYPE(VLOOKUP($A73,Centrum!$D$3:$M$130,10,0))&gt;3),$A$1&lt;5),"",VLOOKUP(VLOOKUP($A73,Centrum!$D$3:$M$130,10,0),Centrum!$A$3:$CB$130,BD$132,0))</f>
        <v/>
      </c>
      <c r="BE73" s="318" t="str">
        <f ca="1">IF(OR(OR($A73="",TYPE(VLOOKUP($A73,Centrum!$D$3:$M$130,10,0))&gt;3),$A$1&lt;5),"",VLOOKUP(VLOOKUP($A73,Centrum!$D$3:$M$130,10,0),Centrum!$A$3:$CB$130,BE$132,0))</f>
        <v/>
      </c>
      <c r="BL73" s="318" t="str">
        <f ca="1">IF(OR(OR($A73="",TYPE(VLOOKUP($A73,Centrum!$D$3:$M$130,10,0))&gt;3),$A$1&lt;6),"",VLOOKUP(VLOOKUP($A73,Centrum!$D$3:$M$130,10,0),Centrum!$A$3:$CB$130,BL$132,0))</f>
        <v/>
      </c>
      <c r="BM73" s="318" t="str">
        <f ca="1">IF(OR(OR($A73="",TYPE(VLOOKUP($A73,Centrum!$D$3:$M$130,10,0))&gt;3),$A$1&lt;6),"",VLOOKUP(VLOOKUP($A73,Centrum!$D$3:$M$130,10,0),Centrum!$A$3:$CB$130,BM$132,0))</f>
        <v/>
      </c>
      <c r="BN73" s="318" t="str">
        <f ca="1">IF(OR(OR($A73="",TYPE(VLOOKUP($A73,Centrum!$D$3:$M$130,10,0))&gt;3),$A$1&lt;6),"",VLOOKUP(VLOOKUP($A73,Centrum!$D$3:$M$130,10,0),Centrum!$A$3:$CB$130,BN$132,0))</f>
        <v/>
      </c>
    </row>
    <row r="74" spans="1:66" x14ac:dyDescent="0.4">
      <c r="A74" s="318" t="str">
        <f ca="1">Centrum!A74</f>
        <v/>
      </c>
      <c r="B74" s="421" t="str">
        <f ca="1">IF(OR($A74="",TYPE(VLOOKUP($A74,Centrum!$D$3:$M$130,10,0))&gt;3),"",VLOOKUP(VLOOKUP(A74,Centrum!$D$3:$M$130,10,0),Centrum!$A$3:$CB$130,B$132,0))</f>
        <v/>
      </c>
      <c r="C74" s="318" t="str">
        <f ca="1">IF(OR($A74="",TYPE(VLOOKUP($A74,Centrum!$D$3:$M$130,10,0))&gt;3),"",VLOOKUP($A74,Centrum!$D$3:$M$130,10,0))</f>
        <v/>
      </c>
      <c r="E74" s="318" t="str">
        <f ca="1">IF(OR($A74="",TYPE(VLOOKUP($A74,Centrum!$D$3:$M$130,10,0))&gt;3),"",VLOOKUP(VLOOKUP($A74,Centrum!$D$3:$M$130,10,0),Centrum!$A$3:$CB$130,E$132,0))</f>
        <v/>
      </c>
      <c r="F74" s="318" t="str">
        <f ca="1">IF(OR($A74="",TYPE(VLOOKUP($A74,Centrum!$D$3:$M$130,10,0))&gt;3),"",VLOOKUP(VLOOKUP($A74,Centrum!$D$3:$M$130,10,0),Centrum!$A$3:$CB$130,F$132,0))</f>
        <v/>
      </c>
      <c r="G74" s="318" t="str">
        <f ca="1">IF(OR($A74="",TYPE(VLOOKUP($A74,Centrum!$D$3:$M$130,10,0))&gt;3),"",VLOOKUP(VLOOKUP($A74,Centrum!$D$3:$M$130,10,0),Centrum!$A$3:$CB$130,G$132,0))</f>
        <v/>
      </c>
      <c r="H74" s="318" t="str">
        <f ca="1">IF($A74="","",VLOOKUP(VLOOKUP($A74,Centrum!$D$3:$M$130,10,0),Centrum!$A$3:$CB$130,H$132,0))</f>
        <v/>
      </c>
      <c r="I74" s="318" t="str">
        <f ca="1">IF($A74="","",VLOOKUP(VLOOKUP($A74,Centrum!$D$3:$M$130,10,0),Centrum!$A$3:$CB$130,I$132,0))</f>
        <v/>
      </c>
      <c r="J74" s="318" t="str">
        <f ca="1">IF(OR($A74="",TYPE(VLOOKUP($A74,Centrum!$D$3:$M$130,10,0))&gt;3),"",VLOOKUP(VLOOKUP($A74,Centrum!$D$3:$M$130,10,0),Centrum!$A$3:$CB$130,J$132,0))</f>
        <v/>
      </c>
      <c r="L74" s="318" t="str">
        <f ca="1">IF(OR($A74="",TYPE(VLOOKUP($A74,Centrum!$D$3:$M$130,10,0))&gt;3),"",VLOOKUP(VLOOKUP($A74,Centrum!$D$3:$M$130,10,0),Centrum!$A$3:$CB$130,L$132,0))</f>
        <v/>
      </c>
      <c r="M74" s="318" t="str">
        <f ca="1">IF(OR($A74="",TYPE(VLOOKUP($A74,Centrum!$D$3:$M$130,10,0))&gt;3),"",VLOOKUP(VLOOKUP($A74,Centrum!$D$3:$M$130,10,0),Centrum!$A$3:$CB$130,M$132,0))</f>
        <v/>
      </c>
      <c r="N74" s="318" t="str">
        <f ca="1">IF(OR($A74="",TYPE(VLOOKUP($A74,Centrum!$D$3:$M$130,10,0))&gt;3),"",VLOOKUP(VLOOKUP($A74,Centrum!$D$3:$M$130,10,0),Centrum!$A$3:$CB$130,N$132,0))</f>
        <v/>
      </c>
      <c r="O74" s="318" t="str">
        <f ca="1">IF(OR($A74="",TYPE(VLOOKUP($A74,Centrum!$D$3:$M$130,10,0))&gt;3),"",VLOOKUP(VLOOKUP($A74,Centrum!$D$3:$M$130,10,0),Centrum!$A$3:$CB$130,O$132,0))</f>
        <v/>
      </c>
      <c r="P74" s="318" t="str">
        <f ca="1">IF(OR($A74="",TYPE(VLOOKUP($A74,Centrum!$D$3:$M$130,10,0))&gt;3),"",VLOOKUP(VLOOKUP($A74,Centrum!$D$3:$M$130,10,0),Centrum!$A$3:$CB$130,P$132,0))</f>
        <v/>
      </c>
      <c r="Q74" s="318" t="str">
        <f ca="1">IF(OR($A74="",TYPE(VLOOKUP($A74,Centrum!$D$3:$M$130,10,0))&gt;3),"",VLOOKUP(VLOOKUP($A74,Centrum!$D$3:$M$130,10,0),Centrum!$A$3:$CB$130,Q$132,0))</f>
        <v/>
      </c>
      <c r="S74" s="318" t="str">
        <f ca="1">IF(OR($A74="",TYPE(VLOOKUP($A74,Centrum!$D$3:$M$130,10,0))&gt;3),"",VLOOKUP(VLOOKUP($A74,Centrum!$D$3:$M$130,10,0),Centrum!$A$3:$CB$130,S$132,0))</f>
        <v/>
      </c>
      <c r="T74" s="318" t="str">
        <f ca="1">IF(OR($A74="",TYPE(VLOOKUP($A74,Centrum!$D$3:$M$130,10,0))&gt;3),"",VLOOKUP(VLOOKUP($A74,Centrum!$D$3:$M$130,10,0),Centrum!$A$3:$CB$130,T$132,0))</f>
        <v/>
      </c>
      <c r="U74" s="318" t="str">
        <f ca="1">IF(OR($A74="",TYPE(VLOOKUP($A74,Centrum!$D$3:$M$130,10,0))&gt;3),"",VLOOKUP(VLOOKUP($A74,Centrum!$D$3:$M$130,10,0),Centrum!$A$3:$CB$130,U$132,0))</f>
        <v/>
      </c>
      <c r="AB74" s="318" t="str">
        <f ca="1">IF(OR($A74="",TYPE(VLOOKUP($A74,Centrum!$D$3:$M$130,10,0))&gt;3),"",VLOOKUP(VLOOKUP($A74,Centrum!$D$3:$M$130,10,0),Centrum!$A$3:$CB$130,AB$132,0))</f>
        <v/>
      </c>
      <c r="AC74" s="318" t="str">
        <f ca="1">IF(OR($A74="",TYPE(VLOOKUP($A74,Centrum!$D$3:$M$130,10,0))&gt;3),"",VLOOKUP(VLOOKUP($A74,Centrum!$D$3:$M$130,10,0),Centrum!$A$3:$CB$130,AC$132,0))</f>
        <v/>
      </c>
      <c r="AD74" s="318" t="str">
        <f ca="1">IF(OR($A74="",TYPE(VLOOKUP($A74,Centrum!$D$3:$M$130,10,0))&gt;3),"",VLOOKUP(VLOOKUP($A74,Centrum!$D$3:$M$130,10,0),Centrum!$A$3:$CB$130,AD$132,0))</f>
        <v/>
      </c>
      <c r="AK74" s="318" t="str">
        <f ca="1">IF(OR($A74="",TYPE(VLOOKUP($A74,Centrum!$D$3:$M$130,10,0))&gt;3),"",VLOOKUP(VLOOKUP($A74,Centrum!$D$3:$M$130,10,0),Centrum!$A$3:$CB$130,AK$132,0))</f>
        <v/>
      </c>
      <c r="AL74" s="318" t="str">
        <f ca="1">IF(OR($A74="",TYPE(VLOOKUP($A74,Centrum!$D$3:$M$130,10,0))&gt;3),"",VLOOKUP(VLOOKUP($A74,Centrum!$D$3:$M$130,10,0),Centrum!$A$3:$CB$130,AL$132,0))</f>
        <v/>
      </c>
      <c r="AM74" s="318" t="str">
        <f ca="1">IF(OR($A74="",TYPE(VLOOKUP($A74,Centrum!$D$3:$M$130,10,0))&gt;3),"",VLOOKUP(VLOOKUP($A74,Centrum!$D$3:$M$130,10,0),Centrum!$A$3:$CB$130,AM$132,0))</f>
        <v/>
      </c>
      <c r="AT74" s="318" t="str">
        <f ca="1">IF(OR(OR($A74="",TYPE(VLOOKUP($A74,Centrum!$D$3:$M$130,10,0))&gt;3),$A$1&lt;4),"",VLOOKUP(VLOOKUP($A74,Centrum!$D$3:$M$130,10,0),Centrum!$A$3:$CB$130,AT$132,0))</f>
        <v/>
      </c>
      <c r="AU74" s="318" t="str">
        <f ca="1">IF(OR(OR($A74="",TYPE(VLOOKUP($A74,Centrum!$D$3:$M$130,10,0))&gt;3),$A$1&lt;4),"",VLOOKUP(VLOOKUP($A74,Centrum!$D$3:$M$130,10,0),Centrum!$A$3:$CB$130,AU$132,0))</f>
        <v/>
      </c>
      <c r="AV74" s="318" t="str">
        <f ca="1">IF(OR(OR($A74="",TYPE(VLOOKUP($A74,Centrum!$D$3:$M$130,10,0))&gt;3),$A$1&lt;4),"",VLOOKUP(VLOOKUP($A74,Centrum!$D$3:$M$130,10,0),Centrum!$A$3:$CB$130,AV$132,0))</f>
        <v/>
      </c>
      <c r="BC74" s="318" t="str">
        <f ca="1">IF(OR(OR($A74="",TYPE(VLOOKUP($A74,Centrum!$D$3:$M$130,10,0))&gt;3),$A$1&lt;5),"",VLOOKUP(VLOOKUP($A74,Centrum!$D$3:$M$130,10,0),Centrum!$A$3:$CB$130,BC$132,0))</f>
        <v/>
      </c>
      <c r="BD74" s="318" t="str">
        <f ca="1">IF(OR(OR($A74="",TYPE(VLOOKUP($A74,Centrum!$D$3:$M$130,10,0))&gt;3),$A$1&lt;5),"",VLOOKUP(VLOOKUP($A74,Centrum!$D$3:$M$130,10,0),Centrum!$A$3:$CB$130,BD$132,0))</f>
        <v/>
      </c>
      <c r="BE74" s="318" t="str">
        <f ca="1">IF(OR(OR($A74="",TYPE(VLOOKUP($A74,Centrum!$D$3:$M$130,10,0))&gt;3),$A$1&lt;5),"",VLOOKUP(VLOOKUP($A74,Centrum!$D$3:$M$130,10,0),Centrum!$A$3:$CB$130,BE$132,0))</f>
        <v/>
      </c>
      <c r="BL74" s="318" t="str">
        <f ca="1">IF(OR(OR($A74="",TYPE(VLOOKUP($A74,Centrum!$D$3:$M$130,10,0))&gt;3),$A$1&lt;6),"",VLOOKUP(VLOOKUP($A74,Centrum!$D$3:$M$130,10,0),Centrum!$A$3:$CB$130,BL$132,0))</f>
        <v/>
      </c>
      <c r="BM74" s="318" t="str">
        <f ca="1">IF(OR(OR($A74="",TYPE(VLOOKUP($A74,Centrum!$D$3:$M$130,10,0))&gt;3),$A$1&lt;6),"",VLOOKUP(VLOOKUP($A74,Centrum!$D$3:$M$130,10,0),Centrum!$A$3:$CB$130,BM$132,0))</f>
        <v/>
      </c>
      <c r="BN74" s="318" t="str">
        <f ca="1">IF(OR(OR($A74="",TYPE(VLOOKUP($A74,Centrum!$D$3:$M$130,10,0))&gt;3),$A$1&lt;6),"",VLOOKUP(VLOOKUP($A74,Centrum!$D$3:$M$130,10,0),Centrum!$A$3:$CB$130,BN$132,0))</f>
        <v/>
      </c>
    </row>
    <row r="75" spans="1:66" x14ac:dyDescent="0.4">
      <c r="A75" s="318" t="str">
        <f ca="1">Centrum!A75</f>
        <v/>
      </c>
      <c r="B75" s="421" t="str">
        <f ca="1">IF(OR($A75="",TYPE(VLOOKUP($A75,Centrum!$D$3:$M$130,10,0))&gt;3),"",VLOOKUP(VLOOKUP(A75,Centrum!$D$3:$M$130,10,0),Centrum!$A$3:$CB$130,B$132,0))</f>
        <v/>
      </c>
      <c r="C75" s="318" t="str">
        <f ca="1">IF(OR($A75="",TYPE(VLOOKUP($A75,Centrum!$D$3:$M$130,10,0))&gt;3),"",VLOOKUP($A75,Centrum!$D$3:$M$130,10,0))</f>
        <v/>
      </c>
      <c r="E75" s="318" t="str">
        <f ca="1">IF(OR($A75="",TYPE(VLOOKUP($A75,Centrum!$D$3:$M$130,10,0))&gt;3),"",VLOOKUP(VLOOKUP($A75,Centrum!$D$3:$M$130,10,0),Centrum!$A$3:$CB$130,E$132,0))</f>
        <v/>
      </c>
      <c r="F75" s="318" t="str">
        <f ca="1">IF(OR($A75="",TYPE(VLOOKUP($A75,Centrum!$D$3:$M$130,10,0))&gt;3),"",VLOOKUP(VLOOKUP($A75,Centrum!$D$3:$M$130,10,0),Centrum!$A$3:$CB$130,F$132,0))</f>
        <v/>
      </c>
      <c r="G75" s="318" t="str">
        <f ca="1">IF(OR($A75="",TYPE(VLOOKUP($A75,Centrum!$D$3:$M$130,10,0))&gt;3),"",VLOOKUP(VLOOKUP($A75,Centrum!$D$3:$M$130,10,0),Centrum!$A$3:$CB$130,G$132,0))</f>
        <v/>
      </c>
      <c r="H75" s="318" t="str">
        <f ca="1">IF($A75="","",VLOOKUP(VLOOKUP($A75,Centrum!$D$3:$M$130,10,0),Centrum!$A$3:$CB$130,H$132,0))</f>
        <v/>
      </c>
      <c r="I75" s="318" t="str">
        <f ca="1">IF($A75="","",VLOOKUP(VLOOKUP($A75,Centrum!$D$3:$M$130,10,0),Centrum!$A$3:$CB$130,I$132,0))</f>
        <v/>
      </c>
      <c r="J75" s="318" t="str">
        <f ca="1">IF(OR($A75="",TYPE(VLOOKUP($A75,Centrum!$D$3:$M$130,10,0))&gt;3),"",VLOOKUP(VLOOKUP($A75,Centrum!$D$3:$M$130,10,0),Centrum!$A$3:$CB$130,J$132,0))</f>
        <v/>
      </c>
      <c r="L75" s="318" t="str">
        <f ca="1">IF(OR($A75="",TYPE(VLOOKUP($A75,Centrum!$D$3:$M$130,10,0))&gt;3),"",VLOOKUP(VLOOKUP($A75,Centrum!$D$3:$M$130,10,0),Centrum!$A$3:$CB$130,L$132,0))</f>
        <v/>
      </c>
      <c r="M75" s="318" t="str">
        <f ca="1">IF(OR($A75="",TYPE(VLOOKUP($A75,Centrum!$D$3:$M$130,10,0))&gt;3),"",VLOOKUP(VLOOKUP($A75,Centrum!$D$3:$M$130,10,0),Centrum!$A$3:$CB$130,M$132,0))</f>
        <v/>
      </c>
      <c r="N75" s="318" t="str">
        <f ca="1">IF(OR($A75="",TYPE(VLOOKUP($A75,Centrum!$D$3:$M$130,10,0))&gt;3),"",VLOOKUP(VLOOKUP($A75,Centrum!$D$3:$M$130,10,0),Centrum!$A$3:$CB$130,N$132,0))</f>
        <v/>
      </c>
      <c r="O75" s="318" t="str">
        <f ca="1">IF(OR($A75="",TYPE(VLOOKUP($A75,Centrum!$D$3:$M$130,10,0))&gt;3),"",VLOOKUP(VLOOKUP($A75,Centrum!$D$3:$M$130,10,0),Centrum!$A$3:$CB$130,O$132,0))</f>
        <v/>
      </c>
      <c r="P75" s="318" t="str">
        <f ca="1">IF(OR($A75="",TYPE(VLOOKUP($A75,Centrum!$D$3:$M$130,10,0))&gt;3),"",VLOOKUP(VLOOKUP($A75,Centrum!$D$3:$M$130,10,0),Centrum!$A$3:$CB$130,P$132,0))</f>
        <v/>
      </c>
      <c r="Q75" s="318" t="str">
        <f ca="1">IF(OR($A75="",TYPE(VLOOKUP($A75,Centrum!$D$3:$M$130,10,0))&gt;3),"",VLOOKUP(VLOOKUP($A75,Centrum!$D$3:$M$130,10,0),Centrum!$A$3:$CB$130,Q$132,0))</f>
        <v/>
      </c>
      <c r="S75" s="318" t="str">
        <f ca="1">IF(OR($A75="",TYPE(VLOOKUP($A75,Centrum!$D$3:$M$130,10,0))&gt;3),"",VLOOKUP(VLOOKUP($A75,Centrum!$D$3:$M$130,10,0),Centrum!$A$3:$CB$130,S$132,0))</f>
        <v/>
      </c>
      <c r="T75" s="318" t="str">
        <f ca="1">IF(OR($A75="",TYPE(VLOOKUP($A75,Centrum!$D$3:$M$130,10,0))&gt;3),"",VLOOKUP(VLOOKUP($A75,Centrum!$D$3:$M$130,10,0),Centrum!$A$3:$CB$130,T$132,0))</f>
        <v/>
      </c>
      <c r="U75" s="318" t="str">
        <f ca="1">IF(OR($A75="",TYPE(VLOOKUP($A75,Centrum!$D$3:$M$130,10,0))&gt;3),"",VLOOKUP(VLOOKUP($A75,Centrum!$D$3:$M$130,10,0),Centrum!$A$3:$CB$130,U$132,0))</f>
        <v/>
      </c>
      <c r="AB75" s="318" t="str">
        <f ca="1">IF(OR($A75="",TYPE(VLOOKUP($A75,Centrum!$D$3:$M$130,10,0))&gt;3),"",VLOOKUP(VLOOKUP($A75,Centrum!$D$3:$M$130,10,0),Centrum!$A$3:$CB$130,AB$132,0))</f>
        <v/>
      </c>
      <c r="AC75" s="318" t="str">
        <f ca="1">IF(OR($A75="",TYPE(VLOOKUP($A75,Centrum!$D$3:$M$130,10,0))&gt;3),"",VLOOKUP(VLOOKUP($A75,Centrum!$D$3:$M$130,10,0),Centrum!$A$3:$CB$130,AC$132,0))</f>
        <v/>
      </c>
      <c r="AD75" s="318" t="str">
        <f ca="1">IF(OR($A75="",TYPE(VLOOKUP($A75,Centrum!$D$3:$M$130,10,0))&gt;3),"",VLOOKUP(VLOOKUP($A75,Centrum!$D$3:$M$130,10,0),Centrum!$A$3:$CB$130,AD$132,0))</f>
        <v/>
      </c>
      <c r="AK75" s="318" t="str">
        <f ca="1">IF(OR($A75="",TYPE(VLOOKUP($A75,Centrum!$D$3:$M$130,10,0))&gt;3),"",VLOOKUP(VLOOKUP($A75,Centrum!$D$3:$M$130,10,0),Centrum!$A$3:$CB$130,AK$132,0))</f>
        <v/>
      </c>
      <c r="AL75" s="318" t="str">
        <f ca="1">IF(OR($A75="",TYPE(VLOOKUP($A75,Centrum!$D$3:$M$130,10,0))&gt;3),"",VLOOKUP(VLOOKUP($A75,Centrum!$D$3:$M$130,10,0),Centrum!$A$3:$CB$130,AL$132,0))</f>
        <v/>
      </c>
      <c r="AM75" s="318" t="str">
        <f ca="1">IF(OR($A75="",TYPE(VLOOKUP($A75,Centrum!$D$3:$M$130,10,0))&gt;3),"",VLOOKUP(VLOOKUP($A75,Centrum!$D$3:$M$130,10,0),Centrum!$A$3:$CB$130,AM$132,0))</f>
        <v/>
      </c>
      <c r="AT75" s="318" t="str">
        <f ca="1">IF(OR(OR($A75="",TYPE(VLOOKUP($A75,Centrum!$D$3:$M$130,10,0))&gt;3),$A$1&lt;4),"",VLOOKUP(VLOOKUP($A75,Centrum!$D$3:$M$130,10,0),Centrum!$A$3:$CB$130,AT$132,0))</f>
        <v/>
      </c>
      <c r="AU75" s="318" t="str">
        <f ca="1">IF(OR(OR($A75="",TYPE(VLOOKUP($A75,Centrum!$D$3:$M$130,10,0))&gt;3),$A$1&lt;4),"",VLOOKUP(VLOOKUP($A75,Centrum!$D$3:$M$130,10,0),Centrum!$A$3:$CB$130,AU$132,0))</f>
        <v/>
      </c>
      <c r="AV75" s="318" t="str">
        <f ca="1">IF(OR(OR($A75="",TYPE(VLOOKUP($A75,Centrum!$D$3:$M$130,10,0))&gt;3),$A$1&lt;4),"",VLOOKUP(VLOOKUP($A75,Centrum!$D$3:$M$130,10,0),Centrum!$A$3:$CB$130,AV$132,0))</f>
        <v/>
      </c>
      <c r="BC75" s="318" t="str">
        <f ca="1">IF(OR(OR($A75="",TYPE(VLOOKUP($A75,Centrum!$D$3:$M$130,10,0))&gt;3),$A$1&lt;5),"",VLOOKUP(VLOOKUP($A75,Centrum!$D$3:$M$130,10,0),Centrum!$A$3:$CB$130,BC$132,0))</f>
        <v/>
      </c>
      <c r="BD75" s="318" t="str">
        <f ca="1">IF(OR(OR($A75="",TYPE(VLOOKUP($A75,Centrum!$D$3:$M$130,10,0))&gt;3),$A$1&lt;5),"",VLOOKUP(VLOOKUP($A75,Centrum!$D$3:$M$130,10,0),Centrum!$A$3:$CB$130,BD$132,0))</f>
        <v/>
      </c>
      <c r="BE75" s="318" t="str">
        <f ca="1">IF(OR(OR($A75="",TYPE(VLOOKUP($A75,Centrum!$D$3:$M$130,10,0))&gt;3),$A$1&lt;5),"",VLOOKUP(VLOOKUP($A75,Centrum!$D$3:$M$130,10,0),Centrum!$A$3:$CB$130,BE$132,0))</f>
        <v/>
      </c>
      <c r="BL75" s="318" t="str">
        <f ca="1">IF(OR(OR($A75="",TYPE(VLOOKUP($A75,Centrum!$D$3:$M$130,10,0))&gt;3),$A$1&lt;6),"",VLOOKUP(VLOOKUP($A75,Centrum!$D$3:$M$130,10,0),Centrum!$A$3:$CB$130,BL$132,0))</f>
        <v/>
      </c>
      <c r="BM75" s="318" t="str">
        <f ca="1">IF(OR(OR($A75="",TYPE(VLOOKUP($A75,Centrum!$D$3:$M$130,10,0))&gt;3),$A$1&lt;6),"",VLOOKUP(VLOOKUP($A75,Centrum!$D$3:$M$130,10,0),Centrum!$A$3:$CB$130,BM$132,0))</f>
        <v/>
      </c>
      <c r="BN75" s="318" t="str">
        <f ca="1">IF(OR(OR($A75="",TYPE(VLOOKUP($A75,Centrum!$D$3:$M$130,10,0))&gt;3),$A$1&lt;6),"",VLOOKUP(VLOOKUP($A75,Centrum!$D$3:$M$130,10,0),Centrum!$A$3:$CB$130,BN$132,0))</f>
        <v/>
      </c>
    </row>
    <row r="76" spans="1:66" x14ac:dyDescent="0.4">
      <c r="A76" s="318" t="str">
        <f ca="1">Centrum!A76</f>
        <v/>
      </c>
      <c r="B76" s="421" t="str">
        <f ca="1">IF(OR($A76="",TYPE(VLOOKUP($A76,Centrum!$D$3:$M$130,10,0))&gt;3),"",VLOOKUP(VLOOKUP(A76,Centrum!$D$3:$M$130,10,0),Centrum!$A$3:$CB$130,B$132,0))</f>
        <v/>
      </c>
      <c r="C76" s="318" t="str">
        <f ca="1">IF(OR($A76="",TYPE(VLOOKUP($A76,Centrum!$D$3:$M$130,10,0))&gt;3),"",VLOOKUP($A76,Centrum!$D$3:$M$130,10,0))</f>
        <v/>
      </c>
      <c r="E76" s="318" t="str">
        <f ca="1">IF(OR($A76="",TYPE(VLOOKUP($A76,Centrum!$D$3:$M$130,10,0))&gt;3),"",VLOOKUP(VLOOKUP($A76,Centrum!$D$3:$M$130,10,0),Centrum!$A$3:$CB$130,E$132,0))</f>
        <v/>
      </c>
      <c r="F76" s="318" t="str">
        <f ca="1">IF(OR($A76="",TYPE(VLOOKUP($A76,Centrum!$D$3:$M$130,10,0))&gt;3),"",VLOOKUP(VLOOKUP($A76,Centrum!$D$3:$M$130,10,0),Centrum!$A$3:$CB$130,F$132,0))</f>
        <v/>
      </c>
      <c r="G76" s="318" t="str">
        <f ca="1">IF(OR($A76="",TYPE(VLOOKUP($A76,Centrum!$D$3:$M$130,10,0))&gt;3),"",VLOOKUP(VLOOKUP($A76,Centrum!$D$3:$M$130,10,0),Centrum!$A$3:$CB$130,G$132,0))</f>
        <v/>
      </c>
      <c r="H76" s="318" t="str">
        <f ca="1">IF($A76="","",VLOOKUP(VLOOKUP($A76,Centrum!$D$3:$M$130,10,0),Centrum!$A$3:$CB$130,H$132,0))</f>
        <v/>
      </c>
      <c r="I76" s="318" t="str">
        <f ca="1">IF($A76="","",VLOOKUP(VLOOKUP($A76,Centrum!$D$3:$M$130,10,0),Centrum!$A$3:$CB$130,I$132,0))</f>
        <v/>
      </c>
      <c r="J76" s="318" t="str">
        <f ca="1">IF(OR($A76="",TYPE(VLOOKUP($A76,Centrum!$D$3:$M$130,10,0))&gt;3),"",VLOOKUP(VLOOKUP($A76,Centrum!$D$3:$M$130,10,0),Centrum!$A$3:$CB$130,J$132,0))</f>
        <v/>
      </c>
      <c r="L76" s="318" t="str">
        <f ca="1">IF(OR($A76="",TYPE(VLOOKUP($A76,Centrum!$D$3:$M$130,10,0))&gt;3),"",VLOOKUP(VLOOKUP($A76,Centrum!$D$3:$M$130,10,0),Centrum!$A$3:$CB$130,L$132,0))</f>
        <v/>
      </c>
      <c r="M76" s="318" t="str">
        <f ca="1">IF(OR($A76="",TYPE(VLOOKUP($A76,Centrum!$D$3:$M$130,10,0))&gt;3),"",VLOOKUP(VLOOKUP($A76,Centrum!$D$3:$M$130,10,0),Centrum!$A$3:$CB$130,M$132,0))</f>
        <v/>
      </c>
      <c r="N76" s="318" t="str">
        <f ca="1">IF(OR($A76="",TYPE(VLOOKUP($A76,Centrum!$D$3:$M$130,10,0))&gt;3),"",VLOOKUP(VLOOKUP($A76,Centrum!$D$3:$M$130,10,0),Centrum!$A$3:$CB$130,N$132,0))</f>
        <v/>
      </c>
      <c r="O76" s="318" t="str">
        <f ca="1">IF(OR($A76="",TYPE(VLOOKUP($A76,Centrum!$D$3:$M$130,10,0))&gt;3),"",VLOOKUP(VLOOKUP($A76,Centrum!$D$3:$M$130,10,0),Centrum!$A$3:$CB$130,O$132,0))</f>
        <v/>
      </c>
      <c r="P76" s="318" t="str">
        <f ca="1">IF(OR($A76="",TYPE(VLOOKUP($A76,Centrum!$D$3:$M$130,10,0))&gt;3),"",VLOOKUP(VLOOKUP($A76,Centrum!$D$3:$M$130,10,0),Centrum!$A$3:$CB$130,P$132,0))</f>
        <v/>
      </c>
      <c r="Q76" s="318" t="str">
        <f ca="1">IF(OR($A76="",TYPE(VLOOKUP($A76,Centrum!$D$3:$M$130,10,0))&gt;3),"",VLOOKUP(VLOOKUP($A76,Centrum!$D$3:$M$130,10,0),Centrum!$A$3:$CB$130,Q$132,0))</f>
        <v/>
      </c>
      <c r="S76" s="318" t="str">
        <f ca="1">IF(OR($A76="",TYPE(VLOOKUP($A76,Centrum!$D$3:$M$130,10,0))&gt;3),"",VLOOKUP(VLOOKUP($A76,Centrum!$D$3:$M$130,10,0),Centrum!$A$3:$CB$130,S$132,0))</f>
        <v/>
      </c>
      <c r="T76" s="318" t="str">
        <f ca="1">IF(OR($A76="",TYPE(VLOOKUP($A76,Centrum!$D$3:$M$130,10,0))&gt;3),"",VLOOKUP(VLOOKUP($A76,Centrum!$D$3:$M$130,10,0),Centrum!$A$3:$CB$130,T$132,0))</f>
        <v/>
      </c>
      <c r="U76" s="318" t="str">
        <f ca="1">IF(OR($A76="",TYPE(VLOOKUP($A76,Centrum!$D$3:$M$130,10,0))&gt;3),"",VLOOKUP(VLOOKUP($A76,Centrum!$D$3:$M$130,10,0),Centrum!$A$3:$CB$130,U$132,0))</f>
        <v/>
      </c>
      <c r="AB76" s="318" t="str">
        <f ca="1">IF(OR($A76="",TYPE(VLOOKUP($A76,Centrum!$D$3:$M$130,10,0))&gt;3),"",VLOOKUP(VLOOKUP($A76,Centrum!$D$3:$M$130,10,0),Centrum!$A$3:$CB$130,AB$132,0))</f>
        <v/>
      </c>
      <c r="AC76" s="318" t="str">
        <f ca="1">IF(OR($A76="",TYPE(VLOOKUP($A76,Centrum!$D$3:$M$130,10,0))&gt;3),"",VLOOKUP(VLOOKUP($A76,Centrum!$D$3:$M$130,10,0),Centrum!$A$3:$CB$130,AC$132,0))</f>
        <v/>
      </c>
      <c r="AD76" s="318" t="str">
        <f ca="1">IF(OR($A76="",TYPE(VLOOKUP($A76,Centrum!$D$3:$M$130,10,0))&gt;3),"",VLOOKUP(VLOOKUP($A76,Centrum!$D$3:$M$130,10,0),Centrum!$A$3:$CB$130,AD$132,0))</f>
        <v/>
      </c>
      <c r="AK76" s="318" t="str">
        <f ca="1">IF(OR($A76="",TYPE(VLOOKUP($A76,Centrum!$D$3:$M$130,10,0))&gt;3),"",VLOOKUP(VLOOKUP($A76,Centrum!$D$3:$M$130,10,0),Centrum!$A$3:$CB$130,AK$132,0))</f>
        <v/>
      </c>
      <c r="AL76" s="318" t="str">
        <f ca="1">IF(OR($A76="",TYPE(VLOOKUP($A76,Centrum!$D$3:$M$130,10,0))&gt;3),"",VLOOKUP(VLOOKUP($A76,Centrum!$D$3:$M$130,10,0),Centrum!$A$3:$CB$130,AL$132,0))</f>
        <v/>
      </c>
      <c r="AM76" s="318" t="str">
        <f ca="1">IF(OR($A76="",TYPE(VLOOKUP($A76,Centrum!$D$3:$M$130,10,0))&gt;3),"",VLOOKUP(VLOOKUP($A76,Centrum!$D$3:$M$130,10,0),Centrum!$A$3:$CB$130,AM$132,0))</f>
        <v/>
      </c>
      <c r="AT76" s="318" t="str">
        <f ca="1">IF(OR(OR($A76="",TYPE(VLOOKUP($A76,Centrum!$D$3:$M$130,10,0))&gt;3),$A$1&lt;4),"",VLOOKUP(VLOOKUP($A76,Centrum!$D$3:$M$130,10,0),Centrum!$A$3:$CB$130,AT$132,0))</f>
        <v/>
      </c>
      <c r="AU76" s="318" t="str">
        <f ca="1">IF(OR(OR($A76="",TYPE(VLOOKUP($A76,Centrum!$D$3:$M$130,10,0))&gt;3),$A$1&lt;4),"",VLOOKUP(VLOOKUP($A76,Centrum!$D$3:$M$130,10,0),Centrum!$A$3:$CB$130,AU$132,0))</f>
        <v/>
      </c>
      <c r="AV76" s="318" t="str">
        <f ca="1">IF(OR(OR($A76="",TYPE(VLOOKUP($A76,Centrum!$D$3:$M$130,10,0))&gt;3),$A$1&lt;4),"",VLOOKUP(VLOOKUP($A76,Centrum!$D$3:$M$130,10,0),Centrum!$A$3:$CB$130,AV$132,0))</f>
        <v/>
      </c>
      <c r="BC76" s="318" t="str">
        <f ca="1">IF(OR(OR($A76="",TYPE(VLOOKUP($A76,Centrum!$D$3:$M$130,10,0))&gt;3),$A$1&lt;5),"",VLOOKUP(VLOOKUP($A76,Centrum!$D$3:$M$130,10,0),Centrum!$A$3:$CB$130,BC$132,0))</f>
        <v/>
      </c>
      <c r="BD76" s="318" t="str">
        <f ca="1">IF(OR(OR($A76="",TYPE(VLOOKUP($A76,Centrum!$D$3:$M$130,10,0))&gt;3),$A$1&lt;5),"",VLOOKUP(VLOOKUP($A76,Centrum!$D$3:$M$130,10,0),Centrum!$A$3:$CB$130,BD$132,0))</f>
        <v/>
      </c>
      <c r="BE76" s="318" t="str">
        <f ca="1">IF(OR(OR($A76="",TYPE(VLOOKUP($A76,Centrum!$D$3:$M$130,10,0))&gt;3),$A$1&lt;5),"",VLOOKUP(VLOOKUP($A76,Centrum!$D$3:$M$130,10,0),Centrum!$A$3:$CB$130,BE$132,0))</f>
        <v/>
      </c>
      <c r="BL76" s="318" t="str">
        <f ca="1">IF(OR(OR($A76="",TYPE(VLOOKUP($A76,Centrum!$D$3:$M$130,10,0))&gt;3),$A$1&lt;6),"",VLOOKUP(VLOOKUP($A76,Centrum!$D$3:$M$130,10,0),Centrum!$A$3:$CB$130,BL$132,0))</f>
        <v/>
      </c>
      <c r="BM76" s="318" t="str">
        <f ca="1">IF(OR(OR($A76="",TYPE(VLOOKUP($A76,Centrum!$D$3:$M$130,10,0))&gt;3),$A$1&lt;6),"",VLOOKUP(VLOOKUP($A76,Centrum!$D$3:$M$130,10,0),Centrum!$A$3:$CB$130,BM$132,0))</f>
        <v/>
      </c>
      <c r="BN76" s="318" t="str">
        <f ca="1">IF(OR(OR($A76="",TYPE(VLOOKUP($A76,Centrum!$D$3:$M$130,10,0))&gt;3),$A$1&lt;6),"",VLOOKUP(VLOOKUP($A76,Centrum!$D$3:$M$130,10,0),Centrum!$A$3:$CB$130,BN$132,0))</f>
        <v/>
      </c>
    </row>
    <row r="77" spans="1:66" x14ac:dyDescent="0.4">
      <c r="A77" s="318" t="str">
        <f ca="1">Centrum!A77</f>
        <v/>
      </c>
      <c r="B77" s="421" t="str">
        <f ca="1">IF(OR($A77="",TYPE(VLOOKUP($A77,Centrum!$D$3:$M$130,10,0))&gt;3),"",VLOOKUP(VLOOKUP(A77,Centrum!$D$3:$M$130,10,0),Centrum!$A$3:$CB$130,B$132,0))</f>
        <v/>
      </c>
      <c r="C77" s="318" t="str">
        <f ca="1">IF(OR($A77="",TYPE(VLOOKUP($A77,Centrum!$D$3:$M$130,10,0))&gt;3),"",VLOOKUP($A77,Centrum!$D$3:$M$130,10,0))</f>
        <v/>
      </c>
      <c r="E77" s="318" t="str">
        <f ca="1">IF(OR($A77="",TYPE(VLOOKUP($A77,Centrum!$D$3:$M$130,10,0))&gt;3),"",VLOOKUP(VLOOKUP($A77,Centrum!$D$3:$M$130,10,0),Centrum!$A$3:$CB$130,E$132,0))</f>
        <v/>
      </c>
      <c r="F77" s="318" t="str">
        <f ca="1">IF(OR($A77="",TYPE(VLOOKUP($A77,Centrum!$D$3:$M$130,10,0))&gt;3),"",VLOOKUP(VLOOKUP($A77,Centrum!$D$3:$M$130,10,0),Centrum!$A$3:$CB$130,F$132,0))</f>
        <v/>
      </c>
      <c r="G77" s="318" t="str">
        <f ca="1">IF(OR($A77="",TYPE(VLOOKUP($A77,Centrum!$D$3:$M$130,10,0))&gt;3),"",VLOOKUP(VLOOKUP($A77,Centrum!$D$3:$M$130,10,0),Centrum!$A$3:$CB$130,G$132,0))</f>
        <v/>
      </c>
      <c r="H77" s="318" t="str">
        <f ca="1">IF($A77="","",VLOOKUP(VLOOKUP($A77,Centrum!$D$3:$M$130,10,0),Centrum!$A$3:$CB$130,H$132,0))</f>
        <v/>
      </c>
      <c r="I77" s="318" t="str">
        <f ca="1">IF($A77="","",VLOOKUP(VLOOKUP($A77,Centrum!$D$3:$M$130,10,0),Centrum!$A$3:$CB$130,I$132,0))</f>
        <v/>
      </c>
      <c r="J77" s="318" t="str">
        <f ca="1">IF(OR($A77="",TYPE(VLOOKUP($A77,Centrum!$D$3:$M$130,10,0))&gt;3),"",VLOOKUP(VLOOKUP($A77,Centrum!$D$3:$M$130,10,0),Centrum!$A$3:$CB$130,J$132,0))</f>
        <v/>
      </c>
      <c r="L77" s="318" t="str">
        <f ca="1">IF(OR($A77="",TYPE(VLOOKUP($A77,Centrum!$D$3:$M$130,10,0))&gt;3),"",VLOOKUP(VLOOKUP($A77,Centrum!$D$3:$M$130,10,0),Centrum!$A$3:$CB$130,L$132,0))</f>
        <v/>
      </c>
      <c r="M77" s="318" t="str">
        <f ca="1">IF(OR($A77="",TYPE(VLOOKUP($A77,Centrum!$D$3:$M$130,10,0))&gt;3),"",VLOOKUP(VLOOKUP($A77,Centrum!$D$3:$M$130,10,0),Centrum!$A$3:$CB$130,M$132,0))</f>
        <v/>
      </c>
      <c r="N77" s="318" t="str">
        <f ca="1">IF(OR($A77="",TYPE(VLOOKUP($A77,Centrum!$D$3:$M$130,10,0))&gt;3),"",VLOOKUP(VLOOKUP($A77,Centrum!$D$3:$M$130,10,0),Centrum!$A$3:$CB$130,N$132,0))</f>
        <v/>
      </c>
      <c r="O77" s="318" t="str">
        <f ca="1">IF(OR($A77="",TYPE(VLOOKUP($A77,Centrum!$D$3:$M$130,10,0))&gt;3),"",VLOOKUP(VLOOKUP($A77,Centrum!$D$3:$M$130,10,0),Centrum!$A$3:$CB$130,O$132,0))</f>
        <v/>
      </c>
      <c r="P77" s="318" t="str">
        <f ca="1">IF(OR($A77="",TYPE(VLOOKUP($A77,Centrum!$D$3:$M$130,10,0))&gt;3),"",VLOOKUP(VLOOKUP($A77,Centrum!$D$3:$M$130,10,0),Centrum!$A$3:$CB$130,P$132,0))</f>
        <v/>
      </c>
      <c r="Q77" s="318" t="str">
        <f ca="1">IF(OR($A77="",TYPE(VLOOKUP($A77,Centrum!$D$3:$M$130,10,0))&gt;3),"",VLOOKUP(VLOOKUP($A77,Centrum!$D$3:$M$130,10,0),Centrum!$A$3:$CB$130,Q$132,0))</f>
        <v/>
      </c>
      <c r="S77" s="318" t="str">
        <f ca="1">IF(OR($A77="",TYPE(VLOOKUP($A77,Centrum!$D$3:$M$130,10,0))&gt;3),"",VLOOKUP(VLOOKUP($A77,Centrum!$D$3:$M$130,10,0),Centrum!$A$3:$CB$130,S$132,0))</f>
        <v/>
      </c>
      <c r="T77" s="318" t="str">
        <f ca="1">IF(OR($A77="",TYPE(VLOOKUP($A77,Centrum!$D$3:$M$130,10,0))&gt;3),"",VLOOKUP(VLOOKUP($A77,Centrum!$D$3:$M$130,10,0),Centrum!$A$3:$CB$130,T$132,0))</f>
        <v/>
      </c>
      <c r="U77" s="318" t="str">
        <f ca="1">IF(OR($A77="",TYPE(VLOOKUP($A77,Centrum!$D$3:$M$130,10,0))&gt;3),"",VLOOKUP(VLOOKUP($A77,Centrum!$D$3:$M$130,10,0),Centrum!$A$3:$CB$130,U$132,0))</f>
        <v/>
      </c>
      <c r="AB77" s="318" t="str">
        <f ca="1">IF(OR($A77="",TYPE(VLOOKUP($A77,Centrum!$D$3:$M$130,10,0))&gt;3),"",VLOOKUP(VLOOKUP($A77,Centrum!$D$3:$M$130,10,0),Centrum!$A$3:$CB$130,AB$132,0))</f>
        <v/>
      </c>
      <c r="AC77" s="318" t="str">
        <f ca="1">IF(OR($A77="",TYPE(VLOOKUP($A77,Centrum!$D$3:$M$130,10,0))&gt;3),"",VLOOKUP(VLOOKUP($A77,Centrum!$D$3:$M$130,10,0),Centrum!$A$3:$CB$130,AC$132,0))</f>
        <v/>
      </c>
      <c r="AD77" s="318" t="str">
        <f ca="1">IF(OR($A77="",TYPE(VLOOKUP($A77,Centrum!$D$3:$M$130,10,0))&gt;3),"",VLOOKUP(VLOOKUP($A77,Centrum!$D$3:$M$130,10,0),Centrum!$A$3:$CB$130,AD$132,0))</f>
        <v/>
      </c>
      <c r="AK77" s="318" t="str">
        <f ca="1">IF(OR($A77="",TYPE(VLOOKUP($A77,Centrum!$D$3:$M$130,10,0))&gt;3),"",VLOOKUP(VLOOKUP($A77,Centrum!$D$3:$M$130,10,0),Centrum!$A$3:$CB$130,AK$132,0))</f>
        <v/>
      </c>
      <c r="AL77" s="318" t="str">
        <f ca="1">IF(OR($A77="",TYPE(VLOOKUP($A77,Centrum!$D$3:$M$130,10,0))&gt;3),"",VLOOKUP(VLOOKUP($A77,Centrum!$D$3:$M$130,10,0),Centrum!$A$3:$CB$130,AL$132,0))</f>
        <v/>
      </c>
      <c r="AM77" s="318" t="str">
        <f ca="1">IF(OR($A77="",TYPE(VLOOKUP($A77,Centrum!$D$3:$M$130,10,0))&gt;3),"",VLOOKUP(VLOOKUP($A77,Centrum!$D$3:$M$130,10,0),Centrum!$A$3:$CB$130,AM$132,0))</f>
        <v/>
      </c>
      <c r="AT77" s="318" t="str">
        <f ca="1">IF(OR(OR($A77="",TYPE(VLOOKUP($A77,Centrum!$D$3:$M$130,10,0))&gt;3),$A$1&lt;4),"",VLOOKUP(VLOOKUP($A77,Centrum!$D$3:$M$130,10,0),Centrum!$A$3:$CB$130,AT$132,0))</f>
        <v/>
      </c>
      <c r="AU77" s="318" t="str">
        <f ca="1">IF(OR(OR($A77="",TYPE(VLOOKUP($A77,Centrum!$D$3:$M$130,10,0))&gt;3),$A$1&lt;4),"",VLOOKUP(VLOOKUP($A77,Centrum!$D$3:$M$130,10,0),Centrum!$A$3:$CB$130,AU$132,0))</f>
        <v/>
      </c>
      <c r="AV77" s="318" t="str">
        <f ca="1">IF(OR(OR($A77="",TYPE(VLOOKUP($A77,Centrum!$D$3:$M$130,10,0))&gt;3),$A$1&lt;4),"",VLOOKUP(VLOOKUP($A77,Centrum!$D$3:$M$130,10,0),Centrum!$A$3:$CB$130,AV$132,0))</f>
        <v/>
      </c>
      <c r="BC77" s="318" t="str">
        <f ca="1">IF(OR(OR($A77="",TYPE(VLOOKUP($A77,Centrum!$D$3:$M$130,10,0))&gt;3),$A$1&lt;5),"",VLOOKUP(VLOOKUP($A77,Centrum!$D$3:$M$130,10,0),Centrum!$A$3:$CB$130,BC$132,0))</f>
        <v/>
      </c>
      <c r="BD77" s="318" t="str">
        <f ca="1">IF(OR(OR($A77="",TYPE(VLOOKUP($A77,Centrum!$D$3:$M$130,10,0))&gt;3),$A$1&lt;5),"",VLOOKUP(VLOOKUP($A77,Centrum!$D$3:$M$130,10,0),Centrum!$A$3:$CB$130,BD$132,0))</f>
        <v/>
      </c>
      <c r="BE77" s="318" t="str">
        <f ca="1">IF(OR(OR($A77="",TYPE(VLOOKUP($A77,Centrum!$D$3:$M$130,10,0))&gt;3),$A$1&lt;5),"",VLOOKUP(VLOOKUP($A77,Centrum!$D$3:$M$130,10,0),Centrum!$A$3:$CB$130,BE$132,0))</f>
        <v/>
      </c>
      <c r="BL77" s="318" t="str">
        <f ca="1">IF(OR(OR($A77="",TYPE(VLOOKUP($A77,Centrum!$D$3:$M$130,10,0))&gt;3),$A$1&lt;6),"",VLOOKUP(VLOOKUP($A77,Centrum!$D$3:$M$130,10,0),Centrum!$A$3:$CB$130,BL$132,0))</f>
        <v/>
      </c>
      <c r="BM77" s="318" t="str">
        <f ca="1">IF(OR(OR($A77="",TYPE(VLOOKUP($A77,Centrum!$D$3:$M$130,10,0))&gt;3),$A$1&lt;6),"",VLOOKUP(VLOOKUP($A77,Centrum!$D$3:$M$130,10,0),Centrum!$A$3:$CB$130,BM$132,0))</f>
        <v/>
      </c>
      <c r="BN77" s="318" t="str">
        <f ca="1">IF(OR(OR($A77="",TYPE(VLOOKUP($A77,Centrum!$D$3:$M$130,10,0))&gt;3),$A$1&lt;6),"",VLOOKUP(VLOOKUP($A77,Centrum!$D$3:$M$130,10,0),Centrum!$A$3:$CB$130,BN$132,0))</f>
        <v/>
      </c>
    </row>
    <row r="78" spans="1:66" x14ac:dyDescent="0.4">
      <c r="A78" s="318" t="str">
        <f ca="1">Centrum!A78</f>
        <v/>
      </c>
      <c r="B78" s="421" t="str">
        <f ca="1">IF(OR($A78="",TYPE(VLOOKUP($A78,Centrum!$D$3:$M$130,10,0))&gt;3),"",VLOOKUP(VLOOKUP(A78,Centrum!$D$3:$M$130,10,0),Centrum!$A$3:$CB$130,B$132,0))</f>
        <v/>
      </c>
      <c r="C78" s="318" t="str">
        <f ca="1">IF(OR($A78="",TYPE(VLOOKUP($A78,Centrum!$D$3:$M$130,10,0))&gt;3),"",VLOOKUP($A78,Centrum!$D$3:$M$130,10,0))</f>
        <v/>
      </c>
      <c r="E78" s="318" t="str">
        <f ca="1">IF(OR($A78="",TYPE(VLOOKUP($A78,Centrum!$D$3:$M$130,10,0))&gt;3),"",VLOOKUP(VLOOKUP($A78,Centrum!$D$3:$M$130,10,0),Centrum!$A$3:$CB$130,E$132,0))</f>
        <v/>
      </c>
      <c r="F78" s="318" t="str">
        <f ca="1">IF(OR($A78="",TYPE(VLOOKUP($A78,Centrum!$D$3:$M$130,10,0))&gt;3),"",VLOOKUP(VLOOKUP($A78,Centrum!$D$3:$M$130,10,0),Centrum!$A$3:$CB$130,F$132,0))</f>
        <v/>
      </c>
      <c r="G78" s="318" t="str">
        <f ca="1">IF(OR($A78="",TYPE(VLOOKUP($A78,Centrum!$D$3:$M$130,10,0))&gt;3),"",VLOOKUP(VLOOKUP($A78,Centrum!$D$3:$M$130,10,0),Centrum!$A$3:$CB$130,G$132,0))</f>
        <v/>
      </c>
      <c r="H78" s="318" t="str">
        <f ca="1">IF($A78="","",VLOOKUP(VLOOKUP($A78,Centrum!$D$3:$M$130,10,0),Centrum!$A$3:$CB$130,H$132,0))</f>
        <v/>
      </c>
      <c r="I78" s="318" t="str">
        <f ca="1">IF($A78="","",VLOOKUP(VLOOKUP($A78,Centrum!$D$3:$M$130,10,0),Centrum!$A$3:$CB$130,I$132,0))</f>
        <v/>
      </c>
      <c r="J78" s="318" t="str">
        <f ca="1">IF(OR($A78="",TYPE(VLOOKUP($A78,Centrum!$D$3:$M$130,10,0))&gt;3),"",VLOOKUP(VLOOKUP($A78,Centrum!$D$3:$M$130,10,0),Centrum!$A$3:$CB$130,J$132,0))</f>
        <v/>
      </c>
      <c r="L78" s="318" t="str">
        <f ca="1">IF(OR($A78="",TYPE(VLOOKUP($A78,Centrum!$D$3:$M$130,10,0))&gt;3),"",VLOOKUP(VLOOKUP($A78,Centrum!$D$3:$M$130,10,0),Centrum!$A$3:$CB$130,L$132,0))</f>
        <v/>
      </c>
      <c r="M78" s="318" t="str">
        <f ca="1">IF(OR($A78="",TYPE(VLOOKUP($A78,Centrum!$D$3:$M$130,10,0))&gt;3),"",VLOOKUP(VLOOKUP($A78,Centrum!$D$3:$M$130,10,0),Centrum!$A$3:$CB$130,M$132,0))</f>
        <v/>
      </c>
      <c r="N78" s="318" t="str">
        <f ca="1">IF(OR($A78="",TYPE(VLOOKUP($A78,Centrum!$D$3:$M$130,10,0))&gt;3),"",VLOOKUP(VLOOKUP($A78,Centrum!$D$3:$M$130,10,0),Centrum!$A$3:$CB$130,N$132,0))</f>
        <v/>
      </c>
      <c r="O78" s="318" t="str">
        <f ca="1">IF(OR($A78="",TYPE(VLOOKUP($A78,Centrum!$D$3:$M$130,10,0))&gt;3),"",VLOOKUP(VLOOKUP($A78,Centrum!$D$3:$M$130,10,0),Centrum!$A$3:$CB$130,O$132,0))</f>
        <v/>
      </c>
      <c r="P78" s="318" t="str">
        <f ca="1">IF(OR($A78="",TYPE(VLOOKUP($A78,Centrum!$D$3:$M$130,10,0))&gt;3),"",VLOOKUP(VLOOKUP($A78,Centrum!$D$3:$M$130,10,0),Centrum!$A$3:$CB$130,P$132,0))</f>
        <v/>
      </c>
      <c r="Q78" s="318" t="str">
        <f ca="1">IF(OR($A78="",TYPE(VLOOKUP($A78,Centrum!$D$3:$M$130,10,0))&gt;3),"",VLOOKUP(VLOOKUP($A78,Centrum!$D$3:$M$130,10,0),Centrum!$A$3:$CB$130,Q$132,0))</f>
        <v/>
      </c>
      <c r="S78" s="318" t="str">
        <f ca="1">IF(OR($A78="",TYPE(VLOOKUP($A78,Centrum!$D$3:$M$130,10,0))&gt;3),"",VLOOKUP(VLOOKUP($A78,Centrum!$D$3:$M$130,10,0),Centrum!$A$3:$CB$130,S$132,0))</f>
        <v/>
      </c>
      <c r="T78" s="318" t="str">
        <f ca="1">IF(OR($A78="",TYPE(VLOOKUP($A78,Centrum!$D$3:$M$130,10,0))&gt;3),"",VLOOKUP(VLOOKUP($A78,Centrum!$D$3:$M$130,10,0),Centrum!$A$3:$CB$130,T$132,0))</f>
        <v/>
      </c>
      <c r="U78" s="318" t="str">
        <f ca="1">IF(OR($A78="",TYPE(VLOOKUP($A78,Centrum!$D$3:$M$130,10,0))&gt;3),"",VLOOKUP(VLOOKUP($A78,Centrum!$D$3:$M$130,10,0),Centrum!$A$3:$CB$130,U$132,0))</f>
        <v/>
      </c>
      <c r="AB78" s="318" t="str">
        <f ca="1">IF(OR($A78="",TYPE(VLOOKUP($A78,Centrum!$D$3:$M$130,10,0))&gt;3),"",VLOOKUP(VLOOKUP($A78,Centrum!$D$3:$M$130,10,0),Centrum!$A$3:$CB$130,AB$132,0))</f>
        <v/>
      </c>
      <c r="AC78" s="318" t="str">
        <f ca="1">IF(OR($A78="",TYPE(VLOOKUP($A78,Centrum!$D$3:$M$130,10,0))&gt;3),"",VLOOKUP(VLOOKUP($A78,Centrum!$D$3:$M$130,10,0),Centrum!$A$3:$CB$130,AC$132,0))</f>
        <v/>
      </c>
      <c r="AD78" s="318" t="str">
        <f ca="1">IF(OR($A78="",TYPE(VLOOKUP($A78,Centrum!$D$3:$M$130,10,0))&gt;3),"",VLOOKUP(VLOOKUP($A78,Centrum!$D$3:$M$130,10,0),Centrum!$A$3:$CB$130,AD$132,0))</f>
        <v/>
      </c>
      <c r="AK78" s="318" t="str">
        <f ca="1">IF(OR($A78="",TYPE(VLOOKUP($A78,Centrum!$D$3:$M$130,10,0))&gt;3),"",VLOOKUP(VLOOKUP($A78,Centrum!$D$3:$M$130,10,0),Centrum!$A$3:$CB$130,AK$132,0))</f>
        <v/>
      </c>
      <c r="AL78" s="318" t="str">
        <f ca="1">IF(OR($A78="",TYPE(VLOOKUP($A78,Centrum!$D$3:$M$130,10,0))&gt;3),"",VLOOKUP(VLOOKUP($A78,Centrum!$D$3:$M$130,10,0),Centrum!$A$3:$CB$130,AL$132,0))</f>
        <v/>
      </c>
      <c r="AM78" s="318" t="str">
        <f ca="1">IF(OR($A78="",TYPE(VLOOKUP($A78,Centrum!$D$3:$M$130,10,0))&gt;3),"",VLOOKUP(VLOOKUP($A78,Centrum!$D$3:$M$130,10,0),Centrum!$A$3:$CB$130,AM$132,0))</f>
        <v/>
      </c>
      <c r="AT78" s="318" t="str">
        <f ca="1">IF(OR(OR($A78="",TYPE(VLOOKUP($A78,Centrum!$D$3:$M$130,10,0))&gt;3),$A$1&lt;4),"",VLOOKUP(VLOOKUP($A78,Centrum!$D$3:$M$130,10,0),Centrum!$A$3:$CB$130,AT$132,0))</f>
        <v/>
      </c>
      <c r="AU78" s="318" t="str">
        <f ca="1">IF(OR(OR($A78="",TYPE(VLOOKUP($A78,Centrum!$D$3:$M$130,10,0))&gt;3),$A$1&lt;4),"",VLOOKUP(VLOOKUP($A78,Centrum!$D$3:$M$130,10,0),Centrum!$A$3:$CB$130,AU$132,0))</f>
        <v/>
      </c>
      <c r="AV78" s="318" t="str">
        <f ca="1">IF(OR(OR($A78="",TYPE(VLOOKUP($A78,Centrum!$D$3:$M$130,10,0))&gt;3),$A$1&lt;4),"",VLOOKUP(VLOOKUP($A78,Centrum!$D$3:$M$130,10,0),Centrum!$A$3:$CB$130,AV$132,0))</f>
        <v/>
      </c>
      <c r="BC78" s="318" t="str">
        <f ca="1">IF(OR(OR($A78="",TYPE(VLOOKUP($A78,Centrum!$D$3:$M$130,10,0))&gt;3),$A$1&lt;5),"",VLOOKUP(VLOOKUP($A78,Centrum!$D$3:$M$130,10,0),Centrum!$A$3:$CB$130,BC$132,0))</f>
        <v/>
      </c>
      <c r="BD78" s="318" t="str">
        <f ca="1">IF(OR(OR($A78="",TYPE(VLOOKUP($A78,Centrum!$D$3:$M$130,10,0))&gt;3),$A$1&lt;5),"",VLOOKUP(VLOOKUP($A78,Centrum!$D$3:$M$130,10,0),Centrum!$A$3:$CB$130,BD$132,0))</f>
        <v/>
      </c>
      <c r="BE78" s="318" t="str">
        <f ca="1">IF(OR(OR($A78="",TYPE(VLOOKUP($A78,Centrum!$D$3:$M$130,10,0))&gt;3),$A$1&lt;5),"",VLOOKUP(VLOOKUP($A78,Centrum!$D$3:$M$130,10,0),Centrum!$A$3:$CB$130,BE$132,0))</f>
        <v/>
      </c>
      <c r="BL78" s="318" t="str">
        <f ca="1">IF(OR(OR($A78="",TYPE(VLOOKUP($A78,Centrum!$D$3:$M$130,10,0))&gt;3),$A$1&lt;6),"",VLOOKUP(VLOOKUP($A78,Centrum!$D$3:$M$130,10,0),Centrum!$A$3:$CB$130,BL$132,0))</f>
        <v/>
      </c>
      <c r="BM78" s="318" t="str">
        <f ca="1">IF(OR(OR($A78="",TYPE(VLOOKUP($A78,Centrum!$D$3:$M$130,10,0))&gt;3),$A$1&lt;6),"",VLOOKUP(VLOOKUP($A78,Centrum!$D$3:$M$130,10,0),Centrum!$A$3:$CB$130,BM$132,0))</f>
        <v/>
      </c>
      <c r="BN78" s="318" t="str">
        <f ca="1">IF(OR(OR($A78="",TYPE(VLOOKUP($A78,Centrum!$D$3:$M$130,10,0))&gt;3),$A$1&lt;6),"",VLOOKUP(VLOOKUP($A78,Centrum!$D$3:$M$130,10,0),Centrum!$A$3:$CB$130,BN$132,0))</f>
        <v/>
      </c>
    </row>
    <row r="79" spans="1:66" x14ac:dyDescent="0.4">
      <c r="A79" s="318" t="str">
        <f ca="1">Centrum!A79</f>
        <v/>
      </c>
      <c r="B79" s="421" t="str">
        <f ca="1">IF(OR($A79="",TYPE(VLOOKUP($A79,Centrum!$D$3:$M$130,10,0))&gt;3),"",VLOOKUP(VLOOKUP(A79,Centrum!$D$3:$M$130,10,0),Centrum!$A$3:$CB$130,B$132,0))</f>
        <v/>
      </c>
      <c r="C79" s="318" t="str">
        <f ca="1">IF(OR($A79="",TYPE(VLOOKUP($A79,Centrum!$D$3:$M$130,10,0))&gt;3),"",VLOOKUP($A79,Centrum!$D$3:$M$130,10,0))</f>
        <v/>
      </c>
      <c r="E79" s="318" t="str">
        <f ca="1">IF(OR($A79="",TYPE(VLOOKUP($A79,Centrum!$D$3:$M$130,10,0))&gt;3),"",VLOOKUP(VLOOKUP($A79,Centrum!$D$3:$M$130,10,0),Centrum!$A$3:$CB$130,E$132,0))</f>
        <v/>
      </c>
      <c r="F79" s="318" t="str">
        <f ca="1">IF(OR($A79="",TYPE(VLOOKUP($A79,Centrum!$D$3:$M$130,10,0))&gt;3),"",VLOOKUP(VLOOKUP($A79,Centrum!$D$3:$M$130,10,0),Centrum!$A$3:$CB$130,F$132,0))</f>
        <v/>
      </c>
      <c r="G79" s="318" t="str">
        <f ca="1">IF(OR($A79="",TYPE(VLOOKUP($A79,Centrum!$D$3:$M$130,10,0))&gt;3),"",VLOOKUP(VLOOKUP($A79,Centrum!$D$3:$M$130,10,0),Centrum!$A$3:$CB$130,G$132,0))</f>
        <v/>
      </c>
      <c r="H79" s="318" t="str">
        <f ca="1">IF($A79="","",VLOOKUP(VLOOKUP($A79,Centrum!$D$3:$M$130,10,0),Centrum!$A$3:$CB$130,H$132,0))</f>
        <v/>
      </c>
      <c r="I79" s="318" t="str">
        <f ca="1">IF($A79="","",VLOOKUP(VLOOKUP($A79,Centrum!$D$3:$M$130,10,0),Centrum!$A$3:$CB$130,I$132,0))</f>
        <v/>
      </c>
      <c r="J79" s="318" t="str">
        <f ca="1">IF(OR($A79="",TYPE(VLOOKUP($A79,Centrum!$D$3:$M$130,10,0))&gt;3),"",VLOOKUP(VLOOKUP($A79,Centrum!$D$3:$M$130,10,0),Centrum!$A$3:$CB$130,J$132,0))</f>
        <v/>
      </c>
      <c r="L79" s="318" t="str">
        <f ca="1">IF(OR($A79="",TYPE(VLOOKUP($A79,Centrum!$D$3:$M$130,10,0))&gt;3),"",VLOOKUP(VLOOKUP($A79,Centrum!$D$3:$M$130,10,0),Centrum!$A$3:$CB$130,L$132,0))</f>
        <v/>
      </c>
      <c r="M79" s="318" t="str">
        <f ca="1">IF(OR($A79="",TYPE(VLOOKUP($A79,Centrum!$D$3:$M$130,10,0))&gt;3),"",VLOOKUP(VLOOKUP($A79,Centrum!$D$3:$M$130,10,0),Centrum!$A$3:$CB$130,M$132,0))</f>
        <v/>
      </c>
      <c r="N79" s="318" t="str">
        <f ca="1">IF(OR($A79="",TYPE(VLOOKUP($A79,Centrum!$D$3:$M$130,10,0))&gt;3),"",VLOOKUP(VLOOKUP($A79,Centrum!$D$3:$M$130,10,0),Centrum!$A$3:$CB$130,N$132,0))</f>
        <v/>
      </c>
      <c r="O79" s="318" t="str">
        <f ca="1">IF(OR($A79="",TYPE(VLOOKUP($A79,Centrum!$D$3:$M$130,10,0))&gt;3),"",VLOOKUP(VLOOKUP($A79,Centrum!$D$3:$M$130,10,0),Centrum!$A$3:$CB$130,O$132,0))</f>
        <v/>
      </c>
      <c r="P79" s="318" t="str">
        <f ca="1">IF(OR($A79="",TYPE(VLOOKUP($A79,Centrum!$D$3:$M$130,10,0))&gt;3),"",VLOOKUP(VLOOKUP($A79,Centrum!$D$3:$M$130,10,0),Centrum!$A$3:$CB$130,P$132,0))</f>
        <v/>
      </c>
      <c r="Q79" s="318" t="str">
        <f ca="1">IF(OR($A79="",TYPE(VLOOKUP($A79,Centrum!$D$3:$M$130,10,0))&gt;3),"",VLOOKUP(VLOOKUP($A79,Centrum!$D$3:$M$130,10,0),Centrum!$A$3:$CB$130,Q$132,0))</f>
        <v/>
      </c>
      <c r="S79" s="318" t="str">
        <f ca="1">IF(OR($A79="",TYPE(VLOOKUP($A79,Centrum!$D$3:$M$130,10,0))&gt;3),"",VLOOKUP(VLOOKUP($A79,Centrum!$D$3:$M$130,10,0),Centrum!$A$3:$CB$130,S$132,0))</f>
        <v/>
      </c>
      <c r="T79" s="318" t="str">
        <f ca="1">IF(OR($A79="",TYPE(VLOOKUP($A79,Centrum!$D$3:$M$130,10,0))&gt;3),"",VLOOKUP(VLOOKUP($A79,Centrum!$D$3:$M$130,10,0),Centrum!$A$3:$CB$130,T$132,0))</f>
        <v/>
      </c>
      <c r="U79" s="318" t="str">
        <f ca="1">IF(OR($A79="",TYPE(VLOOKUP($A79,Centrum!$D$3:$M$130,10,0))&gt;3),"",VLOOKUP(VLOOKUP($A79,Centrum!$D$3:$M$130,10,0),Centrum!$A$3:$CB$130,U$132,0))</f>
        <v/>
      </c>
      <c r="AB79" s="318" t="str">
        <f ca="1">IF(OR($A79="",TYPE(VLOOKUP($A79,Centrum!$D$3:$M$130,10,0))&gt;3),"",VLOOKUP(VLOOKUP($A79,Centrum!$D$3:$M$130,10,0),Centrum!$A$3:$CB$130,AB$132,0))</f>
        <v/>
      </c>
      <c r="AC79" s="318" t="str">
        <f ca="1">IF(OR($A79="",TYPE(VLOOKUP($A79,Centrum!$D$3:$M$130,10,0))&gt;3),"",VLOOKUP(VLOOKUP($A79,Centrum!$D$3:$M$130,10,0),Centrum!$A$3:$CB$130,AC$132,0))</f>
        <v/>
      </c>
      <c r="AD79" s="318" t="str">
        <f ca="1">IF(OR($A79="",TYPE(VLOOKUP($A79,Centrum!$D$3:$M$130,10,0))&gt;3),"",VLOOKUP(VLOOKUP($A79,Centrum!$D$3:$M$130,10,0),Centrum!$A$3:$CB$130,AD$132,0))</f>
        <v/>
      </c>
      <c r="AK79" s="318" t="str">
        <f ca="1">IF(OR($A79="",TYPE(VLOOKUP($A79,Centrum!$D$3:$M$130,10,0))&gt;3),"",VLOOKUP(VLOOKUP($A79,Centrum!$D$3:$M$130,10,0),Centrum!$A$3:$CB$130,AK$132,0))</f>
        <v/>
      </c>
      <c r="AL79" s="318" t="str">
        <f ca="1">IF(OR($A79="",TYPE(VLOOKUP($A79,Centrum!$D$3:$M$130,10,0))&gt;3),"",VLOOKUP(VLOOKUP($A79,Centrum!$D$3:$M$130,10,0),Centrum!$A$3:$CB$130,AL$132,0))</f>
        <v/>
      </c>
      <c r="AM79" s="318" t="str">
        <f ca="1">IF(OR($A79="",TYPE(VLOOKUP($A79,Centrum!$D$3:$M$130,10,0))&gt;3),"",VLOOKUP(VLOOKUP($A79,Centrum!$D$3:$M$130,10,0),Centrum!$A$3:$CB$130,AM$132,0))</f>
        <v/>
      </c>
      <c r="AT79" s="318" t="str">
        <f ca="1">IF(OR(OR($A79="",TYPE(VLOOKUP($A79,Centrum!$D$3:$M$130,10,0))&gt;3),$A$1&lt;4),"",VLOOKUP(VLOOKUP($A79,Centrum!$D$3:$M$130,10,0),Centrum!$A$3:$CB$130,AT$132,0))</f>
        <v/>
      </c>
      <c r="AU79" s="318" t="str">
        <f ca="1">IF(OR(OR($A79="",TYPE(VLOOKUP($A79,Centrum!$D$3:$M$130,10,0))&gt;3),$A$1&lt;4),"",VLOOKUP(VLOOKUP($A79,Centrum!$D$3:$M$130,10,0),Centrum!$A$3:$CB$130,AU$132,0))</f>
        <v/>
      </c>
      <c r="AV79" s="318" t="str">
        <f ca="1">IF(OR(OR($A79="",TYPE(VLOOKUP($A79,Centrum!$D$3:$M$130,10,0))&gt;3),$A$1&lt;4),"",VLOOKUP(VLOOKUP($A79,Centrum!$D$3:$M$130,10,0),Centrum!$A$3:$CB$130,AV$132,0))</f>
        <v/>
      </c>
      <c r="BC79" s="318" t="str">
        <f ca="1">IF(OR(OR($A79="",TYPE(VLOOKUP($A79,Centrum!$D$3:$M$130,10,0))&gt;3),$A$1&lt;5),"",VLOOKUP(VLOOKUP($A79,Centrum!$D$3:$M$130,10,0),Centrum!$A$3:$CB$130,BC$132,0))</f>
        <v/>
      </c>
      <c r="BD79" s="318" t="str">
        <f ca="1">IF(OR(OR($A79="",TYPE(VLOOKUP($A79,Centrum!$D$3:$M$130,10,0))&gt;3),$A$1&lt;5),"",VLOOKUP(VLOOKUP($A79,Centrum!$D$3:$M$130,10,0),Centrum!$A$3:$CB$130,BD$132,0))</f>
        <v/>
      </c>
      <c r="BE79" s="318" t="str">
        <f ca="1">IF(OR(OR($A79="",TYPE(VLOOKUP($A79,Centrum!$D$3:$M$130,10,0))&gt;3),$A$1&lt;5),"",VLOOKUP(VLOOKUP($A79,Centrum!$D$3:$M$130,10,0),Centrum!$A$3:$CB$130,BE$132,0))</f>
        <v/>
      </c>
      <c r="BL79" s="318" t="str">
        <f ca="1">IF(OR(OR($A79="",TYPE(VLOOKUP($A79,Centrum!$D$3:$M$130,10,0))&gt;3),$A$1&lt;6),"",VLOOKUP(VLOOKUP($A79,Centrum!$D$3:$M$130,10,0),Centrum!$A$3:$CB$130,BL$132,0))</f>
        <v/>
      </c>
      <c r="BM79" s="318" t="str">
        <f ca="1">IF(OR(OR($A79="",TYPE(VLOOKUP($A79,Centrum!$D$3:$M$130,10,0))&gt;3),$A$1&lt;6),"",VLOOKUP(VLOOKUP($A79,Centrum!$D$3:$M$130,10,0),Centrum!$A$3:$CB$130,BM$132,0))</f>
        <v/>
      </c>
      <c r="BN79" s="318" t="str">
        <f ca="1">IF(OR(OR($A79="",TYPE(VLOOKUP($A79,Centrum!$D$3:$M$130,10,0))&gt;3),$A$1&lt;6),"",VLOOKUP(VLOOKUP($A79,Centrum!$D$3:$M$130,10,0),Centrum!$A$3:$CB$130,BN$132,0))</f>
        <v/>
      </c>
    </row>
    <row r="80" spans="1:66" x14ac:dyDescent="0.4">
      <c r="A80" s="318" t="str">
        <f ca="1">Centrum!A80</f>
        <v/>
      </c>
      <c r="B80" s="421" t="str">
        <f ca="1">IF(OR($A80="",TYPE(VLOOKUP($A80,Centrum!$D$3:$M$130,10,0))&gt;3),"",VLOOKUP(VLOOKUP(A80,Centrum!$D$3:$M$130,10,0),Centrum!$A$3:$CB$130,B$132,0))</f>
        <v/>
      </c>
      <c r="C80" s="318" t="str">
        <f ca="1">IF(OR($A80="",TYPE(VLOOKUP($A80,Centrum!$D$3:$M$130,10,0))&gt;3),"",VLOOKUP($A80,Centrum!$D$3:$M$130,10,0))</f>
        <v/>
      </c>
      <c r="E80" s="318" t="str">
        <f ca="1">IF(OR($A80="",TYPE(VLOOKUP($A80,Centrum!$D$3:$M$130,10,0))&gt;3),"",VLOOKUP(VLOOKUP($A80,Centrum!$D$3:$M$130,10,0),Centrum!$A$3:$CB$130,E$132,0))</f>
        <v/>
      </c>
      <c r="F80" s="318" t="str">
        <f ca="1">IF(OR($A80="",TYPE(VLOOKUP($A80,Centrum!$D$3:$M$130,10,0))&gt;3),"",VLOOKUP(VLOOKUP($A80,Centrum!$D$3:$M$130,10,0),Centrum!$A$3:$CB$130,F$132,0))</f>
        <v/>
      </c>
      <c r="G80" s="318" t="str">
        <f ca="1">IF(OR($A80="",TYPE(VLOOKUP($A80,Centrum!$D$3:$M$130,10,0))&gt;3),"",VLOOKUP(VLOOKUP($A80,Centrum!$D$3:$M$130,10,0),Centrum!$A$3:$CB$130,G$132,0))</f>
        <v/>
      </c>
      <c r="H80" s="318" t="str">
        <f ca="1">IF($A80="","",VLOOKUP(VLOOKUP($A80,Centrum!$D$3:$M$130,10,0),Centrum!$A$3:$CB$130,H$132,0))</f>
        <v/>
      </c>
      <c r="I80" s="318" t="str">
        <f ca="1">IF($A80="","",VLOOKUP(VLOOKUP($A80,Centrum!$D$3:$M$130,10,0),Centrum!$A$3:$CB$130,I$132,0))</f>
        <v/>
      </c>
      <c r="J80" s="318" t="str">
        <f ca="1">IF(OR($A80="",TYPE(VLOOKUP($A80,Centrum!$D$3:$M$130,10,0))&gt;3),"",VLOOKUP(VLOOKUP($A80,Centrum!$D$3:$M$130,10,0),Centrum!$A$3:$CB$130,J$132,0))</f>
        <v/>
      </c>
      <c r="L80" s="318" t="str">
        <f ca="1">IF(OR($A80="",TYPE(VLOOKUP($A80,Centrum!$D$3:$M$130,10,0))&gt;3),"",VLOOKUP(VLOOKUP($A80,Centrum!$D$3:$M$130,10,0),Centrum!$A$3:$CB$130,L$132,0))</f>
        <v/>
      </c>
      <c r="M80" s="318" t="str">
        <f ca="1">IF(OR($A80="",TYPE(VLOOKUP($A80,Centrum!$D$3:$M$130,10,0))&gt;3),"",VLOOKUP(VLOOKUP($A80,Centrum!$D$3:$M$130,10,0),Centrum!$A$3:$CB$130,M$132,0))</f>
        <v/>
      </c>
      <c r="N80" s="318" t="str">
        <f ca="1">IF(OR($A80="",TYPE(VLOOKUP($A80,Centrum!$D$3:$M$130,10,0))&gt;3),"",VLOOKUP(VLOOKUP($A80,Centrum!$D$3:$M$130,10,0),Centrum!$A$3:$CB$130,N$132,0))</f>
        <v/>
      </c>
      <c r="O80" s="318" t="str">
        <f ca="1">IF(OR($A80="",TYPE(VLOOKUP($A80,Centrum!$D$3:$M$130,10,0))&gt;3),"",VLOOKUP(VLOOKUP($A80,Centrum!$D$3:$M$130,10,0),Centrum!$A$3:$CB$130,O$132,0))</f>
        <v/>
      </c>
      <c r="P80" s="318" t="str">
        <f ca="1">IF(OR($A80="",TYPE(VLOOKUP($A80,Centrum!$D$3:$M$130,10,0))&gt;3),"",VLOOKUP(VLOOKUP($A80,Centrum!$D$3:$M$130,10,0),Centrum!$A$3:$CB$130,P$132,0))</f>
        <v/>
      </c>
      <c r="Q80" s="318" t="str">
        <f ca="1">IF(OR($A80="",TYPE(VLOOKUP($A80,Centrum!$D$3:$M$130,10,0))&gt;3),"",VLOOKUP(VLOOKUP($A80,Centrum!$D$3:$M$130,10,0),Centrum!$A$3:$CB$130,Q$132,0))</f>
        <v/>
      </c>
      <c r="S80" s="318" t="str">
        <f ca="1">IF(OR($A80="",TYPE(VLOOKUP($A80,Centrum!$D$3:$M$130,10,0))&gt;3),"",VLOOKUP(VLOOKUP($A80,Centrum!$D$3:$M$130,10,0),Centrum!$A$3:$CB$130,S$132,0))</f>
        <v/>
      </c>
      <c r="T80" s="318" t="str">
        <f ca="1">IF(OR($A80="",TYPE(VLOOKUP($A80,Centrum!$D$3:$M$130,10,0))&gt;3),"",VLOOKUP(VLOOKUP($A80,Centrum!$D$3:$M$130,10,0),Centrum!$A$3:$CB$130,T$132,0))</f>
        <v/>
      </c>
      <c r="U80" s="318" t="str">
        <f ca="1">IF(OR($A80="",TYPE(VLOOKUP($A80,Centrum!$D$3:$M$130,10,0))&gt;3),"",VLOOKUP(VLOOKUP($A80,Centrum!$D$3:$M$130,10,0),Centrum!$A$3:$CB$130,U$132,0))</f>
        <v/>
      </c>
      <c r="AB80" s="318" t="str">
        <f ca="1">IF(OR($A80="",TYPE(VLOOKUP($A80,Centrum!$D$3:$M$130,10,0))&gt;3),"",VLOOKUP(VLOOKUP($A80,Centrum!$D$3:$M$130,10,0),Centrum!$A$3:$CB$130,AB$132,0))</f>
        <v/>
      </c>
      <c r="AC80" s="318" t="str">
        <f ca="1">IF(OR($A80="",TYPE(VLOOKUP($A80,Centrum!$D$3:$M$130,10,0))&gt;3),"",VLOOKUP(VLOOKUP($A80,Centrum!$D$3:$M$130,10,0),Centrum!$A$3:$CB$130,AC$132,0))</f>
        <v/>
      </c>
      <c r="AD80" s="318" t="str">
        <f ca="1">IF(OR($A80="",TYPE(VLOOKUP($A80,Centrum!$D$3:$M$130,10,0))&gt;3),"",VLOOKUP(VLOOKUP($A80,Centrum!$D$3:$M$130,10,0),Centrum!$A$3:$CB$130,AD$132,0))</f>
        <v/>
      </c>
      <c r="AK80" s="318" t="str">
        <f ca="1">IF(OR($A80="",TYPE(VLOOKUP($A80,Centrum!$D$3:$M$130,10,0))&gt;3),"",VLOOKUP(VLOOKUP($A80,Centrum!$D$3:$M$130,10,0),Centrum!$A$3:$CB$130,AK$132,0))</f>
        <v/>
      </c>
      <c r="AL80" s="318" t="str">
        <f ca="1">IF(OR($A80="",TYPE(VLOOKUP($A80,Centrum!$D$3:$M$130,10,0))&gt;3),"",VLOOKUP(VLOOKUP($A80,Centrum!$D$3:$M$130,10,0),Centrum!$A$3:$CB$130,AL$132,0))</f>
        <v/>
      </c>
      <c r="AM80" s="318" t="str">
        <f ca="1">IF(OR($A80="",TYPE(VLOOKUP($A80,Centrum!$D$3:$M$130,10,0))&gt;3),"",VLOOKUP(VLOOKUP($A80,Centrum!$D$3:$M$130,10,0),Centrum!$A$3:$CB$130,AM$132,0))</f>
        <v/>
      </c>
      <c r="AT80" s="318" t="str">
        <f ca="1">IF(OR(OR($A80="",TYPE(VLOOKUP($A80,Centrum!$D$3:$M$130,10,0))&gt;3),$A$1&lt;4),"",VLOOKUP(VLOOKUP($A80,Centrum!$D$3:$M$130,10,0),Centrum!$A$3:$CB$130,AT$132,0))</f>
        <v/>
      </c>
      <c r="AU80" s="318" t="str">
        <f ca="1">IF(OR(OR($A80="",TYPE(VLOOKUP($A80,Centrum!$D$3:$M$130,10,0))&gt;3),$A$1&lt;4),"",VLOOKUP(VLOOKUP($A80,Centrum!$D$3:$M$130,10,0),Centrum!$A$3:$CB$130,AU$132,0))</f>
        <v/>
      </c>
      <c r="AV80" s="318" t="str">
        <f ca="1">IF(OR(OR($A80="",TYPE(VLOOKUP($A80,Centrum!$D$3:$M$130,10,0))&gt;3),$A$1&lt;4),"",VLOOKUP(VLOOKUP($A80,Centrum!$D$3:$M$130,10,0),Centrum!$A$3:$CB$130,AV$132,0))</f>
        <v/>
      </c>
      <c r="BC80" s="318" t="str">
        <f ca="1">IF(OR(OR($A80="",TYPE(VLOOKUP($A80,Centrum!$D$3:$M$130,10,0))&gt;3),$A$1&lt;5),"",VLOOKUP(VLOOKUP($A80,Centrum!$D$3:$M$130,10,0),Centrum!$A$3:$CB$130,BC$132,0))</f>
        <v/>
      </c>
      <c r="BD80" s="318" t="str">
        <f ca="1">IF(OR(OR($A80="",TYPE(VLOOKUP($A80,Centrum!$D$3:$M$130,10,0))&gt;3),$A$1&lt;5),"",VLOOKUP(VLOOKUP($A80,Centrum!$D$3:$M$130,10,0),Centrum!$A$3:$CB$130,BD$132,0))</f>
        <v/>
      </c>
      <c r="BE80" s="318" t="str">
        <f ca="1">IF(OR(OR($A80="",TYPE(VLOOKUP($A80,Centrum!$D$3:$M$130,10,0))&gt;3),$A$1&lt;5),"",VLOOKUP(VLOOKUP($A80,Centrum!$D$3:$M$130,10,0),Centrum!$A$3:$CB$130,BE$132,0))</f>
        <v/>
      </c>
      <c r="BL80" s="318" t="str">
        <f ca="1">IF(OR(OR($A80="",TYPE(VLOOKUP($A80,Centrum!$D$3:$M$130,10,0))&gt;3),$A$1&lt;6),"",VLOOKUP(VLOOKUP($A80,Centrum!$D$3:$M$130,10,0),Centrum!$A$3:$CB$130,BL$132,0))</f>
        <v/>
      </c>
      <c r="BM80" s="318" t="str">
        <f ca="1">IF(OR(OR($A80="",TYPE(VLOOKUP($A80,Centrum!$D$3:$M$130,10,0))&gt;3),$A$1&lt;6),"",VLOOKUP(VLOOKUP($A80,Centrum!$D$3:$M$130,10,0),Centrum!$A$3:$CB$130,BM$132,0))</f>
        <v/>
      </c>
      <c r="BN80" s="318" t="str">
        <f ca="1">IF(OR(OR($A80="",TYPE(VLOOKUP($A80,Centrum!$D$3:$M$130,10,0))&gt;3),$A$1&lt;6),"",VLOOKUP(VLOOKUP($A80,Centrum!$D$3:$M$130,10,0),Centrum!$A$3:$CB$130,BN$132,0))</f>
        <v/>
      </c>
    </row>
    <row r="81" spans="1:66" x14ac:dyDescent="0.4">
      <c r="A81" s="318" t="str">
        <f ca="1">Centrum!A81</f>
        <v/>
      </c>
      <c r="B81" s="421" t="str">
        <f ca="1">IF(OR($A81="",TYPE(VLOOKUP($A81,Centrum!$D$3:$M$130,10,0))&gt;3),"",VLOOKUP(VLOOKUP(A81,Centrum!$D$3:$M$130,10,0),Centrum!$A$3:$CB$130,B$132,0))</f>
        <v/>
      </c>
      <c r="C81" s="318" t="str">
        <f ca="1">IF(OR($A81="",TYPE(VLOOKUP($A81,Centrum!$D$3:$M$130,10,0))&gt;3),"",VLOOKUP($A81,Centrum!$D$3:$M$130,10,0))</f>
        <v/>
      </c>
      <c r="E81" s="318" t="str">
        <f ca="1">IF(OR($A81="",TYPE(VLOOKUP($A81,Centrum!$D$3:$M$130,10,0))&gt;3),"",VLOOKUP(VLOOKUP($A81,Centrum!$D$3:$M$130,10,0),Centrum!$A$3:$CB$130,E$132,0))</f>
        <v/>
      </c>
      <c r="F81" s="318" t="str">
        <f ca="1">IF(OR($A81="",TYPE(VLOOKUP($A81,Centrum!$D$3:$M$130,10,0))&gt;3),"",VLOOKUP(VLOOKUP($A81,Centrum!$D$3:$M$130,10,0),Centrum!$A$3:$CB$130,F$132,0))</f>
        <v/>
      </c>
      <c r="G81" s="318" t="str">
        <f ca="1">IF(OR($A81="",TYPE(VLOOKUP($A81,Centrum!$D$3:$M$130,10,0))&gt;3),"",VLOOKUP(VLOOKUP($A81,Centrum!$D$3:$M$130,10,0),Centrum!$A$3:$CB$130,G$132,0))</f>
        <v/>
      </c>
      <c r="H81" s="318" t="str">
        <f ca="1">IF($A81="","",VLOOKUP(VLOOKUP($A81,Centrum!$D$3:$M$130,10,0),Centrum!$A$3:$CB$130,H$132,0))</f>
        <v/>
      </c>
      <c r="I81" s="318" t="str">
        <f ca="1">IF($A81="","",VLOOKUP(VLOOKUP($A81,Centrum!$D$3:$M$130,10,0),Centrum!$A$3:$CB$130,I$132,0))</f>
        <v/>
      </c>
      <c r="J81" s="318" t="str">
        <f ca="1">IF(OR($A81="",TYPE(VLOOKUP($A81,Centrum!$D$3:$M$130,10,0))&gt;3),"",VLOOKUP(VLOOKUP($A81,Centrum!$D$3:$M$130,10,0),Centrum!$A$3:$CB$130,J$132,0))</f>
        <v/>
      </c>
      <c r="L81" s="318" t="str">
        <f ca="1">IF(OR($A81="",TYPE(VLOOKUP($A81,Centrum!$D$3:$M$130,10,0))&gt;3),"",VLOOKUP(VLOOKUP($A81,Centrum!$D$3:$M$130,10,0),Centrum!$A$3:$CB$130,L$132,0))</f>
        <v/>
      </c>
      <c r="M81" s="318" t="str">
        <f ca="1">IF(OR($A81="",TYPE(VLOOKUP($A81,Centrum!$D$3:$M$130,10,0))&gt;3),"",VLOOKUP(VLOOKUP($A81,Centrum!$D$3:$M$130,10,0),Centrum!$A$3:$CB$130,M$132,0))</f>
        <v/>
      </c>
      <c r="N81" s="318" t="str">
        <f ca="1">IF(OR($A81="",TYPE(VLOOKUP($A81,Centrum!$D$3:$M$130,10,0))&gt;3),"",VLOOKUP(VLOOKUP($A81,Centrum!$D$3:$M$130,10,0),Centrum!$A$3:$CB$130,N$132,0))</f>
        <v/>
      </c>
      <c r="O81" s="318" t="str">
        <f ca="1">IF(OR($A81="",TYPE(VLOOKUP($A81,Centrum!$D$3:$M$130,10,0))&gt;3),"",VLOOKUP(VLOOKUP($A81,Centrum!$D$3:$M$130,10,0),Centrum!$A$3:$CB$130,O$132,0))</f>
        <v/>
      </c>
      <c r="P81" s="318" t="str">
        <f ca="1">IF(OR($A81="",TYPE(VLOOKUP($A81,Centrum!$D$3:$M$130,10,0))&gt;3),"",VLOOKUP(VLOOKUP($A81,Centrum!$D$3:$M$130,10,0),Centrum!$A$3:$CB$130,P$132,0))</f>
        <v/>
      </c>
      <c r="Q81" s="318" t="str">
        <f ca="1">IF(OR($A81="",TYPE(VLOOKUP($A81,Centrum!$D$3:$M$130,10,0))&gt;3),"",VLOOKUP(VLOOKUP($A81,Centrum!$D$3:$M$130,10,0),Centrum!$A$3:$CB$130,Q$132,0))</f>
        <v/>
      </c>
      <c r="S81" s="318" t="str">
        <f ca="1">IF(OR($A81="",TYPE(VLOOKUP($A81,Centrum!$D$3:$M$130,10,0))&gt;3),"",VLOOKUP(VLOOKUP($A81,Centrum!$D$3:$M$130,10,0),Centrum!$A$3:$CB$130,S$132,0))</f>
        <v/>
      </c>
      <c r="T81" s="318" t="str">
        <f ca="1">IF(OR($A81="",TYPE(VLOOKUP($A81,Centrum!$D$3:$M$130,10,0))&gt;3),"",VLOOKUP(VLOOKUP($A81,Centrum!$D$3:$M$130,10,0),Centrum!$A$3:$CB$130,T$132,0))</f>
        <v/>
      </c>
      <c r="U81" s="318" t="str">
        <f ca="1">IF(OR($A81="",TYPE(VLOOKUP($A81,Centrum!$D$3:$M$130,10,0))&gt;3),"",VLOOKUP(VLOOKUP($A81,Centrum!$D$3:$M$130,10,0),Centrum!$A$3:$CB$130,U$132,0))</f>
        <v/>
      </c>
      <c r="AB81" s="318" t="str">
        <f ca="1">IF(OR($A81="",TYPE(VLOOKUP($A81,Centrum!$D$3:$M$130,10,0))&gt;3),"",VLOOKUP(VLOOKUP($A81,Centrum!$D$3:$M$130,10,0),Centrum!$A$3:$CB$130,AB$132,0))</f>
        <v/>
      </c>
      <c r="AC81" s="318" t="str">
        <f ca="1">IF(OR($A81="",TYPE(VLOOKUP($A81,Centrum!$D$3:$M$130,10,0))&gt;3),"",VLOOKUP(VLOOKUP($A81,Centrum!$D$3:$M$130,10,0),Centrum!$A$3:$CB$130,AC$132,0))</f>
        <v/>
      </c>
      <c r="AD81" s="318" t="str">
        <f ca="1">IF(OR($A81="",TYPE(VLOOKUP($A81,Centrum!$D$3:$M$130,10,0))&gt;3),"",VLOOKUP(VLOOKUP($A81,Centrum!$D$3:$M$130,10,0),Centrum!$A$3:$CB$130,AD$132,0))</f>
        <v/>
      </c>
      <c r="AK81" s="318" t="str">
        <f ca="1">IF(OR($A81="",TYPE(VLOOKUP($A81,Centrum!$D$3:$M$130,10,0))&gt;3),"",VLOOKUP(VLOOKUP($A81,Centrum!$D$3:$M$130,10,0),Centrum!$A$3:$CB$130,AK$132,0))</f>
        <v/>
      </c>
      <c r="AL81" s="318" t="str">
        <f ca="1">IF(OR($A81="",TYPE(VLOOKUP($A81,Centrum!$D$3:$M$130,10,0))&gt;3),"",VLOOKUP(VLOOKUP($A81,Centrum!$D$3:$M$130,10,0),Centrum!$A$3:$CB$130,AL$132,0))</f>
        <v/>
      </c>
      <c r="AM81" s="318" t="str">
        <f ca="1">IF(OR($A81="",TYPE(VLOOKUP($A81,Centrum!$D$3:$M$130,10,0))&gt;3),"",VLOOKUP(VLOOKUP($A81,Centrum!$D$3:$M$130,10,0),Centrum!$A$3:$CB$130,AM$132,0))</f>
        <v/>
      </c>
      <c r="AT81" s="318" t="str">
        <f ca="1">IF(OR(OR($A81="",TYPE(VLOOKUP($A81,Centrum!$D$3:$M$130,10,0))&gt;3),$A$1&lt;4),"",VLOOKUP(VLOOKUP($A81,Centrum!$D$3:$M$130,10,0),Centrum!$A$3:$CB$130,AT$132,0))</f>
        <v/>
      </c>
      <c r="AU81" s="318" t="str">
        <f ca="1">IF(OR(OR($A81="",TYPE(VLOOKUP($A81,Centrum!$D$3:$M$130,10,0))&gt;3),$A$1&lt;4),"",VLOOKUP(VLOOKUP($A81,Centrum!$D$3:$M$130,10,0),Centrum!$A$3:$CB$130,AU$132,0))</f>
        <v/>
      </c>
      <c r="AV81" s="318" t="str">
        <f ca="1">IF(OR(OR($A81="",TYPE(VLOOKUP($A81,Centrum!$D$3:$M$130,10,0))&gt;3),$A$1&lt;4),"",VLOOKUP(VLOOKUP($A81,Centrum!$D$3:$M$130,10,0),Centrum!$A$3:$CB$130,AV$132,0))</f>
        <v/>
      </c>
      <c r="BC81" s="318" t="str">
        <f ca="1">IF(OR(OR($A81="",TYPE(VLOOKUP($A81,Centrum!$D$3:$M$130,10,0))&gt;3),$A$1&lt;5),"",VLOOKUP(VLOOKUP($A81,Centrum!$D$3:$M$130,10,0),Centrum!$A$3:$CB$130,BC$132,0))</f>
        <v/>
      </c>
      <c r="BD81" s="318" t="str">
        <f ca="1">IF(OR(OR($A81="",TYPE(VLOOKUP($A81,Centrum!$D$3:$M$130,10,0))&gt;3),$A$1&lt;5),"",VLOOKUP(VLOOKUP($A81,Centrum!$D$3:$M$130,10,0),Centrum!$A$3:$CB$130,BD$132,0))</f>
        <v/>
      </c>
      <c r="BE81" s="318" t="str">
        <f ca="1">IF(OR(OR($A81="",TYPE(VLOOKUP($A81,Centrum!$D$3:$M$130,10,0))&gt;3),$A$1&lt;5),"",VLOOKUP(VLOOKUP($A81,Centrum!$D$3:$M$130,10,0),Centrum!$A$3:$CB$130,BE$132,0))</f>
        <v/>
      </c>
      <c r="BL81" s="318" t="str">
        <f ca="1">IF(OR(OR($A81="",TYPE(VLOOKUP($A81,Centrum!$D$3:$M$130,10,0))&gt;3),$A$1&lt;6),"",VLOOKUP(VLOOKUP($A81,Centrum!$D$3:$M$130,10,0),Centrum!$A$3:$CB$130,BL$132,0))</f>
        <v/>
      </c>
      <c r="BM81" s="318" t="str">
        <f ca="1">IF(OR(OR($A81="",TYPE(VLOOKUP($A81,Centrum!$D$3:$M$130,10,0))&gt;3),$A$1&lt;6),"",VLOOKUP(VLOOKUP($A81,Centrum!$D$3:$M$130,10,0),Centrum!$A$3:$CB$130,BM$132,0))</f>
        <v/>
      </c>
      <c r="BN81" s="318" t="str">
        <f ca="1">IF(OR(OR($A81="",TYPE(VLOOKUP($A81,Centrum!$D$3:$M$130,10,0))&gt;3),$A$1&lt;6),"",VLOOKUP(VLOOKUP($A81,Centrum!$D$3:$M$130,10,0),Centrum!$A$3:$CB$130,BN$132,0))</f>
        <v/>
      </c>
    </row>
    <row r="82" spans="1:66" x14ac:dyDescent="0.4">
      <c r="A82" s="318" t="str">
        <f ca="1">Centrum!A82</f>
        <v/>
      </c>
      <c r="B82" s="421" t="str">
        <f ca="1">IF(OR($A82="",TYPE(VLOOKUP($A82,Centrum!$D$3:$M$130,10,0))&gt;3),"",VLOOKUP(VLOOKUP(A82,Centrum!$D$3:$M$130,10,0),Centrum!$A$3:$CB$130,B$132,0))</f>
        <v/>
      </c>
      <c r="C82" s="318" t="str">
        <f ca="1">IF(OR($A82="",TYPE(VLOOKUP($A82,Centrum!$D$3:$M$130,10,0))&gt;3),"",VLOOKUP($A82,Centrum!$D$3:$M$130,10,0))</f>
        <v/>
      </c>
      <c r="E82" s="318" t="str">
        <f ca="1">IF(OR($A82="",TYPE(VLOOKUP($A82,Centrum!$D$3:$M$130,10,0))&gt;3),"",VLOOKUP(VLOOKUP($A82,Centrum!$D$3:$M$130,10,0),Centrum!$A$3:$CB$130,E$132,0))</f>
        <v/>
      </c>
      <c r="F82" s="318" t="str">
        <f ca="1">IF(OR($A82="",TYPE(VLOOKUP($A82,Centrum!$D$3:$M$130,10,0))&gt;3),"",VLOOKUP(VLOOKUP($A82,Centrum!$D$3:$M$130,10,0),Centrum!$A$3:$CB$130,F$132,0))</f>
        <v/>
      </c>
      <c r="G82" s="318" t="str">
        <f ca="1">IF(OR($A82="",TYPE(VLOOKUP($A82,Centrum!$D$3:$M$130,10,0))&gt;3),"",VLOOKUP(VLOOKUP($A82,Centrum!$D$3:$M$130,10,0),Centrum!$A$3:$CB$130,G$132,0))</f>
        <v/>
      </c>
      <c r="H82" s="318" t="str">
        <f ca="1">IF($A82="","",VLOOKUP(VLOOKUP($A82,Centrum!$D$3:$M$130,10,0),Centrum!$A$3:$CB$130,H$132,0))</f>
        <v/>
      </c>
      <c r="I82" s="318" t="str">
        <f ca="1">IF($A82="","",VLOOKUP(VLOOKUP($A82,Centrum!$D$3:$M$130,10,0),Centrum!$A$3:$CB$130,I$132,0))</f>
        <v/>
      </c>
      <c r="J82" s="318" t="str">
        <f ca="1">IF(OR($A82="",TYPE(VLOOKUP($A82,Centrum!$D$3:$M$130,10,0))&gt;3),"",VLOOKUP(VLOOKUP($A82,Centrum!$D$3:$M$130,10,0),Centrum!$A$3:$CB$130,J$132,0))</f>
        <v/>
      </c>
      <c r="L82" s="318" t="str">
        <f ca="1">IF(OR($A82="",TYPE(VLOOKUP($A82,Centrum!$D$3:$M$130,10,0))&gt;3),"",VLOOKUP(VLOOKUP($A82,Centrum!$D$3:$M$130,10,0),Centrum!$A$3:$CB$130,L$132,0))</f>
        <v/>
      </c>
      <c r="M82" s="318" t="str">
        <f ca="1">IF(OR($A82="",TYPE(VLOOKUP($A82,Centrum!$D$3:$M$130,10,0))&gt;3),"",VLOOKUP(VLOOKUP($A82,Centrum!$D$3:$M$130,10,0),Centrum!$A$3:$CB$130,M$132,0))</f>
        <v/>
      </c>
      <c r="N82" s="318" t="str">
        <f ca="1">IF(OR($A82="",TYPE(VLOOKUP($A82,Centrum!$D$3:$M$130,10,0))&gt;3),"",VLOOKUP(VLOOKUP($A82,Centrum!$D$3:$M$130,10,0),Centrum!$A$3:$CB$130,N$132,0))</f>
        <v/>
      </c>
      <c r="O82" s="318" t="str">
        <f ca="1">IF(OR($A82="",TYPE(VLOOKUP($A82,Centrum!$D$3:$M$130,10,0))&gt;3),"",VLOOKUP(VLOOKUP($A82,Centrum!$D$3:$M$130,10,0),Centrum!$A$3:$CB$130,O$132,0))</f>
        <v/>
      </c>
      <c r="P82" s="318" t="str">
        <f ca="1">IF(OR($A82="",TYPE(VLOOKUP($A82,Centrum!$D$3:$M$130,10,0))&gt;3),"",VLOOKUP(VLOOKUP($A82,Centrum!$D$3:$M$130,10,0),Centrum!$A$3:$CB$130,P$132,0))</f>
        <v/>
      </c>
      <c r="Q82" s="318" t="str">
        <f ca="1">IF(OR($A82="",TYPE(VLOOKUP($A82,Centrum!$D$3:$M$130,10,0))&gt;3),"",VLOOKUP(VLOOKUP($A82,Centrum!$D$3:$M$130,10,0),Centrum!$A$3:$CB$130,Q$132,0))</f>
        <v/>
      </c>
      <c r="S82" s="318" t="str">
        <f ca="1">IF(OR($A82="",TYPE(VLOOKUP($A82,Centrum!$D$3:$M$130,10,0))&gt;3),"",VLOOKUP(VLOOKUP($A82,Centrum!$D$3:$M$130,10,0),Centrum!$A$3:$CB$130,S$132,0))</f>
        <v/>
      </c>
      <c r="T82" s="318" t="str">
        <f ca="1">IF(OR($A82="",TYPE(VLOOKUP($A82,Centrum!$D$3:$M$130,10,0))&gt;3),"",VLOOKUP(VLOOKUP($A82,Centrum!$D$3:$M$130,10,0),Centrum!$A$3:$CB$130,T$132,0))</f>
        <v/>
      </c>
      <c r="U82" s="318" t="str">
        <f ca="1">IF(OR($A82="",TYPE(VLOOKUP($A82,Centrum!$D$3:$M$130,10,0))&gt;3),"",VLOOKUP(VLOOKUP($A82,Centrum!$D$3:$M$130,10,0),Centrum!$A$3:$CB$130,U$132,0))</f>
        <v/>
      </c>
      <c r="AB82" s="318" t="str">
        <f ca="1">IF(OR($A82="",TYPE(VLOOKUP($A82,Centrum!$D$3:$M$130,10,0))&gt;3),"",VLOOKUP(VLOOKUP($A82,Centrum!$D$3:$M$130,10,0),Centrum!$A$3:$CB$130,AB$132,0))</f>
        <v/>
      </c>
      <c r="AC82" s="318" t="str">
        <f ca="1">IF(OR($A82="",TYPE(VLOOKUP($A82,Centrum!$D$3:$M$130,10,0))&gt;3),"",VLOOKUP(VLOOKUP($A82,Centrum!$D$3:$M$130,10,0),Centrum!$A$3:$CB$130,AC$132,0))</f>
        <v/>
      </c>
      <c r="AD82" s="318" t="str">
        <f ca="1">IF(OR($A82="",TYPE(VLOOKUP($A82,Centrum!$D$3:$M$130,10,0))&gt;3),"",VLOOKUP(VLOOKUP($A82,Centrum!$D$3:$M$130,10,0),Centrum!$A$3:$CB$130,AD$132,0))</f>
        <v/>
      </c>
      <c r="AK82" s="318" t="str">
        <f ca="1">IF(OR($A82="",TYPE(VLOOKUP($A82,Centrum!$D$3:$M$130,10,0))&gt;3),"",VLOOKUP(VLOOKUP($A82,Centrum!$D$3:$M$130,10,0),Centrum!$A$3:$CB$130,AK$132,0))</f>
        <v/>
      </c>
      <c r="AL82" s="318" t="str">
        <f ca="1">IF(OR($A82="",TYPE(VLOOKUP($A82,Centrum!$D$3:$M$130,10,0))&gt;3),"",VLOOKUP(VLOOKUP($A82,Centrum!$D$3:$M$130,10,0),Centrum!$A$3:$CB$130,AL$132,0))</f>
        <v/>
      </c>
      <c r="AM82" s="318" t="str">
        <f ca="1">IF(OR($A82="",TYPE(VLOOKUP($A82,Centrum!$D$3:$M$130,10,0))&gt;3),"",VLOOKUP(VLOOKUP($A82,Centrum!$D$3:$M$130,10,0),Centrum!$A$3:$CB$130,AM$132,0))</f>
        <v/>
      </c>
      <c r="AT82" s="318" t="str">
        <f ca="1">IF(OR(OR($A82="",TYPE(VLOOKUP($A82,Centrum!$D$3:$M$130,10,0))&gt;3),$A$1&lt;4),"",VLOOKUP(VLOOKUP($A82,Centrum!$D$3:$M$130,10,0),Centrum!$A$3:$CB$130,AT$132,0))</f>
        <v/>
      </c>
      <c r="AU82" s="318" t="str">
        <f ca="1">IF(OR(OR($A82="",TYPE(VLOOKUP($A82,Centrum!$D$3:$M$130,10,0))&gt;3),$A$1&lt;4),"",VLOOKUP(VLOOKUP($A82,Centrum!$D$3:$M$130,10,0),Centrum!$A$3:$CB$130,AU$132,0))</f>
        <v/>
      </c>
      <c r="AV82" s="318" t="str">
        <f ca="1">IF(OR(OR($A82="",TYPE(VLOOKUP($A82,Centrum!$D$3:$M$130,10,0))&gt;3),$A$1&lt;4),"",VLOOKUP(VLOOKUP($A82,Centrum!$D$3:$M$130,10,0),Centrum!$A$3:$CB$130,AV$132,0))</f>
        <v/>
      </c>
      <c r="BC82" s="318" t="str">
        <f ca="1">IF(OR(OR($A82="",TYPE(VLOOKUP($A82,Centrum!$D$3:$M$130,10,0))&gt;3),$A$1&lt;5),"",VLOOKUP(VLOOKUP($A82,Centrum!$D$3:$M$130,10,0),Centrum!$A$3:$CB$130,BC$132,0))</f>
        <v/>
      </c>
      <c r="BD82" s="318" t="str">
        <f ca="1">IF(OR(OR($A82="",TYPE(VLOOKUP($A82,Centrum!$D$3:$M$130,10,0))&gt;3),$A$1&lt;5),"",VLOOKUP(VLOOKUP($A82,Centrum!$D$3:$M$130,10,0),Centrum!$A$3:$CB$130,BD$132,0))</f>
        <v/>
      </c>
      <c r="BE82" s="318" t="str">
        <f ca="1">IF(OR(OR($A82="",TYPE(VLOOKUP($A82,Centrum!$D$3:$M$130,10,0))&gt;3),$A$1&lt;5),"",VLOOKUP(VLOOKUP($A82,Centrum!$D$3:$M$130,10,0),Centrum!$A$3:$CB$130,BE$132,0))</f>
        <v/>
      </c>
      <c r="BL82" s="318" t="str">
        <f ca="1">IF(OR(OR($A82="",TYPE(VLOOKUP($A82,Centrum!$D$3:$M$130,10,0))&gt;3),$A$1&lt;6),"",VLOOKUP(VLOOKUP($A82,Centrum!$D$3:$M$130,10,0),Centrum!$A$3:$CB$130,BL$132,0))</f>
        <v/>
      </c>
      <c r="BM82" s="318" t="str">
        <f ca="1">IF(OR(OR($A82="",TYPE(VLOOKUP($A82,Centrum!$D$3:$M$130,10,0))&gt;3),$A$1&lt;6),"",VLOOKUP(VLOOKUP($A82,Centrum!$D$3:$M$130,10,0),Centrum!$A$3:$CB$130,BM$132,0))</f>
        <v/>
      </c>
      <c r="BN82" s="318" t="str">
        <f ca="1">IF(OR(OR($A82="",TYPE(VLOOKUP($A82,Centrum!$D$3:$M$130,10,0))&gt;3),$A$1&lt;6),"",VLOOKUP(VLOOKUP($A82,Centrum!$D$3:$M$130,10,0),Centrum!$A$3:$CB$130,BN$132,0))</f>
        <v/>
      </c>
    </row>
    <row r="83" spans="1:66" x14ac:dyDescent="0.4">
      <c r="A83" s="318" t="str">
        <f ca="1">Centrum!A83</f>
        <v/>
      </c>
      <c r="B83" s="421" t="str">
        <f ca="1">IF(OR($A83="",TYPE(VLOOKUP($A83,Centrum!$D$3:$M$130,10,0))&gt;3),"",VLOOKUP(VLOOKUP(A83,Centrum!$D$3:$M$130,10,0),Centrum!$A$3:$CB$130,B$132,0))</f>
        <v/>
      </c>
      <c r="C83" s="318" t="str">
        <f ca="1">IF(OR($A83="",TYPE(VLOOKUP($A83,Centrum!$D$3:$M$130,10,0))&gt;3),"",VLOOKUP($A83,Centrum!$D$3:$M$130,10,0))</f>
        <v/>
      </c>
      <c r="E83" s="318" t="str">
        <f ca="1">IF(OR($A83="",TYPE(VLOOKUP($A83,Centrum!$D$3:$M$130,10,0))&gt;3),"",VLOOKUP(VLOOKUP($A83,Centrum!$D$3:$M$130,10,0),Centrum!$A$3:$CB$130,E$132,0))</f>
        <v/>
      </c>
      <c r="F83" s="318" t="str">
        <f ca="1">IF(OR($A83="",TYPE(VLOOKUP($A83,Centrum!$D$3:$M$130,10,0))&gt;3),"",VLOOKUP(VLOOKUP($A83,Centrum!$D$3:$M$130,10,0),Centrum!$A$3:$CB$130,F$132,0))</f>
        <v/>
      </c>
      <c r="G83" s="318" t="str">
        <f ca="1">IF(OR($A83="",TYPE(VLOOKUP($A83,Centrum!$D$3:$M$130,10,0))&gt;3),"",VLOOKUP(VLOOKUP($A83,Centrum!$D$3:$M$130,10,0),Centrum!$A$3:$CB$130,G$132,0))</f>
        <v/>
      </c>
      <c r="H83" s="318" t="str">
        <f ca="1">IF($A83="","",VLOOKUP(VLOOKUP($A83,Centrum!$D$3:$M$130,10,0),Centrum!$A$3:$CB$130,H$132,0))</f>
        <v/>
      </c>
      <c r="I83" s="318" t="str">
        <f ca="1">IF($A83="","",VLOOKUP(VLOOKUP($A83,Centrum!$D$3:$M$130,10,0),Centrum!$A$3:$CB$130,I$132,0))</f>
        <v/>
      </c>
      <c r="J83" s="318" t="str">
        <f ca="1">IF(OR($A83="",TYPE(VLOOKUP($A83,Centrum!$D$3:$M$130,10,0))&gt;3),"",VLOOKUP(VLOOKUP($A83,Centrum!$D$3:$M$130,10,0),Centrum!$A$3:$CB$130,J$132,0))</f>
        <v/>
      </c>
      <c r="L83" s="318" t="str">
        <f ca="1">IF(OR($A83="",TYPE(VLOOKUP($A83,Centrum!$D$3:$M$130,10,0))&gt;3),"",VLOOKUP(VLOOKUP($A83,Centrum!$D$3:$M$130,10,0),Centrum!$A$3:$CB$130,L$132,0))</f>
        <v/>
      </c>
      <c r="M83" s="318" t="str">
        <f ca="1">IF(OR($A83="",TYPE(VLOOKUP($A83,Centrum!$D$3:$M$130,10,0))&gt;3),"",VLOOKUP(VLOOKUP($A83,Centrum!$D$3:$M$130,10,0),Centrum!$A$3:$CB$130,M$132,0))</f>
        <v/>
      </c>
      <c r="N83" s="318" t="str">
        <f ca="1">IF(OR($A83="",TYPE(VLOOKUP($A83,Centrum!$D$3:$M$130,10,0))&gt;3),"",VLOOKUP(VLOOKUP($A83,Centrum!$D$3:$M$130,10,0),Centrum!$A$3:$CB$130,N$132,0))</f>
        <v/>
      </c>
      <c r="O83" s="318" t="str">
        <f ca="1">IF(OR($A83="",TYPE(VLOOKUP($A83,Centrum!$D$3:$M$130,10,0))&gt;3),"",VLOOKUP(VLOOKUP($A83,Centrum!$D$3:$M$130,10,0),Centrum!$A$3:$CB$130,O$132,0))</f>
        <v/>
      </c>
      <c r="P83" s="318" t="str">
        <f ca="1">IF(OR($A83="",TYPE(VLOOKUP($A83,Centrum!$D$3:$M$130,10,0))&gt;3),"",VLOOKUP(VLOOKUP($A83,Centrum!$D$3:$M$130,10,0),Centrum!$A$3:$CB$130,P$132,0))</f>
        <v/>
      </c>
      <c r="Q83" s="318" t="str">
        <f ca="1">IF(OR($A83="",TYPE(VLOOKUP($A83,Centrum!$D$3:$M$130,10,0))&gt;3),"",VLOOKUP(VLOOKUP($A83,Centrum!$D$3:$M$130,10,0),Centrum!$A$3:$CB$130,Q$132,0))</f>
        <v/>
      </c>
      <c r="S83" s="318" t="str">
        <f ca="1">IF(OR($A83="",TYPE(VLOOKUP($A83,Centrum!$D$3:$M$130,10,0))&gt;3),"",VLOOKUP(VLOOKUP($A83,Centrum!$D$3:$M$130,10,0),Centrum!$A$3:$CB$130,S$132,0))</f>
        <v/>
      </c>
      <c r="T83" s="318" t="str">
        <f ca="1">IF(OR($A83="",TYPE(VLOOKUP($A83,Centrum!$D$3:$M$130,10,0))&gt;3),"",VLOOKUP(VLOOKUP($A83,Centrum!$D$3:$M$130,10,0),Centrum!$A$3:$CB$130,T$132,0))</f>
        <v/>
      </c>
      <c r="U83" s="318" t="str">
        <f ca="1">IF(OR($A83="",TYPE(VLOOKUP($A83,Centrum!$D$3:$M$130,10,0))&gt;3),"",VLOOKUP(VLOOKUP($A83,Centrum!$D$3:$M$130,10,0),Centrum!$A$3:$CB$130,U$132,0))</f>
        <v/>
      </c>
      <c r="AB83" s="318" t="str">
        <f ca="1">IF(OR($A83="",TYPE(VLOOKUP($A83,Centrum!$D$3:$M$130,10,0))&gt;3),"",VLOOKUP(VLOOKUP($A83,Centrum!$D$3:$M$130,10,0),Centrum!$A$3:$CB$130,AB$132,0))</f>
        <v/>
      </c>
      <c r="AC83" s="318" t="str">
        <f ca="1">IF(OR($A83="",TYPE(VLOOKUP($A83,Centrum!$D$3:$M$130,10,0))&gt;3),"",VLOOKUP(VLOOKUP($A83,Centrum!$D$3:$M$130,10,0),Centrum!$A$3:$CB$130,AC$132,0))</f>
        <v/>
      </c>
      <c r="AD83" s="318" t="str">
        <f ca="1">IF(OR($A83="",TYPE(VLOOKUP($A83,Centrum!$D$3:$M$130,10,0))&gt;3),"",VLOOKUP(VLOOKUP($A83,Centrum!$D$3:$M$130,10,0),Centrum!$A$3:$CB$130,AD$132,0))</f>
        <v/>
      </c>
      <c r="AK83" s="318" t="str">
        <f ca="1">IF(OR($A83="",TYPE(VLOOKUP($A83,Centrum!$D$3:$M$130,10,0))&gt;3),"",VLOOKUP(VLOOKUP($A83,Centrum!$D$3:$M$130,10,0),Centrum!$A$3:$CB$130,AK$132,0))</f>
        <v/>
      </c>
      <c r="AL83" s="318" t="str">
        <f ca="1">IF(OR($A83="",TYPE(VLOOKUP($A83,Centrum!$D$3:$M$130,10,0))&gt;3),"",VLOOKUP(VLOOKUP($A83,Centrum!$D$3:$M$130,10,0),Centrum!$A$3:$CB$130,AL$132,0))</f>
        <v/>
      </c>
      <c r="AM83" s="318" t="str">
        <f ca="1">IF(OR($A83="",TYPE(VLOOKUP($A83,Centrum!$D$3:$M$130,10,0))&gt;3),"",VLOOKUP(VLOOKUP($A83,Centrum!$D$3:$M$130,10,0),Centrum!$A$3:$CB$130,AM$132,0))</f>
        <v/>
      </c>
      <c r="AT83" s="318" t="str">
        <f ca="1">IF(OR(OR($A83="",TYPE(VLOOKUP($A83,Centrum!$D$3:$M$130,10,0))&gt;3),$A$1&lt;4),"",VLOOKUP(VLOOKUP($A83,Centrum!$D$3:$M$130,10,0),Centrum!$A$3:$CB$130,AT$132,0))</f>
        <v/>
      </c>
      <c r="AU83" s="318" t="str">
        <f ca="1">IF(OR(OR($A83="",TYPE(VLOOKUP($A83,Centrum!$D$3:$M$130,10,0))&gt;3),$A$1&lt;4),"",VLOOKUP(VLOOKUP($A83,Centrum!$D$3:$M$130,10,0),Centrum!$A$3:$CB$130,AU$132,0))</f>
        <v/>
      </c>
      <c r="AV83" s="318" t="str">
        <f ca="1">IF(OR(OR($A83="",TYPE(VLOOKUP($A83,Centrum!$D$3:$M$130,10,0))&gt;3),$A$1&lt;4),"",VLOOKUP(VLOOKUP($A83,Centrum!$D$3:$M$130,10,0),Centrum!$A$3:$CB$130,AV$132,0))</f>
        <v/>
      </c>
      <c r="BC83" s="318" t="str">
        <f ca="1">IF(OR(OR($A83="",TYPE(VLOOKUP($A83,Centrum!$D$3:$M$130,10,0))&gt;3),$A$1&lt;5),"",VLOOKUP(VLOOKUP($A83,Centrum!$D$3:$M$130,10,0),Centrum!$A$3:$CB$130,BC$132,0))</f>
        <v/>
      </c>
      <c r="BD83" s="318" t="str">
        <f ca="1">IF(OR(OR($A83="",TYPE(VLOOKUP($A83,Centrum!$D$3:$M$130,10,0))&gt;3),$A$1&lt;5),"",VLOOKUP(VLOOKUP($A83,Centrum!$D$3:$M$130,10,0),Centrum!$A$3:$CB$130,BD$132,0))</f>
        <v/>
      </c>
      <c r="BE83" s="318" t="str">
        <f ca="1">IF(OR(OR($A83="",TYPE(VLOOKUP($A83,Centrum!$D$3:$M$130,10,0))&gt;3),$A$1&lt;5),"",VLOOKUP(VLOOKUP($A83,Centrum!$D$3:$M$130,10,0),Centrum!$A$3:$CB$130,BE$132,0))</f>
        <v/>
      </c>
      <c r="BL83" s="318" t="str">
        <f ca="1">IF(OR(OR($A83="",TYPE(VLOOKUP($A83,Centrum!$D$3:$M$130,10,0))&gt;3),$A$1&lt;6),"",VLOOKUP(VLOOKUP($A83,Centrum!$D$3:$M$130,10,0),Centrum!$A$3:$CB$130,BL$132,0))</f>
        <v/>
      </c>
      <c r="BM83" s="318" t="str">
        <f ca="1">IF(OR(OR($A83="",TYPE(VLOOKUP($A83,Centrum!$D$3:$M$130,10,0))&gt;3),$A$1&lt;6),"",VLOOKUP(VLOOKUP($A83,Centrum!$D$3:$M$130,10,0),Centrum!$A$3:$CB$130,BM$132,0))</f>
        <v/>
      </c>
      <c r="BN83" s="318" t="str">
        <f ca="1">IF(OR(OR($A83="",TYPE(VLOOKUP($A83,Centrum!$D$3:$M$130,10,0))&gt;3),$A$1&lt;6),"",VLOOKUP(VLOOKUP($A83,Centrum!$D$3:$M$130,10,0),Centrum!$A$3:$CB$130,BN$132,0))</f>
        <v/>
      </c>
    </row>
    <row r="84" spans="1:66" x14ac:dyDescent="0.4">
      <c r="A84" s="318" t="str">
        <f ca="1">Centrum!A84</f>
        <v/>
      </c>
      <c r="B84" s="421" t="str">
        <f ca="1">IF(OR($A84="",TYPE(VLOOKUP($A84,Centrum!$D$3:$M$130,10,0))&gt;3),"",VLOOKUP(VLOOKUP(A84,Centrum!$D$3:$M$130,10,0),Centrum!$A$3:$CB$130,B$132,0))</f>
        <v/>
      </c>
      <c r="C84" s="318" t="str">
        <f ca="1">IF(OR($A84="",TYPE(VLOOKUP($A84,Centrum!$D$3:$M$130,10,0))&gt;3),"",VLOOKUP($A84,Centrum!$D$3:$M$130,10,0))</f>
        <v/>
      </c>
      <c r="E84" s="318" t="str">
        <f ca="1">IF(OR($A84="",TYPE(VLOOKUP($A84,Centrum!$D$3:$M$130,10,0))&gt;3),"",VLOOKUP(VLOOKUP($A84,Centrum!$D$3:$M$130,10,0),Centrum!$A$3:$CB$130,E$132,0))</f>
        <v/>
      </c>
      <c r="F84" s="318" t="str">
        <f ca="1">IF(OR($A84="",TYPE(VLOOKUP($A84,Centrum!$D$3:$M$130,10,0))&gt;3),"",VLOOKUP(VLOOKUP($A84,Centrum!$D$3:$M$130,10,0),Centrum!$A$3:$CB$130,F$132,0))</f>
        <v/>
      </c>
      <c r="G84" s="318" t="str">
        <f ca="1">IF(OR($A84="",TYPE(VLOOKUP($A84,Centrum!$D$3:$M$130,10,0))&gt;3),"",VLOOKUP(VLOOKUP($A84,Centrum!$D$3:$M$130,10,0),Centrum!$A$3:$CB$130,G$132,0))</f>
        <v/>
      </c>
      <c r="H84" s="318" t="str">
        <f ca="1">IF($A84="","",VLOOKUP(VLOOKUP($A84,Centrum!$D$3:$M$130,10,0),Centrum!$A$3:$CB$130,H$132,0))</f>
        <v/>
      </c>
      <c r="I84" s="318" t="str">
        <f ca="1">IF($A84="","",VLOOKUP(VLOOKUP($A84,Centrum!$D$3:$M$130,10,0),Centrum!$A$3:$CB$130,I$132,0))</f>
        <v/>
      </c>
      <c r="J84" s="318" t="str">
        <f ca="1">IF(OR($A84="",TYPE(VLOOKUP($A84,Centrum!$D$3:$M$130,10,0))&gt;3),"",VLOOKUP(VLOOKUP($A84,Centrum!$D$3:$M$130,10,0),Centrum!$A$3:$CB$130,J$132,0))</f>
        <v/>
      </c>
      <c r="L84" s="318" t="str">
        <f ca="1">IF(OR($A84="",TYPE(VLOOKUP($A84,Centrum!$D$3:$M$130,10,0))&gt;3),"",VLOOKUP(VLOOKUP($A84,Centrum!$D$3:$M$130,10,0),Centrum!$A$3:$CB$130,L$132,0))</f>
        <v/>
      </c>
      <c r="M84" s="318" t="str">
        <f ca="1">IF(OR($A84="",TYPE(VLOOKUP($A84,Centrum!$D$3:$M$130,10,0))&gt;3),"",VLOOKUP(VLOOKUP($A84,Centrum!$D$3:$M$130,10,0),Centrum!$A$3:$CB$130,M$132,0))</f>
        <v/>
      </c>
      <c r="N84" s="318" t="str">
        <f ca="1">IF(OR($A84="",TYPE(VLOOKUP($A84,Centrum!$D$3:$M$130,10,0))&gt;3),"",VLOOKUP(VLOOKUP($A84,Centrum!$D$3:$M$130,10,0),Centrum!$A$3:$CB$130,N$132,0))</f>
        <v/>
      </c>
      <c r="O84" s="318" t="str">
        <f ca="1">IF(OR($A84="",TYPE(VLOOKUP($A84,Centrum!$D$3:$M$130,10,0))&gt;3),"",VLOOKUP(VLOOKUP($A84,Centrum!$D$3:$M$130,10,0),Centrum!$A$3:$CB$130,O$132,0))</f>
        <v/>
      </c>
      <c r="P84" s="318" t="str">
        <f ca="1">IF(OR($A84="",TYPE(VLOOKUP($A84,Centrum!$D$3:$M$130,10,0))&gt;3),"",VLOOKUP(VLOOKUP($A84,Centrum!$D$3:$M$130,10,0),Centrum!$A$3:$CB$130,P$132,0))</f>
        <v/>
      </c>
      <c r="Q84" s="318" t="str">
        <f ca="1">IF(OR($A84="",TYPE(VLOOKUP($A84,Centrum!$D$3:$M$130,10,0))&gt;3),"",VLOOKUP(VLOOKUP($A84,Centrum!$D$3:$M$130,10,0),Centrum!$A$3:$CB$130,Q$132,0))</f>
        <v/>
      </c>
      <c r="S84" s="318" t="str">
        <f ca="1">IF(OR($A84="",TYPE(VLOOKUP($A84,Centrum!$D$3:$M$130,10,0))&gt;3),"",VLOOKUP(VLOOKUP($A84,Centrum!$D$3:$M$130,10,0),Centrum!$A$3:$CB$130,S$132,0))</f>
        <v/>
      </c>
      <c r="T84" s="318" t="str">
        <f ca="1">IF(OR($A84="",TYPE(VLOOKUP($A84,Centrum!$D$3:$M$130,10,0))&gt;3),"",VLOOKUP(VLOOKUP($A84,Centrum!$D$3:$M$130,10,0),Centrum!$A$3:$CB$130,T$132,0))</f>
        <v/>
      </c>
      <c r="U84" s="318" t="str">
        <f ca="1">IF(OR($A84="",TYPE(VLOOKUP($A84,Centrum!$D$3:$M$130,10,0))&gt;3),"",VLOOKUP(VLOOKUP($A84,Centrum!$D$3:$M$130,10,0),Centrum!$A$3:$CB$130,U$132,0))</f>
        <v/>
      </c>
      <c r="AB84" s="318" t="str">
        <f ca="1">IF(OR($A84="",TYPE(VLOOKUP($A84,Centrum!$D$3:$M$130,10,0))&gt;3),"",VLOOKUP(VLOOKUP($A84,Centrum!$D$3:$M$130,10,0),Centrum!$A$3:$CB$130,AB$132,0))</f>
        <v/>
      </c>
      <c r="AC84" s="318" t="str">
        <f ca="1">IF(OR($A84="",TYPE(VLOOKUP($A84,Centrum!$D$3:$M$130,10,0))&gt;3),"",VLOOKUP(VLOOKUP($A84,Centrum!$D$3:$M$130,10,0),Centrum!$A$3:$CB$130,AC$132,0))</f>
        <v/>
      </c>
      <c r="AD84" s="318" t="str">
        <f ca="1">IF(OR($A84="",TYPE(VLOOKUP($A84,Centrum!$D$3:$M$130,10,0))&gt;3),"",VLOOKUP(VLOOKUP($A84,Centrum!$D$3:$M$130,10,0),Centrum!$A$3:$CB$130,AD$132,0))</f>
        <v/>
      </c>
      <c r="AK84" s="318" t="str">
        <f ca="1">IF(OR($A84="",TYPE(VLOOKUP($A84,Centrum!$D$3:$M$130,10,0))&gt;3),"",VLOOKUP(VLOOKUP($A84,Centrum!$D$3:$M$130,10,0),Centrum!$A$3:$CB$130,AK$132,0))</f>
        <v/>
      </c>
      <c r="AL84" s="318" t="str">
        <f ca="1">IF(OR($A84="",TYPE(VLOOKUP($A84,Centrum!$D$3:$M$130,10,0))&gt;3),"",VLOOKUP(VLOOKUP($A84,Centrum!$D$3:$M$130,10,0),Centrum!$A$3:$CB$130,AL$132,0))</f>
        <v/>
      </c>
      <c r="AM84" s="318" t="str">
        <f ca="1">IF(OR($A84="",TYPE(VLOOKUP($A84,Centrum!$D$3:$M$130,10,0))&gt;3),"",VLOOKUP(VLOOKUP($A84,Centrum!$D$3:$M$130,10,0),Centrum!$A$3:$CB$130,AM$132,0))</f>
        <v/>
      </c>
      <c r="AT84" s="318" t="str">
        <f ca="1">IF(OR(OR($A84="",TYPE(VLOOKUP($A84,Centrum!$D$3:$M$130,10,0))&gt;3),$A$1&lt;4),"",VLOOKUP(VLOOKUP($A84,Centrum!$D$3:$M$130,10,0),Centrum!$A$3:$CB$130,AT$132,0))</f>
        <v/>
      </c>
      <c r="AU84" s="318" t="str">
        <f ca="1">IF(OR(OR($A84="",TYPE(VLOOKUP($A84,Centrum!$D$3:$M$130,10,0))&gt;3),$A$1&lt;4),"",VLOOKUP(VLOOKUP($A84,Centrum!$D$3:$M$130,10,0),Centrum!$A$3:$CB$130,AU$132,0))</f>
        <v/>
      </c>
      <c r="AV84" s="318" t="str">
        <f ca="1">IF(OR(OR($A84="",TYPE(VLOOKUP($A84,Centrum!$D$3:$M$130,10,0))&gt;3),$A$1&lt;4),"",VLOOKUP(VLOOKUP($A84,Centrum!$D$3:$M$130,10,0),Centrum!$A$3:$CB$130,AV$132,0))</f>
        <v/>
      </c>
      <c r="BC84" s="318" t="str">
        <f ca="1">IF(OR(OR($A84="",TYPE(VLOOKUP($A84,Centrum!$D$3:$M$130,10,0))&gt;3),$A$1&lt;5),"",VLOOKUP(VLOOKUP($A84,Centrum!$D$3:$M$130,10,0),Centrum!$A$3:$CB$130,BC$132,0))</f>
        <v/>
      </c>
      <c r="BD84" s="318" t="str">
        <f ca="1">IF(OR(OR($A84="",TYPE(VLOOKUP($A84,Centrum!$D$3:$M$130,10,0))&gt;3),$A$1&lt;5),"",VLOOKUP(VLOOKUP($A84,Centrum!$D$3:$M$130,10,0),Centrum!$A$3:$CB$130,BD$132,0))</f>
        <v/>
      </c>
      <c r="BE84" s="318" t="str">
        <f ca="1">IF(OR(OR($A84="",TYPE(VLOOKUP($A84,Centrum!$D$3:$M$130,10,0))&gt;3),$A$1&lt;5),"",VLOOKUP(VLOOKUP($A84,Centrum!$D$3:$M$130,10,0),Centrum!$A$3:$CB$130,BE$132,0))</f>
        <v/>
      </c>
      <c r="BL84" s="318" t="str">
        <f ca="1">IF(OR(OR($A84="",TYPE(VLOOKUP($A84,Centrum!$D$3:$M$130,10,0))&gt;3),$A$1&lt;6),"",VLOOKUP(VLOOKUP($A84,Centrum!$D$3:$M$130,10,0),Centrum!$A$3:$CB$130,BL$132,0))</f>
        <v/>
      </c>
      <c r="BM84" s="318" t="str">
        <f ca="1">IF(OR(OR($A84="",TYPE(VLOOKUP($A84,Centrum!$D$3:$M$130,10,0))&gt;3),$A$1&lt;6),"",VLOOKUP(VLOOKUP($A84,Centrum!$D$3:$M$130,10,0),Centrum!$A$3:$CB$130,BM$132,0))</f>
        <v/>
      </c>
      <c r="BN84" s="318" t="str">
        <f ca="1">IF(OR(OR($A84="",TYPE(VLOOKUP($A84,Centrum!$D$3:$M$130,10,0))&gt;3),$A$1&lt;6),"",VLOOKUP(VLOOKUP($A84,Centrum!$D$3:$M$130,10,0),Centrum!$A$3:$CB$130,BN$132,0))</f>
        <v/>
      </c>
    </row>
    <row r="85" spans="1:66" x14ac:dyDescent="0.4">
      <c r="A85" s="318" t="str">
        <f ca="1">Centrum!A85</f>
        <v/>
      </c>
      <c r="B85" s="421" t="str">
        <f ca="1">IF(OR($A85="",TYPE(VLOOKUP($A85,Centrum!$D$3:$M$130,10,0))&gt;3),"",VLOOKUP(VLOOKUP(A85,Centrum!$D$3:$M$130,10,0),Centrum!$A$3:$CB$130,B$132,0))</f>
        <v/>
      </c>
      <c r="C85" s="318" t="str">
        <f ca="1">IF(OR($A85="",TYPE(VLOOKUP($A85,Centrum!$D$3:$M$130,10,0))&gt;3),"",VLOOKUP($A85,Centrum!$D$3:$M$130,10,0))</f>
        <v/>
      </c>
      <c r="E85" s="318" t="str">
        <f ca="1">IF(OR($A85="",TYPE(VLOOKUP($A85,Centrum!$D$3:$M$130,10,0))&gt;3),"",VLOOKUP(VLOOKUP($A85,Centrum!$D$3:$M$130,10,0),Centrum!$A$3:$CB$130,E$132,0))</f>
        <v/>
      </c>
      <c r="F85" s="318" t="str">
        <f ca="1">IF(OR($A85="",TYPE(VLOOKUP($A85,Centrum!$D$3:$M$130,10,0))&gt;3),"",VLOOKUP(VLOOKUP($A85,Centrum!$D$3:$M$130,10,0),Centrum!$A$3:$CB$130,F$132,0))</f>
        <v/>
      </c>
      <c r="G85" s="318" t="str">
        <f ca="1">IF(OR($A85="",TYPE(VLOOKUP($A85,Centrum!$D$3:$M$130,10,0))&gt;3),"",VLOOKUP(VLOOKUP($A85,Centrum!$D$3:$M$130,10,0),Centrum!$A$3:$CB$130,G$132,0))</f>
        <v/>
      </c>
      <c r="H85" s="318" t="str">
        <f ca="1">IF($A85="","",VLOOKUP(VLOOKUP($A85,Centrum!$D$3:$M$130,10,0),Centrum!$A$3:$CB$130,H$132,0))</f>
        <v/>
      </c>
      <c r="I85" s="318" t="str">
        <f ca="1">IF($A85="","",VLOOKUP(VLOOKUP($A85,Centrum!$D$3:$M$130,10,0),Centrum!$A$3:$CB$130,I$132,0))</f>
        <v/>
      </c>
      <c r="J85" s="318" t="str">
        <f ca="1">IF(OR($A85="",TYPE(VLOOKUP($A85,Centrum!$D$3:$M$130,10,0))&gt;3),"",VLOOKUP(VLOOKUP($A85,Centrum!$D$3:$M$130,10,0),Centrum!$A$3:$CB$130,J$132,0))</f>
        <v/>
      </c>
      <c r="L85" s="318" t="str">
        <f ca="1">IF(OR($A85="",TYPE(VLOOKUP($A85,Centrum!$D$3:$M$130,10,0))&gt;3),"",VLOOKUP(VLOOKUP($A85,Centrum!$D$3:$M$130,10,0),Centrum!$A$3:$CB$130,L$132,0))</f>
        <v/>
      </c>
      <c r="M85" s="318" t="str">
        <f ca="1">IF(OR($A85="",TYPE(VLOOKUP($A85,Centrum!$D$3:$M$130,10,0))&gt;3),"",VLOOKUP(VLOOKUP($A85,Centrum!$D$3:$M$130,10,0),Centrum!$A$3:$CB$130,M$132,0))</f>
        <v/>
      </c>
      <c r="N85" s="318" t="str">
        <f ca="1">IF(OR($A85="",TYPE(VLOOKUP($A85,Centrum!$D$3:$M$130,10,0))&gt;3),"",VLOOKUP(VLOOKUP($A85,Centrum!$D$3:$M$130,10,0),Centrum!$A$3:$CB$130,N$132,0))</f>
        <v/>
      </c>
      <c r="O85" s="318" t="str">
        <f ca="1">IF(OR($A85="",TYPE(VLOOKUP($A85,Centrum!$D$3:$M$130,10,0))&gt;3),"",VLOOKUP(VLOOKUP($A85,Centrum!$D$3:$M$130,10,0),Centrum!$A$3:$CB$130,O$132,0))</f>
        <v/>
      </c>
      <c r="P85" s="318" t="str">
        <f ca="1">IF(OR($A85="",TYPE(VLOOKUP($A85,Centrum!$D$3:$M$130,10,0))&gt;3),"",VLOOKUP(VLOOKUP($A85,Centrum!$D$3:$M$130,10,0),Centrum!$A$3:$CB$130,P$132,0))</f>
        <v/>
      </c>
      <c r="Q85" s="318" t="str">
        <f ca="1">IF(OR($A85="",TYPE(VLOOKUP($A85,Centrum!$D$3:$M$130,10,0))&gt;3),"",VLOOKUP(VLOOKUP($A85,Centrum!$D$3:$M$130,10,0),Centrum!$A$3:$CB$130,Q$132,0))</f>
        <v/>
      </c>
      <c r="S85" s="318" t="str">
        <f ca="1">IF(OR($A85="",TYPE(VLOOKUP($A85,Centrum!$D$3:$M$130,10,0))&gt;3),"",VLOOKUP(VLOOKUP($A85,Centrum!$D$3:$M$130,10,0),Centrum!$A$3:$CB$130,S$132,0))</f>
        <v/>
      </c>
      <c r="T85" s="318" t="str">
        <f ca="1">IF(OR($A85="",TYPE(VLOOKUP($A85,Centrum!$D$3:$M$130,10,0))&gt;3),"",VLOOKUP(VLOOKUP($A85,Centrum!$D$3:$M$130,10,0),Centrum!$A$3:$CB$130,T$132,0))</f>
        <v/>
      </c>
      <c r="U85" s="318" t="str">
        <f ca="1">IF(OR($A85="",TYPE(VLOOKUP($A85,Centrum!$D$3:$M$130,10,0))&gt;3),"",VLOOKUP(VLOOKUP($A85,Centrum!$D$3:$M$130,10,0),Centrum!$A$3:$CB$130,U$132,0))</f>
        <v/>
      </c>
      <c r="AB85" s="318" t="str">
        <f ca="1">IF(OR($A85="",TYPE(VLOOKUP($A85,Centrum!$D$3:$M$130,10,0))&gt;3),"",VLOOKUP(VLOOKUP($A85,Centrum!$D$3:$M$130,10,0),Centrum!$A$3:$CB$130,AB$132,0))</f>
        <v/>
      </c>
      <c r="AC85" s="318" t="str">
        <f ca="1">IF(OR($A85="",TYPE(VLOOKUP($A85,Centrum!$D$3:$M$130,10,0))&gt;3),"",VLOOKUP(VLOOKUP($A85,Centrum!$D$3:$M$130,10,0),Centrum!$A$3:$CB$130,AC$132,0))</f>
        <v/>
      </c>
      <c r="AD85" s="318" t="str">
        <f ca="1">IF(OR($A85="",TYPE(VLOOKUP($A85,Centrum!$D$3:$M$130,10,0))&gt;3),"",VLOOKUP(VLOOKUP($A85,Centrum!$D$3:$M$130,10,0),Centrum!$A$3:$CB$130,AD$132,0))</f>
        <v/>
      </c>
      <c r="AK85" s="318" t="str">
        <f ca="1">IF(OR($A85="",TYPE(VLOOKUP($A85,Centrum!$D$3:$M$130,10,0))&gt;3),"",VLOOKUP(VLOOKUP($A85,Centrum!$D$3:$M$130,10,0),Centrum!$A$3:$CB$130,AK$132,0))</f>
        <v/>
      </c>
      <c r="AL85" s="318" t="str">
        <f ca="1">IF(OR($A85="",TYPE(VLOOKUP($A85,Centrum!$D$3:$M$130,10,0))&gt;3),"",VLOOKUP(VLOOKUP($A85,Centrum!$D$3:$M$130,10,0),Centrum!$A$3:$CB$130,AL$132,0))</f>
        <v/>
      </c>
      <c r="AM85" s="318" t="str">
        <f ca="1">IF(OR($A85="",TYPE(VLOOKUP($A85,Centrum!$D$3:$M$130,10,0))&gt;3),"",VLOOKUP(VLOOKUP($A85,Centrum!$D$3:$M$130,10,0),Centrum!$A$3:$CB$130,AM$132,0))</f>
        <v/>
      </c>
      <c r="AT85" s="318" t="str">
        <f ca="1">IF(OR(OR($A85="",TYPE(VLOOKUP($A85,Centrum!$D$3:$M$130,10,0))&gt;3),$A$1&lt;4),"",VLOOKUP(VLOOKUP($A85,Centrum!$D$3:$M$130,10,0),Centrum!$A$3:$CB$130,AT$132,0))</f>
        <v/>
      </c>
      <c r="AU85" s="318" t="str">
        <f ca="1">IF(OR(OR($A85="",TYPE(VLOOKUP($A85,Centrum!$D$3:$M$130,10,0))&gt;3),$A$1&lt;4),"",VLOOKUP(VLOOKUP($A85,Centrum!$D$3:$M$130,10,0),Centrum!$A$3:$CB$130,AU$132,0))</f>
        <v/>
      </c>
      <c r="AV85" s="318" t="str">
        <f ca="1">IF(OR(OR($A85="",TYPE(VLOOKUP($A85,Centrum!$D$3:$M$130,10,0))&gt;3),$A$1&lt;4),"",VLOOKUP(VLOOKUP($A85,Centrum!$D$3:$M$130,10,0),Centrum!$A$3:$CB$130,AV$132,0))</f>
        <v/>
      </c>
      <c r="BC85" s="318" t="str">
        <f ca="1">IF(OR(OR($A85="",TYPE(VLOOKUP($A85,Centrum!$D$3:$M$130,10,0))&gt;3),$A$1&lt;5),"",VLOOKUP(VLOOKUP($A85,Centrum!$D$3:$M$130,10,0),Centrum!$A$3:$CB$130,BC$132,0))</f>
        <v/>
      </c>
      <c r="BD85" s="318" t="str">
        <f ca="1">IF(OR(OR($A85="",TYPE(VLOOKUP($A85,Centrum!$D$3:$M$130,10,0))&gt;3),$A$1&lt;5),"",VLOOKUP(VLOOKUP($A85,Centrum!$D$3:$M$130,10,0),Centrum!$A$3:$CB$130,BD$132,0))</f>
        <v/>
      </c>
      <c r="BE85" s="318" t="str">
        <f ca="1">IF(OR(OR($A85="",TYPE(VLOOKUP($A85,Centrum!$D$3:$M$130,10,0))&gt;3),$A$1&lt;5),"",VLOOKUP(VLOOKUP($A85,Centrum!$D$3:$M$130,10,0),Centrum!$A$3:$CB$130,BE$132,0))</f>
        <v/>
      </c>
      <c r="BL85" s="318" t="str">
        <f ca="1">IF(OR(OR($A85="",TYPE(VLOOKUP($A85,Centrum!$D$3:$M$130,10,0))&gt;3),$A$1&lt;6),"",VLOOKUP(VLOOKUP($A85,Centrum!$D$3:$M$130,10,0),Centrum!$A$3:$CB$130,BL$132,0))</f>
        <v/>
      </c>
      <c r="BM85" s="318" t="str">
        <f ca="1">IF(OR(OR($A85="",TYPE(VLOOKUP($A85,Centrum!$D$3:$M$130,10,0))&gt;3),$A$1&lt;6),"",VLOOKUP(VLOOKUP($A85,Centrum!$D$3:$M$130,10,0),Centrum!$A$3:$CB$130,BM$132,0))</f>
        <v/>
      </c>
      <c r="BN85" s="318" t="str">
        <f ca="1">IF(OR(OR($A85="",TYPE(VLOOKUP($A85,Centrum!$D$3:$M$130,10,0))&gt;3),$A$1&lt;6),"",VLOOKUP(VLOOKUP($A85,Centrum!$D$3:$M$130,10,0),Centrum!$A$3:$CB$130,BN$132,0))</f>
        <v/>
      </c>
    </row>
    <row r="86" spans="1:66" x14ac:dyDescent="0.4">
      <c r="A86" s="318" t="str">
        <f ca="1">Centrum!A86</f>
        <v/>
      </c>
      <c r="B86" s="421" t="str">
        <f ca="1">IF(OR($A86="",TYPE(VLOOKUP($A86,Centrum!$D$3:$M$130,10,0))&gt;3),"",VLOOKUP(VLOOKUP(A86,Centrum!$D$3:$M$130,10,0),Centrum!$A$3:$CB$130,B$132,0))</f>
        <v/>
      </c>
      <c r="C86" s="318" t="str">
        <f ca="1">IF(OR($A86="",TYPE(VLOOKUP($A86,Centrum!$D$3:$M$130,10,0))&gt;3),"",VLOOKUP($A86,Centrum!$D$3:$M$130,10,0))</f>
        <v/>
      </c>
      <c r="E86" s="318" t="str">
        <f ca="1">IF(OR($A86="",TYPE(VLOOKUP($A86,Centrum!$D$3:$M$130,10,0))&gt;3),"",VLOOKUP(VLOOKUP($A86,Centrum!$D$3:$M$130,10,0),Centrum!$A$3:$CB$130,E$132,0))</f>
        <v/>
      </c>
      <c r="F86" s="318" t="str">
        <f ca="1">IF(OR($A86="",TYPE(VLOOKUP($A86,Centrum!$D$3:$M$130,10,0))&gt;3),"",VLOOKUP(VLOOKUP($A86,Centrum!$D$3:$M$130,10,0),Centrum!$A$3:$CB$130,F$132,0))</f>
        <v/>
      </c>
      <c r="G86" s="318" t="str">
        <f ca="1">IF(OR($A86="",TYPE(VLOOKUP($A86,Centrum!$D$3:$M$130,10,0))&gt;3),"",VLOOKUP(VLOOKUP($A86,Centrum!$D$3:$M$130,10,0),Centrum!$A$3:$CB$130,G$132,0))</f>
        <v/>
      </c>
      <c r="H86" s="318" t="str">
        <f ca="1">IF($A86="","",VLOOKUP(VLOOKUP($A86,Centrum!$D$3:$M$130,10,0),Centrum!$A$3:$CB$130,H$132,0))</f>
        <v/>
      </c>
      <c r="I86" s="318" t="str">
        <f ca="1">IF($A86="","",VLOOKUP(VLOOKUP($A86,Centrum!$D$3:$M$130,10,0),Centrum!$A$3:$CB$130,I$132,0))</f>
        <v/>
      </c>
      <c r="J86" s="318" t="str">
        <f ca="1">IF(OR($A86="",TYPE(VLOOKUP($A86,Centrum!$D$3:$M$130,10,0))&gt;3),"",VLOOKUP(VLOOKUP($A86,Centrum!$D$3:$M$130,10,0),Centrum!$A$3:$CB$130,J$132,0))</f>
        <v/>
      </c>
      <c r="L86" s="318" t="str">
        <f ca="1">IF(OR($A86="",TYPE(VLOOKUP($A86,Centrum!$D$3:$M$130,10,0))&gt;3),"",VLOOKUP(VLOOKUP($A86,Centrum!$D$3:$M$130,10,0),Centrum!$A$3:$CB$130,L$132,0))</f>
        <v/>
      </c>
      <c r="M86" s="318" t="str">
        <f ca="1">IF(OR($A86="",TYPE(VLOOKUP($A86,Centrum!$D$3:$M$130,10,0))&gt;3),"",VLOOKUP(VLOOKUP($A86,Centrum!$D$3:$M$130,10,0),Centrum!$A$3:$CB$130,M$132,0))</f>
        <v/>
      </c>
      <c r="N86" s="318" t="str">
        <f ca="1">IF(OR($A86="",TYPE(VLOOKUP($A86,Centrum!$D$3:$M$130,10,0))&gt;3),"",VLOOKUP(VLOOKUP($A86,Centrum!$D$3:$M$130,10,0),Centrum!$A$3:$CB$130,N$132,0))</f>
        <v/>
      </c>
      <c r="O86" s="318" t="str">
        <f ca="1">IF(OR($A86="",TYPE(VLOOKUP($A86,Centrum!$D$3:$M$130,10,0))&gt;3),"",VLOOKUP(VLOOKUP($A86,Centrum!$D$3:$M$130,10,0),Centrum!$A$3:$CB$130,O$132,0))</f>
        <v/>
      </c>
      <c r="P86" s="318" t="str">
        <f ca="1">IF(OR($A86="",TYPE(VLOOKUP($A86,Centrum!$D$3:$M$130,10,0))&gt;3),"",VLOOKUP(VLOOKUP($A86,Centrum!$D$3:$M$130,10,0),Centrum!$A$3:$CB$130,P$132,0))</f>
        <v/>
      </c>
      <c r="Q86" s="318" t="str">
        <f ca="1">IF(OR($A86="",TYPE(VLOOKUP($A86,Centrum!$D$3:$M$130,10,0))&gt;3),"",VLOOKUP(VLOOKUP($A86,Centrum!$D$3:$M$130,10,0),Centrum!$A$3:$CB$130,Q$132,0))</f>
        <v/>
      </c>
      <c r="S86" s="318" t="str">
        <f ca="1">IF(OR($A86="",TYPE(VLOOKUP($A86,Centrum!$D$3:$M$130,10,0))&gt;3),"",VLOOKUP(VLOOKUP($A86,Centrum!$D$3:$M$130,10,0),Centrum!$A$3:$CB$130,S$132,0))</f>
        <v/>
      </c>
      <c r="T86" s="318" t="str">
        <f ca="1">IF(OR($A86="",TYPE(VLOOKUP($A86,Centrum!$D$3:$M$130,10,0))&gt;3),"",VLOOKUP(VLOOKUP($A86,Centrum!$D$3:$M$130,10,0),Centrum!$A$3:$CB$130,T$132,0))</f>
        <v/>
      </c>
      <c r="U86" s="318" t="str">
        <f ca="1">IF(OR($A86="",TYPE(VLOOKUP($A86,Centrum!$D$3:$M$130,10,0))&gt;3),"",VLOOKUP(VLOOKUP($A86,Centrum!$D$3:$M$130,10,0),Centrum!$A$3:$CB$130,U$132,0))</f>
        <v/>
      </c>
      <c r="AB86" s="318" t="str">
        <f ca="1">IF(OR($A86="",TYPE(VLOOKUP($A86,Centrum!$D$3:$M$130,10,0))&gt;3),"",VLOOKUP(VLOOKUP($A86,Centrum!$D$3:$M$130,10,0),Centrum!$A$3:$CB$130,AB$132,0))</f>
        <v/>
      </c>
      <c r="AC86" s="318" t="str">
        <f ca="1">IF(OR($A86="",TYPE(VLOOKUP($A86,Centrum!$D$3:$M$130,10,0))&gt;3),"",VLOOKUP(VLOOKUP($A86,Centrum!$D$3:$M$130,10,0),Centrum!$A$3:$CB$130,AC$132,0))</f>
        <v/>
      </c>
      <c r="AD86" s="318" t="str">
        <f ca="1">IF(OR($A86="",TYPE(VLOOKUP($A86,Centrum!$D$3:$M$130,10,0))&gt;3),"",VLOOKUP(VLOOKUP($A86,Centrum!$D$3:$M$130,10,0),Centrum!$A$3:$CB$130,AD$132,0))</f>
        <v/>
      </c>
      <c r="AK86" s="318" t="str">
        <f ca="1">IF(OR($A86="",TYPE(VLOOKUP($A86,Centrum!$D$3:$M$130,10,0))&gt;3),"",VLOOKUP(VLOOKUP($A86,Centrum!$D$3:$M$130,10,0),Centrum!$A$3:$CB$130,AK$132,0))</f>
        <v/>
      </c>
      <c r="AL86" s="318" t="str">
        <f ca="1">IF(OR($A86="",TYPE(VLOOKUP($A86,Centrum!$D$3:$M$130,10,0))&gt;3),"",VLOOKUP(VLOOKUP($A86,Centrum!$D$3:$M$130,10,0),Centrum!$A$3:$CB$130,AL$132,0))</f>
        <v/>
      </c>
      <c r="AM86" s="318" t="str">
        <f ca="1">IF(OR($A86="",TYPE(VLOOKUP($A86,Centrum!$D$3:$M$130,10,0))&gt;3),"",VLOOKUP(VLOOKUP($A86,Centrum!$D$3:$M$130,10,0),Centrum!$A$3:$CB$130,AM$132,0))</f>
        <v/>
      </c>
      <c r="AT86" s="318" t="str">
        <f ca="1">IF(OR(OR($A86="",TYPE(VLOOKUP($A86,Centrum!$D$3:$M$130,10,0))&gt;3),$A$1&lt;4),"",VLOOKUP(VLOOKUP($A86,Centrum!$D$3:$M$130,10,0),Centrum!$A$3:$CB$130,AT$132,0))</f>
        <v/>
      </c>
      <c r="AU86" s="318" t="str">
        <f ca="1">IF(OR(OR($A86="",TYPE(VLOOKUP($A86,Centrum!$D$3:$M$130,10,0))&gt;3),$A$1&lt;4),"",VLOOKUP(VLOOKUP($A86,Centrum!$D$3:$M$130,10,0),Centrum!$A$3:$CB$130,AU$132,0))</f>
        <v/>
      </c>
      <c r="AV86" s="318" t="str">
        <f ca="1">IF(OR(OR($A86="",TYPE(VLOOKUP($A86,Centrum!$D$3:$M$130,10,0))&gt;3),$A$1&lt;4),"",VLOOKUP(VLOOKUP($A86,Centrum!$D$3:$M$130,10,0),Centrum!$A$3:$CB$130,AV$132,0))</f>
        <v/>
      </c>
      <c r="BC86" s="318" t="str">
        <f ca="1">IF(OR(OR($A86="",TYPE(VLOOKUP($A86,Centrum!$D$3:$M$130,10,0))&gt;3),$A$1&lt;5),"",VLOOKUP(VLOOKUP($A86,Centrum!$D$3:$M$130,10,0),Centrum!$A$3:$CB$130,BC$132,0))</f>
        <v/>
      </c>
      <c r="BD86" s="318" t="str">
        <f ca="1">IF(OR(OR($A86="",TYPE(VLOOKUP($A86,Centrum!$D$3:$M$130,10,0))&gt;3),$A$1&lt;5),"",VLOOKUP(VLOOKUP($A86,Centrum!$D$3:$M$130,10,0),Centrum!$A$3:$CB$130,BD$132,0))</f>
        <v/>
      </c>
      <c r="BE86" s="318" t="str">
        <f ca="1">IF(OR(OR($A86="",TYPE(VLOOKUP($A86,Centrum!$D$3:$M$130,10,0))&gt;3),$A$1&lt;5),"",VLOOKUP(VLOOKUP($A86,Centrum!$D$3:$M$130,10,0),Centrum!$A$3:$CB$130,BE$132,0))</f>
        <v/>
      </c>
      <c r="BL86" s="318" t="str">
        <f ca="1">IF(OR(OR($A86="",TYPE(VLOOKUP($A86,Centrum!$D$3:$M$130,10,0))&gt;3),$A$1&lt;6),"",VLOOKUP(VLOOKUP($A86,Centrum!$D$3:$M$130,10,0),Centrum!$A$3:$CB$130,BL$132,0))</f>
        <v/>
      </c>
      <c r="BM86" s="318" t="str">
        <f ca="1">IF(OR(OR($A86="",TYPE(VLOOKUP($A86,Centrum!$D$3:$M$130,10,0))&gt;3),$A$1&lt;6),"",VLOOKUP(VLOOKUP($A86,Centrum!$D$3:$M$130,10,0),Centrum!$A$3:$CB$130,BM$132,0))</f>
        <v/>
      </c>
      <c r="BN86" s="318" t="str">
        <f ca="1">IF(OR(OR($A86="",TYPE(VLOOKUP($A86,Centrum!$D$3:$M$130,10,0))&gt;3),$A$1&lt;6),"",VLOOKUP(VLOOKUP($A86,Centrum!$D$3:$M$130,10,0),Centrum!$A$3:$CB$130,BN$132,0))</f>
        <v/>
      </c>
    </row>
    <row r="87" spans="1:66" x14ac:dyDescent="0.4">
      <c r="A87" s="318" t="str">
        <f ca="1">Centrum!A87</f>
        <v/>
      </c>
      <c r="B87" s="421" t="str">
        <f ca="1">IF(OR($A87="",TYPE(VLOOKUP($A87,Centrum!$D$3:$M$130,10,0))&gt;3),"",VLOOKUP(VLOOKUP(A87,Centrum!$D$3:$M$130,10,0),Centrum!$A$3:$CB$130,B$132,0))</f>
        <v/>
      </c>
      <c r="C87" s="318" t="str">
        <f ca="1">IF(OR($A87="",TYPE(VLOOKUP($A87,Centrum!$D$3:$M$130,10,0))&gt;3),"",VLOOKUP($A87,Centrum!$D$3:$M$130,10,0))</f>
        <v/>
      </c>
      <c r="E87" s="318" t="str">
        <f ca="1">IF(OR($A87="",TYPE(VLOOKUP($A87,Centrum!$D$3:$M$130,10,0))&gt;3),"",VLOOKUP(VLOOKUP($A87,Centrum!$D$3:$M$130,10,0),Centrum!$A$3:$CB$130,E$132,0))</f>
        <v/>
      </c>
      <c r="F87" s="318" t="str">
        <f ca="1">IF(OR($A87="",TYPE(VLOOKUP($A87,Centrum!$D$3:$M$130,10,0))&gt;3),"",VLOOKUP(VLOOKUP($A87,Centrum!$D$3:$M$130,10,0),Centrum!$A$3:$CB$130,F$132,0))</f>
        <v/>
      </c>
      <c r="G87" s="318" t="str">
        <f ca="1">IF(OR($A87="",TYPE(VLOOKUP($A87,Centrum!$D$3:$M$130,10,0))&gt;3),"",VLOOKUP(VLOOKUP($A87,Centrum!$D$3:$M$130,10,0),Centrum!$A$3:$CB$130,G$132,0))</f>
        <v/>
      </c>
      <c r="H87" s="318" t="str">
        <f ca="1">IF($A87="","",VLOOKUP(VLOOKUP($A87,Centrum!$D$3:$M$130,10,0),Centrum!$A$3:$CB$130,H$132,0))</f>
        <v/>
      </c>
      <c r="I87" s="318" t="str">
        <f ca="1">IF($A87="","",VLOOKUP(VLOOKUP($A87,Centrum!$D$3:$M$130,10,0),Centrum!$A$3:$CB$130,I$132,0))</f>
        <v/>
      </c>
      <c r="J87" s="318" t="str">
        <f ca="1">IF(OR($A87="",TYPE(VLOOKUP($A87,Centrum!$D$3:$M$130,10,0))&gt;3),"",VLOOKUP(VLOOKUP($A87,Centrum!$D$3:$M$130,10,0),Centrum!$A$3:$CB$130,J$132,0))</f>
        <v/>
      </c>
      <c r="L87" s="318" t="str">
        <f ca="1">IF(OR($A87="",TYPE(VLOOKUP($A87,Centrum!$D$3:$M$130,10,0))&gt;3),"",VLOOKUP(VLOOKUP($A87,Centrum!$D$3:$M$130,10,0),Centrum!$A$3:$CB$130,L$132,0))</f>
        <v/>
      </c>
      <c r="M87" s="318" t="str">
        <f ca="1">IF(OR($A87="",TYPE(VLOOKUP($A87,Centrum!$D$3:$M$130,10,0))&gt;3),"",VLOOKUP(VLOOKUP($A87,Centrum!$D$3:$M$130,10,0),Centrum!$A$3:$CB$130,M$132,0))</f>
        <v/>
      </c>
      <c r="N87" s="318" t="str">
        <f ca="1">IF(OR($A87="",TYPE(VLOOKUP($A87,Centrum!$D$3:$M$130,10,0))&gt;3),"",VLOOKUP(VLOOKUP($A87,Centrum!$D$3:$M$130,10,0),Centrum!$A$3:$CB$130,N$132,0))</f>
        <v/>
      </c>
      <c r="O87" s="318" t="str">
        <f ca="1">IF(OR($A87="",TYPE(VLOOKUP($A87,Centrum!$D$3:$M$130,10,0))&gt;3),"",VLOOKUP(VLOOKUP($A87,Centrum!$D$3:$M$130,10,0),Centrum!$A$3:$CB$130,O$132,0))</f>
        <v/>
      </c>
      <c r="P87" s="318" t="str">
        <f ca="1">IF(OR($A87="",TYPE(VLOOKUP($A87,Centrum!$D$3:$M$130,10,0))&gt;3),"",VLOOKUP(VLOOKUP($A87,Centrum!$D$3:$M$130,10,0),Centrum!$A$3:$CB$130,P$132,0))</f>
        <v/>
      </c>
      <c r="Q87" s="318" t="str">
        <f ca="1">IF(OR($A87="",TYPE(VLOOKUP($A87,Centrum!$D$3:$M$130,10,0))&gt;3),"",VLOOKUP(VLOOKUP($A87,Centrum!$D$3:$M$130,10,0),Centrum!$A$3:$CB$130,Q$132,0))</f>
        <v/>
      </c>
      <c r="S87" s="318" t="str">
        <f ca="1">IF(OR($A87="",TYPE(VLOOKUP($A87,Centrum!$D$3:$M$130,10,0))&gt;3),"",VLOOKUP(VLOOKUP($A87,Centrum!$D$3:$M$130,10,0),Centrum!$A$3:$CB$130,S$132,0))</f>
        <v/>
      </c>
      <c r="T87" s="318" t="str">
        <f ca="1">IF(OR($A87="",TYPE(VLOOKUP($A87,Centrum!$D$3:$M$130,10,0))&gt;3),"",VLOOKUP(VLOOKUP($A87,Centrum!$D$3:$M$130,10,0),Centrum!$A$3:$CB$130,T$132,0))</f>
        <v/>
      </c>
      <c r="U87" s="318" t="str">
        <f ca="1">IF(OR($A87="",TYPE(VLOOKUP($A87,Centrum!$D$3:$M$130,10,0))&gt;3),"",VLOOKUP(VLOOKUP($A87,Centrum!$D$3:$M$130,10,0),Centrum!$A$3:$CB$130,U$132,0))</f>
        <v/>
      </c>
      <c r="AB87" s="318" t="str">
        <f ca="1">IF(OR($A87="",TYPE(VLOOKUP($A87,Centrum!$D$3:$M$130,10,0))&gt;3),"",VLOOKUP(VLOOKUP($A87,Centrum!$D$3:$M$130,10,0),Centrum!$A$3:$CB$130,AB$132,0))</f>
        <v/>
      </c>
      <c r="AC87" s="318" t="str">
        <f ca="1">IF(OR($A87="",TYPE(VLOOKUP($A87,Centrum!$D$3:$M$130,10,0))&gt;3),"",VLOOKUP(VLOOKUP($A87,Centrum!$D$3:$M$130,10,0),Centrum!$A$3:$CB$130,AC$132,0))</f>
        <v/>
      </c>
      <c r="AD87" s="318" t="str">
        <f ca="1">IF(OR($A87="",TYPE(VLOOKUP($A87,Centrum!$D$3:$M$130,10,0))&gt;3),"",VLOOKUP(VLOOKUP($A87,Centrum!$D$3:$M$130,10,0),Centrum!$A$3:$CB$130,AD$132,0))</f>
        <v/>
      </c>
      <c r="AK87" s="318" t="str">
        <f ca="1">IF(OR($A87="",TYPE(VLOOKUP($A87,Centrum!$D$3:$M$130,10,0))&gt;3),"",VLOOKUP(VLOOKUP($A87,Centrum!$D$3:$M$130,10,0),Centrum!$A$3:$CB$130,AK$132,0))</f>
        <v/>
      </c>
      <c r="AL87" s="318" t="str">
        <f ca="1">IF(OR($A87="",TYPE(VLOOKUP($A87,Centrum!$D$3:$M$130,10,0))&gt;3),"",VLOOKUP(VLOOKUP($A87,Centrum!$D$3:$M$130,10,0),Centrum!$A$3:$CB$130,AL$132,0))</f>
        <v/>
      </c>
      <c r="AM87" s="318" t="str">
        <f ca="1">IF(OR($A87="",TYPE(VLOOKUP($A87,Centrum!$D$3:$M$130,10,0))&gt;3),"",VLOOKUP(VLOOKUP($A87,Centrum!$D$3:$M$130,10,0),Centrum!$A$3:$CB$130,AM$132,0))</f>
        <v/>
      </c>
      <c r="AT87" s="318" t="str">
        <f ca="1">IF(OR(OR($A87="",TYPE(VLOOKUP($A87,Centrum!$D$3:$M$130,10,0))&gt;3),$A$1&lt;4),"",VLOOKUP(VLOOKUP($A87,Centrum!$D$3:$M$130,10,0),Centrum!$A$3:$CB$130,AT$132,0))</f>
        <v/>
      </c>
      <c r="AU87" s="318" t="str">
        <f ca="1">IF(OR(OR($A87="",TYPE(VLOOKUP($A87,Centrum!$D$3:$M$130,10,0))&gt;3),$A$1&lt;4),"",VLOOKUP(VLOOKUP($A87,Centrum!$D$3:$M$130,10,0),Centrum!$A$3:$CB$130,AU$132,0))</f>
        <v/>
      </c>
      <c r="AV87" s="318" t="str">
        <f ca="1">IF(OR(OR($A87="",TYPE(VLOOKUP($A87,Centrum!$D$3:$M$130,10,0))&gt;3),$A$1&lt;4),"",VLOOKUP(VLOOKUP($A87,Centrum!$D$3:$M$130,10,0),Centrum!$A$3:$CB$130,AV$132,0))</f>
        <v/>
      </c>
      <c r="BC87" s="318" t="str">
        <f ca="1">IF(OR(OR($A87="",TYPE(VLOOKUP($A87,Centrum!$D$3:$M$130,10,0))&gt;3),$A$1&lt;5),"",VLOOKUP(VLOOKUP($A87,Centrum!$D$3:$M$130,10,0),Centrum!$A$3:$CB$130,BC$132,0))</f>
        <v/>
      </c>
      <c r="BD87" s="318" t="str">
        <f ca="1">IF(OR(OR($A87="",TYPE(VLOOKUP($A87,Centrum!$D$3:$M$130,10,0))&gt;3),$A$1&lt;5),"",VLOOKUP(VLOOKUP($A87,Centrum!$D$3:$M$130,10,0),Centrum!$A$3:$CB$130,BD$132,0))</f>
        <v/>
      </c>
      <c r="BE87" s="318" t="str">
        <f ca="1">IF(OR(OR($A87="",TYPE(VLOOKUP($A87,Centrum!$D$3:$M$130,10,0))&gt;3),$A$1&lt;5),"",VLOOKUP(VLOOKUP($A87,Centrum!$D$3:$M$130,10,0),Centrum!$A$3:$CB$130,BE$132,0))</f>
        <v/>
      </c>
      <c r="BL87" s="318" t="str">
        <f ca="1">IF(OR(OR($A87="",TYPE(VLOOKUP($A87,Centrum!$D$3:$M$130,10,0))&gt;3),$A$1&lt;6),"",VLOOKUP(VLOOKUP($A87,Centrum!$D$3:$M$130,10,0),Centrum!$A$3:$CB$130,BL$132,0))</f>
        <v/>
      </c>
      <c r="BM87" s="318" t="str">
        <f ca="1">IF(OR(OR($A87="",TYPE(VLOOKUP($A87,Centrum!$D$3:$M$130,10,0))&gt;3),$A$1&lt;6),"",VLOOKUP(VLOOKUP($A87,Centrum!$D$3:$M$130,10,0),Centrum!$A$3:$CB$130,BM$132,0))</f>
        <v/>
      </c>
      <c r="BN87" s="318" t="str">
        <f ca="1">IF(OR(OR($A87="",TYPE(VLOOKUP($A87,Centrum!$D$3:$M$130,10,0))&gt;3),$A$1&lt;6),"",VLOOKUP(VLOOKUP($A87,Centrum!$D$3:$M$130,10,0),Centrum!$A$3:$CB$130,BN$132,0))</f>
        <v/>
      </c>
    </row>
    <row r="88" spans="1:66" x14ac:dyDescent="0.4">
      <c r="A88" s="318" t="str">
        <f ca="1">Centrum!A88</f>
        <v/>
      </c>
      <c r="B88" s="421" t="str">
        <f ca="1">IF(OR($A88="",TYPE(VLOOKUP($A88,Centrum!$D$3:$M$130,10,0))&gt;3),"",VLOOKUP(VLOOKUP(A88,Centrum!$D$3:$M$130,10,0),Centrum!$A$3:$CB$130,B$132,0))</f>
        <v/>
      </c>
      <c r="C88" s="318" t="str">
        <f ca="1">IF(OR($A88="",TYPE(VLOOKUP($A88,Centrum!$D$3:$M$130,10,0))&gt;3),"",VLOOKUP($A88,Centrum!$D$3:$M$130,10,0))</f>
        <v/>
      </c>
      <c r="E88" s="318" t="str">
        <f ca="1">IF(OR($A88="",TYPE(VLOOKUP($A88,Centrum!$D$3:$M$130,10,0))&gt;3),"",VLOOKUP(VLOOKUP($A88,Centrum!$D$3:$M$130,10,0),Centrum!$A$3:$CB$130,E$132,0))</f>
        <v/>
      </c>
      <c r="F88" s="318" t="str">
        <f ca="1">IF(OR($A88="",TYPE(VLOOKUP($A88,Centrum!$D$3:$M$130,10,0))&gt;3),"",VLOOKUP(VLOOKUP($A88,Centrum!$D$3:$M$130,10,0),Centrum!$A$3:$CB$130,F$132,0))</f>
        <v/>
      </c>
      <c r="G88" s="318" t="str">
        <f ca="1">IF(OR($A88="",TYPE(VLOOKUP($A88,Centrum!$D$3:$M$130,10,0))&gt;3),"",VLOOKUP(VLOOKUP($A88,Centrum!$D$3:$M$130,10,0),Centrum!$A$3:$CB$130,G$132,0))</f>
        <v/>
      </c>
      <c r="H88" s="318" t="str">
        <f ca="1">IF($A88="","",VLOOKUP(VLOOKUP($A88,Centrum!$D$3:$M$130,10,0),Centrum!$A$3:$CB$130,H$132,0))</f>
        <v/>
      </c>
      <c r="I88" s="318" t="str">
        <f ca="1">IF($A88="","",VLOOKUP(VLOOKUP($A88,Centrum!$D$3:$M$130,10,0),Centrum!$A$3:$CB$130,I$132,0))</f>
        <v/>
      </c>
      <c r="J88" s="318" t="str">
        <f ca="1">IF(OR($A88="",TYPE(VLOOKUP($A88,Centrum!$D$3:$M$130,10,0))&gt;3),"",VLOOKUP(VLOOKUP($A88,Centrum!$D$3:$M$130,10,0),Centrum!$A$3:$CB$130,J$132,0))</f>
        <v/>
      </c>
      <c r="L88" s="318" t="str">
        <f ca="1">IF(OR($A88="",TYPE(VLOOKUP($A88,Centrum!$D$3:$M$130,10,0))&gt;3),"",VLOOKUP(VLOOKUP($A88,Centrum!$D$3:$M$130,10,0),Centrum!$A$3:$CB$130,L$132,0))</f>
        <v/>
      </c>
      <c r="M88" s="318" t="str">
        <f ca="1">IF(OR($A88="",TYPE(VLOOKUP($A88,Centrum!$D$3:$M$130,10,0))&gt;3),"",VLOOKUP(VLOOKUP($A88,Centrum!$D$3:$M$130,10,0),Centrum!$A$3:$CB$130,M$132,0))</f>
        <v/>
      </c>
      <c r="N88" s="318" t="str">
        <f ca="1">IF(OR($A88="",TYPE(VLOOKUP($A88,Centrum!$D$3:$M$130,10,0))&gt;3),"",VLOOKUP(VLOOKUP($A88,Centrum!$D$3:$M$130,10,0),Centrum!$A$3:$CB$130,N$132,0))</f>
        <v/>
      </c>
      <c r="O88" s="318" t="str">
        <f ca="1">IF(OR($A88="",TYPE(VLOOKUP($A88,Centrum!$D$3:$M$130,10,0))&gt;3),"",VLOOKUP(VLOOKUP($A88,Centrum!$D$3:$M$130,10,0),Centrum!$A$3:$CB$130,O$132,0))</f>
        <v/>
      </c>
      <c r="P88" s="318" t="str">
        <f ca="1">IF(OR($A88="",TYPE(VLOOKUP($A88,Centrum!$D$3:$M$130,10,0))&gt;3),"",VLOOKUP(VLOOKUP($A88,Centrum!$D$3:$M$130,10,0),Centrum!$A$3:$CB$130,P$132,0))</f>
        <v/>
      </c>
      <c r="Q88" s="318" t="str">
        <f ca="1">IF(OR($A88="",TYPE(VLOOKUP($A88,Centrum!$D$3:$M$130,10,0))&gt;3),"",VLOOKUP(VLOOKUP($A88,Centrum!$D$3:$M$130,10,0),Centrum!$A$3:$CB$130,Q$132,0))</f>
        <v/>
      </c>
      <c r="S88" s="318" t="str">
        <f ca="1">IF(OR($A88="",TYPE(VLOOKUP($A88,Centrum!$D$3:$M$130,10,0))&gt;3),"",VLOOKUP(VLOOKUP($A88,Centrum!$D$3:$M$130,10,0),Centrum!$A$3:$CB$130,S$132,0))</f>
        <v/>
      </c>
      <c r="T88" s="318" t="str">
        <f ca="1">IF(OR($A88="",TYPE(VLOOKUP($A88,Centrum!$D$3:$M$130,10,0))&gt;3),"",VLOOKUP(VLOOKUP($A88,Centrum!$D$3:$M$130,10,0),Centrum!$A$3:$CB$130,T$132,0))</f>
        <v/>
      </c>
      <c r="U88" s="318" t="str">
        <f ca="1">IF(OR($A88="",TYPE(VLOOKUP($A88,Centrum!$D$3:$M$130,10,0))&gt;3),"",VLOOKUP(VLOOKUP($A88,Centrum!$D$3:$M$130,10,0),Centrum!$A$3:$CB$130,U$132,0))</f>
        <v/>
      </c>
      <c r="AB88" s="318" t="str">
        <f ca="1">IF(OR($A88="",TYPE(VLOOKUP($A88,Centrum!$D$3:$M$130,10,0))&gt;3),"",VLOOKUP(VLOOKUP($A88,Centrum!$D$3:$M$130,10,0),Centrum!$A$3:$CB$130,AB$132,0))</f>
        <v/>
      </c>
      <c r="AC88" s="318" t="str">
        <f ca="1">IF(OR($A88="",TYPE(VLOOKUP($A88,Centrum!$D$3:$M$130,10,0))&gt;3),"",VLOOKUP(VLOOKUP($A88,Centrum!$D$3:$M$130,10,0),Centrum!$A$3:$CB$130,AC$132,0))</f>
        <v/>
      </c>
      <c r="AD88" s="318" t="str">
        <f ca="1">IF(OR($A88="",TYPE(VLOOKUP($A88,Centrum!$D$3:$M$130,10,0))&gt;3),"",VLOOKUP(VLOOKUP($A88,Centrum!$D$3:$M$130,10,0),Centrum!$A$3:$CB$130,AD$132,0))</f>
        <v/>
      </c>
      <c r="AK88" s="318" t="str">
        <f ca="1">IF(OR($A88="",TYPE(VLOOKUP($A88,Centrum!$D$3:$M$130,10,0))&gt;3),"",VLOOKUP(VLOOKUP($A88,Centrum!$D$3:$M$130,10,0),Centrum!$A$3:$CB$130,AK$132,0))</f>
        <v/>
      </c>
      <c r="AL88" s="318" t="str">
        <f ca="1">IF(OR($A88="",TYPE(VLOOKUP($A88,Centrum!$D$3:$M$130,10,0))&gt;3),"",VLOOKUP(VLOOKUP($A88,Centrum!$D$3:$M$130,10,0),Centrum!$A$3:$CB$130,AL$132,0))</f>
        <v/>
      </c>
      <c r="AM88" s="318" t="str">
        <f ca="1">IF(OR($A88="",TYPE(VLOOKUP($A88,Centrum!$D$3:$M$130,10,0))&gt;3),"",VLOOKUP(VLOOKUP($A88,Centrum!$D$3:$M$130,10,0),Centrum!$A$3:$CB$130,AM$132,0))</f>
        <v/>
      </c>
      <c r="AT88" s="318" t="str">
        <f ca="1">IF(OR(OR($A88="",TYPE(VLOOKUP($A88,Centrum!$D$3:$M$130,10,0))&gt;3),$A$1&lt;4),"",VLOOKUP(VLOOKUP($A88,Centrum!$D$3:$M$130,10,0),Centrum!$A$3:$CB$130,AT$132,0))</f>
        <v/>
      </c>
      <c r="AU88" s="318" t="str">
        <f ca="1">IF(OR(OR($A88="",TYPE(VLOOKUP($A88,Centrum!$D$3:$M$130,10,0))&gt;3),$A$1&lt;4),"",VLOOKUP(VLOOKUP($A88,Centrum!$D$3:$M$130,10,0),Centrum!$A$3:$CB$130,AU$132,0))</f>
        <v/>
      </c>
      <c r="AV88" s="318" t="str">
        <f ca="1">IF(OR(OR($A88="",TYPE(VLOOKUP($A88,Centrum!$D$3:$M$130,10,0))&gt;3),$A$1&lt;4),"",VLOOKUP(VLOOKUP($A88,Centrum!$D$3:$M$130,10,0),Centrum!$A$3:$CB$130,AV$132,0))</f>
        <v/>
      </c>
      <c r="BC88" s="318" t="str">
        <f ca="1">IF(OR(OR($A88="",TYPE(VLOOKUP($A88,Centrum!$D$3:$M$130,10,0))&gt;3),$A$1&lt;5),"",VLOOKUP(VLOOKUP($A88,Centrum!$D$3:$M$130,10,0),Centrum!$A$3:$CB$130,BC$132,0))</f>
        <v/>
      </c>
      <c r="BD88" s="318" t="str">
        <f ca="1">IF(OR(OR($A88="",TYPE(VLOOKUP($A88,Centrum!$D$3:$M$130,10,0))&gt;3),$A$1&lt;5),"",VLOOKUP(VLOOKUP($A88,Centrum!$D$3:$M$130,10,0),Centrum!$A$3:$CB$130,BD$132,0))</f>
        <v/>
      </c>
      <c r="BE88" s="318" t="str">
        <f ca="1">IF(OR(OR($A88="",TYPE(VLOOKUP($A88,Centrum!$D$3:$M$130,10,0))&gt;3),$A$1&lt;5),"",VLOOKUP(VLOOKUP($A88,Centrum!$D$3:$M$130,10,0),Centrum!$A$3:$CB$130,BE$132,0))</f>
        <v/>
      </c>
      <c r="BL88" s="318" t="str">
        <f ca="1">IF(OR(OR($A88="",TYPE(VLOOKUP($A88,Centrum!$D$3:$M$130,10,0))&gt;3),$A$1&lt;6),"",VLOOKUP(VLOOKUP($A88,Centrum!$D$3:$M$130,10,0),Centrum!$A$3:$CB$130,BL$132,0))</f>
        <v/>
      </c>
      <c r="BM88" s="318" t="str">
        <f ca="1">IF(OR(OR($A88="",TYPE(VLOOKUP($A88,Centrum!$D$3:$M$130,10,0))&gt;3),$A$1&lt;6),"",VLOOKUP(VLOOKUP($A88,Centrum!$D$3:$M$130,10,0),Centrum!$A$3:$CB$130,BM$132,0))</f>
        <v/>
      </c>
      <c r="BN88" s="318" t="str">
        <f ca="1">IF(OR(OR($A88="",TYPE(VLOOKUP($A88,Centrum!$D$3:$M$130,10,0))&gt;3),$A$1&lt;6),"",VLOOKUP(VLOOKUP($A88,Centrum!$D$3:$M$130,10,0),Centrum!$A$3:$CB$130,BN$132,0))</f>
        <v/>
      </c>
    </row>
    <row r="89" spans="1:66" x14ac:dyDescent="0.4">
      <c r="A89" s="318" t="str">
        <f ca="1">Centrum!A89</f>
        <v/>
      </c>
      <c r="B89" s="421" t="str">
        <f ca="1">IF(OR($A89="",TYPE(VLOOKUP($A89,Centrum!$D$3:$M$130,10,0))&gt;3),"",VLOOKUP(VLOOKUP(A89,Centrum!$D$3:$M$130,10,0),Centrum!$A$3:$CB$130,B$132,0))</f>
        <v/>
      </c>
      <c r="C89" s="318" t="str">
        <f ca="1">IF(OR($A89="",TYPE(VLOOKUP($A89,Centrum!$D$3:$M$130,10,0))&gt;3),"",VLOOKUP($A89,Centrum!$D$3:$M$130,10,0))</f>
        <v/>
      </c>
      <c r="E89" s="318" t="str">
        <f ca="1">IF(OR($A89="",TYPE(VLOOKUP($A89,Centrum!$D$3:$M$130,10,0))&gt;3),"",VLOOKUP(VLOOKUP($A89,Centrum!$D$3:$M$130,10,0),Centrum!$A$3:$CB$130,E$132,0))</f>
        <v/>
      </c>
      <c r="F89" s="318" t="str">
        <f ca="1">IF(OR($A89="",TYPE(VLOOKUP($A89,Centrum!$D$3:$M$130,10,0))&gt;3),"",VLOOKUP(VLOOKUP($A89,Centrum!$D$3:$M$130,10,0),Centrum!$A$3:$CB$130,F$132,0))</f>
        <v/>
      </c>
      <c r="G89" s="318" t="str">
        <f ca="1">IF(OR($A89="",TYPE(VLOOKUP($A89,Centrum!$D$3:$M$130,10,0))&gt;3),"",VLOOKUP(VLOOKUP($A89,Centrum!$D$3:$M$130,10,0),Centrum!$A$3:$CB$130,G$132,0))</f>
        <v/>
      </c>
      <c r="H89" s="318" t="str">
        <f ca="1">IF($A89="","",VLOOKUP(VLOOKUP($A89,Centrum!$D$3:$M$130,10,0),Centrum!$A$3:$CB$130,H$132,0))</f>
        <v/>
      </c>
      <c r="I89" s="318" t="str">
        <f ca="1">IF($A89="","",VLOOKUP(VLOOKUP($A89,Centrum!$D$3:$M$130,10,0),Centrum!$A$3:$CB$130,I$132,0))</f>
        <v/>
      </c>
      <c r="J89" s="318" t="str">
        <f ca="1">IF(OR($A89="",TYPE(VLOOKUP($A89,Centrum!$D$3:$M$130,10,0))&gt;3),"",VLOOKUP(VLOOKUP($A89,Centrum!$D$3:$M$130,10,0),Centrum!$A$3:$CB$130,J$132,0))</f>
        <v/>
      </c>
      <c r="L89" s="318" t="str">
        <f ca="1">IF(OR($A89="",TYPE(VLOOKUP($A89,Centrum!$D$3:$M$130,10,0))&gt;3),"",VLOOKUP(VLOOKUP($A89,Centrum!$D$3:$M$130,10,0),Centrum!$A$3:$CB$130,L$132,0))</f>
        <v/>
      </c>
      <c r="M89" s="318" t="str">
        <f ca="1">IF(OR($A89="",TYPE(VLOOKUP($A89,Centrum!$D$3:$M$130,10,0))&gt;3),"",VLOOKUP(VLOOKUP($A89,Centrum!$D$3:$M$130,10,0),Centrum!$A$3:$CB$130,M$132,0))</f>
        <v/>
      </c>
      <c r="N89" s="318" t="str">
        <f ca="1">IF(OR($A89="",TYPE(VLOOKUP($A89,Centrum!$D$3:$M$130,10,0))&gt;3),"",VLOOKUP(VLOOKUP($A89,Centrum!$D$3:$M$130,10,0),Centrum!$A$3:$CB$130,N$132,0))</f>
        <v/>
      </c>
      <c r="O89" s="318" t="str">
        <f ca="1">IF(OR($A89="",TYPE(VLOOKUP($A89,Centrum!$D$3:$M$130,10,0))&gt;3),"",VLOOKUP(VLOOKUP($A89,Centrum!$D$3:$M$130,10,0),Centrum!$A$3:$CB$130,O$132,0))</f>
        <v/>
      </c>
      <c r="P89" s="318" t="str">
        <f ca="1">IF(OR($A89="",TYPE(VLOOKUP($A89,Centrum!$D$3:$M$130,10,0))&gt;3),"",VLOOKUP(VLOOKUP($A89,Centrum!$D$3:$M$130,10,0),Centrum!$A$3:$CB$130,P$132,0))</f>
        <v/>
      </c>
      <c r="Q89" s="318" t="str">
        <f ca="1">IF(OR($A89="",TYPE(VLOOKUP($A89,Centrum!$D$3:$M$130,10,0))&gt;3),"",VLOOKUP(VLOOKUP($A89,Centrum!$D$3:$M$130,10,0),Centrum!$A$3:$CB$130,Q$132,0))</f>
        <v/>
      </c>
      <c r="S89" s="318" t="str">
        <f ca="1">IF(OR($A89="",TYPE(VLOOKUP($A89,Centrum!$D$3:$M$130,10,0))&gt;3),"",VLOOKUP(VLOOKUP($A89,Centrum!$D$3:$M$130,10,0),Centrum!$A$3:$CB$130,S$132,0))</f>
        <v/>
      </c>
      <c r="T89" s="318" t="str">
        <f ca="1">IF(OR($A89="",TYPE(VLOOKUP($A89,Centrum!$D$3:$M$130,10,0))&gt;3),"",VLOOKUP(VLOOKUP($A89,Centrum!$D$3:$M$130,10,0),Centrum!$A$3:$CB$130,T$132,0))</f>
        <v/>
      </c>
      <c r="U89" s="318" t="str">
        <f ca="1">IF(OR($A89="",TYPE(VLOOKUP($A89,Centrum!$D$3:$M$130,10,0))&gt;3),"",VLOOKUP(VLOOKUP($A89,Centrum!$D$3:$M$130,10,0),Centrum!$A$3:$CB$130,U$132,0))</f>
        <v/>
      </c>
      <c r="AB89" s="318" t="str">
        <f ca="1">IF(OR($A89="",TYPE(VLOOKUP($A89,Centrum!$D$3:$M$130,10,0))&gt;3),"",VLOOKUP(VLOOKUP($A89,Centrum!$D$3:$M$130,10,0),Centrum!$A$3:$CB$130,AB$132,0))</f>
        <v/>
      </c>
      <c r="AC89" s="318" t="str">
        <f ca="1">IF(OR($A89="",TYPE(VLOOKUP($A89,Centrum!$D$3:$M$130,10,0))&gt;3),"",VLOOKUP(VLOOKUP($A89,Centrum!$D$3:$M$130,10,0),Centrum!$A$3:$CB$130,AC$132,0))</f>
        <v/>
      </c>
      <c r="AD89" s="318" t="str">
        <f ca="1">IF(OR($A89="",TYPE(VLOOKUP($A89,Centrum!$D$3:$M$130,10,0))&gt;3),"",VLOOKUP(VLOOKUP($A89,Centrum!$D$3:$M$130,10,0),Centrum!$A$3:$CB$130,AD$132,0))</f>
        <v/>
      </c>
      <c r="AK89" s="318" t="str">
        <f ca="1">IF(OR($A89="",TYPE(VLOOKUP($A89,Centrum!$D$3:$M$130,10,0))&gt;3),"",VLOOKUP(VLOOKUP($A89,Centrum!$D$3:$M$130,10,0),Centrum!$A$3:$CB$130,AK$132,0))</f>
        <v/>
      </c>
      <c r="AL89" s="318" t="str">
        <f ca="1">IF(OR($A89="",TYPE(VLOOKUP($A89,Centrum!$D$3:$M$130,10,0))&gt;3),"",VLOOKUP(VLOOKUP($A89,Centrum!$D$3:$M$130,10,0),Centrum!$A$3:$CB$130,AL$132,0))</f>
        <v/>
      </c>
      <c r="AM89" s="318" t="str">
        <f ca="1">IF(OR($A89="",TYPE(VLOOKUP($A89,Centrum!$D$3:$M$130,10,0))&gt;3),"",VLOOKUP(VLOOKUP($A89,Centrum!$D$3:$M$130,10,0),Centrum!$A$3:$CB$130,AM$132,0))</f>
        <v/>
      </c>
      <c r="AT89" s="318" t="str">
        <f ca="1">IF(OR(OR($A89="",TYPE(VLOOKUP($A89,Centrum!$D$3:$M$130,10,0))&gt;3),$A$1&lt;4),"",VLOOKUP(VLOOKUP($A89,Centrum!$D$3:$M$130,10,0),Centrum!$A$3:$CB$130,AT$132,0))</f>
        <v/>
      </c>
      <c r="AU89" s="318" t="str">
        <f ca="1">IF(OR(OR($A89="",TYPE(VLOOKUP($A89,Centrum!$D$3:$M$130,10,0))&gt;3),$A$1&lt;4),"",VLOOKUP(VLOOKUP($A89,Centrum!$D$3:$M$130,10,0),Centrum!$A$3:$CB$130,AU$132,0))</f>
        <v/>
      </c>
      <c r="AV89" s="318" t="str">
        <f ca="1">IF(OR(OR($A89="",TYPE(VLOOKUP($A89,Centrum!$D$3:$M$130,10,0))&gt;3),$A$1&lt;4),"",VLOOKUP(VLOOKUP($A89,Centrum!$D$3:$M$130,10,0),Centrum!$A$3:$CB$130,AV$132,0))</f>
        <v/>
      </c>
      <c r="BC89" s="318" t="str">
        <f ca="1">IF(OR(OR($A89="",TYPE(VLOOKUP($A89,Centrum!$D$3:$M$130,10,0))&gt;3),$A$1&lt;5),"",VLOOKUP(VLOOKUP($A89,Centrum!$D$3:$M$130,10,0),Centrum!$A$3:$CB$130,BC$132,0))</f>
        <v/>
      </c>
      <c r="BD89" s="318" t="str">
        <f ca="1">IF(OR(OR($A89="",TYPE(VLOOKUP($A89,Centrum!$D$3:$M$130,10,0))&gt;3),$A$1&lt;5),"",VLOOKUP(VLOOKUP($A89,Centrum!$D$3:$M$130,10,0),Centrum!$A$3:$CB$130,BD$132,0))</f>
        <v/>
      </c>
      <c r="BE89" s="318" t="str">
        <f ca="1">IF(OR(OR($A89="",TYPE(VLOOKUP($A89,Centrum!$D$3:$M$130,10,0))&gt;3),$A$1&lt;5),"",VLOOKUP(VLOOKUP($A89,Centrum!$D$3:$M$130,10,0),Centrum!$A$3:$CB$130,BE$132,0))</f>
        <v/>
      </c>
      <c r="BL89" s="318" t="str">
        <f ca="1">IF(OR(OR($A89="",TYPE(VLOOKUP($A89,Centrum!$D$3:$M$130,10,0))&gt;3),$A$1&lt;6),"",VLOOKUP(VLOOKUP($A89,Centrum!$D$3:$M$130,10,0),Centrum!$A$3:$CB$130,BL$132,0))</f>
        <v/>
      </c>
      <c r="BM89" s="318" t="str">
        <f ca="1">IF(OR(OR($A89="",TYPE(VLOOKUP($A89,Centrum!$D$3:$M$130,10,0))&gt;3),$A$1&lt;6),"",VLOOKUP(VLOOKUP($A89,Centrum!$D$3:$M$130,10,0),Centrum!$A$3:$CB$130,BM$132,0))</f>
        <v/>
      </c>
      <c r="BN89" s="318" t="str">
        <f ca="1">IF(OR(OR($A89="",TYPE(VLOOKUP($A89,Centrum!$D$3:$M$130,10,0))&gt;3),$A$1&lt;6),"",VLOOKUP(VLOOKUP($A89,Centrum!$D$3:$M$130,10,0),Centrum!$A$3:$CB$130,BN$132,0))</f>
        <v/>
      </c>
    </row>
    <row r="90" spans="1:66" x14ac:dyDescent="0.4">
      <c r="A90" s="318" t="str">
        <f ca="1">Centrum!A90</f>
        <v/>
      </c>
      <c r="B90" s="421" t="str">
        <f ca="1">IF(OR($A90="",TYPE(VLOOKUP($A90,Centrum!$D$3:$M$130,10,0))&gt;3),"",VLOOKUP(VLOOKUP(A90,Centrum!$D$3:$M$130,10,0),Centrum!$A$3:$CB$130,B$132,0))</f>
        <v/>
      </c>
      <c r="C90" s="318" t="str">
        <f ca="1">IF(OR($A90="",TYPE(VLOOKUP($A90,Centrum!$D$3:$M$130,10,0))&gt;3),"",VLOOKUP($A90,Centrum!$D$3:$M$130,10,0))</f>
        <v/>
      </c>
      <c r="E90" s="318" t="str">
        <f ca="1">IF(OR($A90="",TYPE(VLOOKUP($A90,Centrum!$D$3:$M$130,10,0))&gt;3),"",VLOOKUP(VLOOKUP($A90,Centrum!$D$3:$M$130,10,0),Centrum!$A$3:$CB$130,E$132,0))</f>
        <v/>
      </c>
      <c r="F90" s="318" t="str">
        <f ca="1">IF(OR($A90="",TYPE(VLOOKUP($A90,Centrum!$D$3:$M$130,10,0))&gt;3),"",VLOOKUP(VLOOKUP($A90,Centrum!$D$3:$M$130,10,0),Centrum!$A$3:$CB$130,F$132,0))</f>
        <v/>
      </c>
      <c r="G90" s="318" t="str">
        <f ca="1">IF(OR($A90="",TYPE(VLOOKUP($A90,Centrum!$D$3:$M$130,10,0))&gt;3),"",VLOOKUP(VLOOKUP($A90,Centrum!$D$3:$M$130,10,0),Centrum!$A$3:$CB$130,G$132,0))</f>
        <v/>
      </c>
      <c r="H90" s="318" t="str">
        <f ca="1">IF($A90="","",VLOOKUP(VLOOKUP($A90,Centrum!$D$3:$M$130,10,0),Centrum!$A$3:$CB$130,H$132,0))</f>
        <v/>
      </c>
      <c r="I90" s="318" t="str">
        <f ca="1">IF($A90="","",VLOOKUP(VLOOKUP($A90,Centrum!$D$3:$M$130,10,0),Centrum!$A$3:$CB$130,I$132,0))</f>
        <v/>
      </c>
      <c r="J90" s="318" t="str">
        <f ca="1">IF(OR($A90="",TYPE(VLOOKUP($A90,Centrum!$D$3:$M$130,10,0))&gt;3),"",VLOOKUP(VLOOKUP($A90,Centrum!$D$3:$M$130,10,0),Centrum!$A$3:$CB$130,J$132,0))</f>
        <v/>
      </c>
      <c r="L90" s="318" t="str">
        <f ca="1">IF(OR($A90="",TYPE(VLOOKUP($A90,Centrum!$D$3:$M$130,10,0))&gt;3),"",VLOOKUP(VLOOKUP($A90,Centrum!$D$3:$M$130,10,0),Centrum!$A$3:$CB$130,L$132,0))</f>
        <v/>
      </c>
      <c r="M90" s="318" t="str">
        <f ca="1">IF(OR($A90="",TYPE(VLOOKUP($A90,Centrum!$D$3:$M$130,10,0))&gt;3),"",VLOOKUP(VLOOKUP($A90,Centrum!$D$3:$M$130,10,0),Centrum!$A$3:$CB$130,M$132,0))</f>
        <v/>
      </c>
      <c r="N90" s="318" t="str">
        <f ca="1">IF(OR($A90="",TYPE(VLOOKUP($A90,Centrum!$D$3:$M$130,10,0))&gt;3),"",VLOOKUP(VLOOKUP($A90,Centrum!$D$3:$M$130,10,0),Centrum!$A$3:$CB$130,N$132,0))</f>
        <v/>
      </c>
      <c r="O90" s="318" t="str">
        <f ca="1">IF(OR($A90="",TYPE(VLOOKUP($A90,Centrum!$D$3:$M$130,10,0))&gt;3),"",VLOOKUP(VLOOKUP($A90,Centrum!$D$3:$M$130,10,0),Centrum!$A$3:$CB$130,O$132,0))</f>
        <v/>
      </c>
      <c r="P90" s="318" t="str">
        <f ca="1">IF(OR($A90="",TYPE(VLOOKUP($A90,Centrum!$D$3:$M$130,10,0))&gt;3),"",VLOOKUP(VLOOKUP($A90,Centrum!$D$3:$M$130,10,0),Centrum!$A$3:$CB$130,P$132,0))</f>
        <v/>
      </c>
      <c r="Q90" s="318" t="str">
        <f ca="1">IF(OR($A90="",TYPE(VLOOKUP($A90,Centrum!$D$3:$M$130,10,0))&gt;3),"",VLOOKUP(VLOOKUP($A90,Centrum!$D$3:$M$130,10,0),Centrum!$A$3:$CB$130,Q$132,0))</f>
        <v/>
      </c>
      <c r="S90" s="318" t="str">
        <f ca="1">IF(OR($A90="",TYPE(VLOOKUP($A90,Centrum!$D$3:$M$130,10,0))&gt;3),"",VLOOKUP(VLOOKUP($A90,Centrum!$D$3:$M$130,10,0),Centrum!$A$3:$CB$130,S$132,0))</f>
        <v/>
      </c>
      <c r="T90" s="318" t="str">
        <f ca="1">IF(OR($A90="",TYPE(VLOOKUP($A90,Centrum!$D$3:$M$130,10,0))&gt;3),"",VLOOKUP(VLOOKUP($A90,Centrum!$D$3:$M$130,10,0),Centrum!$A$3:$CB$130,T$132,0))</f>
        <v/>
      </c>
      <c r="U90" s="318" t="str">
        <f ca="1">IF(OR($A90="",TYPE(VLOOKUP($A90,Centrum!$D$3:$M$130,10,0))&gt;3),"",VLOOKUP(VLOOKUP($A90,Centrum!$D$3:$M$130,10,0),Centrum!$A$3:$CB$130,U$132,0))</f>
        <v/>
      </c>
      <c r="AB90" s="318" t="str">
        <f ca="1">IF(OR($A90="",TYPE(VLOOKUP($A90,Centrum!$D$3:$M$130,10,0))&gt;3),"",VLOOKUP(VLOOKUP($A90,Centrum!$D$3:$M$130,10,0),Centrum!$A$3:$CB$130,AB$132,0))</f>
        <v/>
      </c>
      <c r="AC90" s="318" t="str">
        <f ca="1">IF(OR($A90="",TYPE(VLOOKUP($A90,Centrum!$D$3:$M$130,10,0))&gt;3),"",VLOOKUP(VLOOKUP($A90,Centrum!$D$3:$M$130,10,0),Centrum!$A$3:$CB$130,AC$132,0))</f>
        <v/>
      </c>
      <c r="AD90" s="318" t="str">
        <f ca="1">IF(OR($A90="",TYPE(VLOOKUP($A90,Centrum!$D$3:$M$130,10,0))&gt;3),"",VLOOKUP(VLOOKUP($A90,Centrum!$D$3:$M$130,10,0),Centrum!$A$3:$CB$130,AD$132,0))</f>
        <v/>
      </c>
      <c r="AK90" s="318" t="str">
        <f ca="1">IF(OR($A90="",TYPE(VLOOKUP($A90,Centrum!$D$3:$M$130,10,0))&gt;3),"",VLOOKUP(VLOOKUP($A90,Centrum!$D$3:$M$130,10,0),Centrum!$A$3:$CB$130,AK$132,0))</f>
        <v/>
      </c>
      <c r="AL90" s="318" t="str">
        <f ca="1">IF(OR($A90="",TYPE(VLOOKUP($A90,Centrum!$D$3:$M$130,10,0))&gt;3),"",VLOOKUP(VLOOKUP($A90,Centrum!$D$3:$M$130,10,0),Centrum!$A$3:$CB$130,AL$132,0))</f>
        <v/>
      </c>
      <c r="AM90" s="318" t="str">
        <f ca="1">IF(OR($A90="",TYPE(VLOOKUP($A90,Centrum!$D$3:$M$130,10,0))&gt;3),"",VLOOKUP(VLOOKUP($A90,Centrum!$D$3:$M$130,10,0),Centrum!$A$3:$CB$130,AM$132,0))</f>
        <v/>
      </c>
      <c r="AT90" s="318" t="str">
        <f ca="1">IF(OR(OR($A90="",TYPE(VLOOKUP($A90,Centrum!$D$3:$M$130,10,0))&gt;3),$A$1&lt;4),"",VLOOKUP(VLOOKUP($A90,Centrum!$D$3:$M$130,10,0),Centrum!$A$3:$CB$130,AT$132,0))</f>
        <v/>
      </c>
      <c r="AU90" s="318" t="str">
        <f ca="1">IF(OR(OR($A90="",TYPE(VLOOKUP($A90,Centrum!$D$3:$M$130,10,0))&gt;3),$A$1&lt;4),"",VLOOKUP(VLOOKUP($A90,Centrum!$D$3:$M$130,10,0),Centrum!$A$3:$CB$130,AU$132,0))</f>
        <v/>
      </c>
      <c r="AV90" s="318" t="str">
        <f ca="1">IF(OR(OR($A90="",TYPE(VLOOKUP($A90,Centrum!$D$3:$M$130,10,0))&gt;3),$A$1&lt;4),"",VLOOKUP(VLOOKUP($A90,Centrum!$D$3:$M$130,10,0),Centrum!$A$3:$CB$130,AV$132,0))</f>
        <v/>
      </c>
      <c r="BC90" s="318" t="str">
        <f ca="1">IF(OR(OR($A90="",TYPE(VLOOKUP($A90,Centrum!$D$3:$M$130,10,0))&gt;3),$A$1&lt;5),"",VLOOKUP(VLOOKUP($A90,Centrum!$D$3:$M$130,10,0),Centrum!$A$3:$CB$130,BC$132,0))</f>
        <v/>
      </c>
      <c r="BD90" s="318" t="str">
        <f ca="1">IF(OR(OR($A90="",TYPE(VLOOKUP($A90,Centrum!$D$3:$M$130,10,0))&gt;3),$A$1&lt;5),"",VLOOKUP(VLOOKUP($A90,Centrum!$D$3:$M$130,10,0),Centrum!$A$3:$CB$130,BD$132,0))</f>
        <v/>
      </c>
      <c r="BE90" s="318" t="str">
        <f ca="1">IF(OR(OR($A90="",TYPE(VLOOKUP($A90,Centrum!$D$3:$M$130,10,0))&gt;3),$A$1&lt;5),"",VLOOKUP(VLOOKUP($A90,Centrum!$D$3:$M$130,10,0),Centrum!$A$3:$CB$130,BE$132,0))</f>
        <v/>
      </c>
      <c r="BL90" s="318" t="str">
        <f ca="1">IF(OR(OR($A90="",TYPE(VLOOKUP($A90,Centrum!$D$3:$M$130,10,0))&gt;3),$A$1&lt;6),"",VLOOKUP(VLOOKUP($A90,Centrum!$D$3:$M$130,10,0),Centrum!$A$3:$CB$130,BL$132,0))</f>
        <v/>
      </c>
      <c r="BM90" s="318" t="str">
        <f ca="1">IF(OR(OR($A90="",TYPE(VLOOKUP($A90,Centrum!$D$3:$M$130,10,0))&gt;3),$A$1&lt;6),"",VLOOKUP(VLOOKUP($A90,Centrum!$D$3:$M$130,10,0),Centrum!$A$3:$CB$130,BM$132,0))</f>
        <v/>
      </c>
      <c r="BN90" s="318" t="str">
        <f ca="1">IF(OR(OR($A90="",TYPE(VLOOKUP($A90,Centrum!$D$3:$M$130,10,0))&gt;3),$A$1&lt;6),"",VLOOKUP(VLOOKUP($A90,Centrum!$D$3:$M$130,10,0),Centrum!$A$3:$CB$130,BN$132,0))</f>
        <v/>
      </c>
    </row>
    <row r="91" spans="1:66" x14ac:dyDescent="0.4">
      <c r="A91" s="318" t="str">
        <f ca="1">Centrum!A91</f>
        <v/>
      </c>
      <c r="B91" s="421" t="str">
        <f ca="1">IF(OR($A91="",TYPE(VLOOKUP($A91,Centrum!$D$3:$M$130,10,0))&gt;3),"",VLOOKUP(VLOOKUP(A91,Centrum!$D$3:$M$130,10,0),Centrum!$A$3:$CB$130,B$132,0))</f>
        <v/>
      </c>
      <c r="C91" s="318" t="str">
        <f ca="1">IF(OR($A91="",TYPE(VLOOKUP($A91,Centrum!$D$3:$M$130,10,0))&gt;3),"",VLOOKUP($A91,Centrum!$D$3:$M$130,10,0))</f>
        <v/>
      </c>
      <c r="E91" s="318" t="str">
        <f ca="1">IF(OR($A91="",TYPE(VLOOKUP($A91,Centrum!$D$3:$M$130,10,0))&gt;3),"",VLOOKUP(VLOOKUP($A91,Centrum!$D$3:$M$130,10,0),Centrum!$A$3:$CB$130,E$132,0))</f>
        <v/>
      </c>
      <c r="F91" s="318" t="str">
        <f ca="1">IF(OR($A91="",TYPE(VLOOKUP($A91,Centrum!$D$3:$M$130,10,0))&gt;3),"",VLOOKUP(VLOOKUP($A91,Centrum!$D$3:$M$130,10,0),Centrum!$A$3:$CB$130,F$132,0))</f>
        <v/>
      </c>
      <c r="G91" s="318" t="str">
        <f ca="1">IF(OR($A91="",TYPE(VLOOKUP($A91,Centrum!$D$3:$M$130,10,0))&gt;3),"",VLOOKUP(VLOOKUP($A91,Centrum!$D$3:$M$130,10,0),Centrum!$A$3:$CB$130,G$132,0))</f>
        <v/>
      </c>
      <c r="H91" s="318" t="str">
        <f ca="1">IF($A91="","",VLOOKUP(VLOOKUP($A91,Centrum!$D$3:$M$130,10,0),Centrum!$A$3:$CB$130,H$132,0))</f>
        <v/>
      </c>
      <c r="I91" s="318" t="str">
        <f ca="1">IF($A91="","",VLOOKUP(VLOOKUP($A91,Centrum!$D$3:$M$130,10,0),Centrum!$A$3:$CB$130,I$132,0))</f>
        <v/>
      </c>
      <c r="J91" s="318" t="str">
        <f ca="1">IF(OR($A91="",TYPE(VLOOKUP($A91,Centrum!$D$3:$M$130,10,0))&gt;3),"",VLOOKUP(VLOOKUP($A91,Centrum!$D$3:$M$130,10,0),Centrum!$A$3:$CB$130,J$132,0))</f>
        <v/>
      </c>
      <c r="L91" s="318" t="str">
        <f ca="1">IF(OR($A91="",TYPE(VLOOKUP($A91,Centrum!$D$3:$M$130,10,0))&gt;3),"",VLOOKUP(VLOOKUP($A91,Centrum!$D$3:$M$130,10,0),Centrum!$A$3:$CB$130,L$132,0))</f>
        <v/>
      </c>
      <c r="M91" s="318" t="str">
        <f ca="1">IF(OR($A91="",TYPE(VLOOKUP($A91,Centrum!$D$3:$M$130,10,0))&gt;3),"",VLOOKUP(VLOOKUP($A91,Centrum!$D$3:$M$130,10,0),Centrum!$A$3:$CB$130,M$132,0))</f>
        <v/>
      </c>
      <c r="N91" s="318" t="str">
        <f ca="1">IF(OR($A91="",TYPE(VLOOKUP($A91,Centrum!$D$3:$M$130,10,0))&gt;3),"",VLOOKUP(VLOOKUP($A91,Centrum!$D$3:$M$130,10,0),Centrum!$A$3:$CB$130,N$132,0))</f>
        <v/>
      </c>
      <c r="O91" s="318" t="str">
        <f ca="1">IF(OR($A91="",TYPE(VLOOKUP($A91,Centrum!$D$3:$M$130,10,0))&gt;3),"",VLOOKUP(VLOOKUP($A91,Centrum!$D$3:$M$130,10,0),Centrum!$A$3:$CB$130,O$132,0))</f>
        <v/>
      </c>
      <c r="P91" s="318" t="str">
        <f ca="1">IF(OR($A91="",TYPE(VLOOKUP($A91,Centrum!$D$3:$M$130,10,0))&gt;3),"",VLOOKUP(VLOOKUP($A91,Centrum!$D$3:$M$130,10,0),Centrum!$A$3:$CB$130,P$132,0))</f>
        <v/>
      </c>
      <c r="Q91" s="318" t="str">
        <f ca="1">IF(OR($A91="",TYPE(VLOOKUP($A91,Centrum!$D$3:$M$130,10,0))&gt;3),"",VLOOKUP(VLOOKUP($A91,Centrum!$D$3:$M$130,10,0),Centrum!$A$3:$CB$130,Q$132,0))</f>
        <v/>
      </c>
      <c r="S91" s="318" t="str">
        <f ca="1">IF(OR($A91="",TYPE(VLOOKUP($A91,Centrum!$D$3:$M$130,10,0))&gt;3),"",VLOOKUP(VLOOKUP($A91,Centrum!$D$3:$M$130,10,0),Centrum!$A$3:$CB$130,S$132,0))</f>
        <v/>
      </c>
      <c r="T91" s="318" t="str">
        <f ca="1">IF(OR($A91="",TYPE(VLOOKUP($A91,Centrum!$D$3:$M$130,10,0))&gt;3),"",VLOOKUP(VLOOKUP($A91,Centrum!$D$3:$M$130,10,0),Centrum!$A$3:$CB$130,T$132,0))</f>
        <v/>
      </c>
      <c r="U91" s="318" t="str">
        <f ca="1">IF(OR($A91="",TYPE(VLOOKUP($A91,Centrum!$D$3:$M$130,10,0))&gt;3),"",VLOOKUP(VLOOKUP($A91,Centrum!$D$3:$M$130,10,0),Centrum!$A$3:$CB$130,U$132,0))</f>
        <v/>
      </c>
      <c r="AB91" s="318" t="str">
        <f ca="1">IF(OR($A91="",TYPE(VLOOKUP($A91,Centrum!$D$3:$M$130,10,0))&gt;3),"",VLOOKUP(VLOOKUP($A91,Centrum!$D$3:$M$130,10,0),Centrum!$A$3:$CB$130,AB$132,0))</f>
        <v/>
      </c>
      <c r="AC91" s="318" t="str">
        <f ca="1">IF(OR($A91="",TYPE(VLOOKUP($A91,Centrum!$D$3:$M$130,10,0))&gt;3),"",VLOOKUP(VLOOKUP($A91,Centrum!$D$3:$M$130,10,0),Centrum!$A$3:$CB$130,AC$132,0))</f>
        <v/>
      </c>
      <c r="AD91" s="318" t="str">
        <f ca="1">IF(OR($A91="",TYPE(VLOOKUP($A91,Centrum!$D$3:$M$130,10,0))&gt;3),"",VLOOKUP(VLOOKUP($A91,Centrum!$D$3:$M$130,10,0),Centrum!$A$3:$CB$130,AD$132,0))</f>
        <v/>
      </c>
      <c r="AK91" s="318" t="str">
        <f ca="1">IF(OR($A91="",TYPE(VLOOKUP($A91,Centrum!$D$3:$M$130,10,0))&gt;3),"",VLOOKUP(VLOOKUP($A91,Centrum!$D$3:$M$130,10,0),Centrum!$A$3:$CB$130,AK$132,0))</f>
        <v/>
      </c>
      <c r="AL91" s="318" t="str">
        <f ca="1">IF(OR($A91="",TYPE(VLOOKUP($A91,Centrum!$D$3:$M$130,10,0))&gt;3),"",VLOOKUP(VLOOKUP($A91,Centrum!$D$3:$M$130,10,0),Centrum!$A$3:$CB$130,AL$132,0))</f>
        <v/>
      </c>
      <c r="AM91" s="318" t="str">
        <f ca="1">IF(OR($A91="",TYPE(VLOOKUP($A91,Centrum!$D$3:$M$130,10,0))&gt;3),"",VLOOKUP(VLOOKUP($A91,Centrum!$D$3:$M$130,10,0),Centrum!$A$3:$CB$130,AM$132,0))</f>
        <v/>
      </c>
      <c r="AT91" s="318" t="str">
        <f ca="1">IF(OR(OR($A91="",TYPE(VLOOKUP($A91,Centrum!$D$3:$M$130,10,0))&gt;3),$A$1&lt;4),"",VLOOKUP(VLOOKUP($A91,Centrum!$D$3:$M$130,10,0),Centrum!$A$3:$CB$130,AT$132,0))</f>
        <v/>
      </c>
      <c r="AU91" s="318" t="str">
        <f ca="1">IF(OR(OR($A91="",TYPE(VLOOKUP($A91,Centrum!$D$3:$M$130,10,0))&gt;3),$A$1&lt;4),"",VLOOKUP(VLOOKUP($A91,Centrum!$D$3:$M$130,10,0),Centrum!$A$3:$CB$130,AU$132,0))</f>
        <v/>
      </c>
      <c r="AV91" s="318" t="str">
        <f ca="1">IF(OR(OR($A91="",TYPE(VLOOKUP($A91,Centrum!$D$3:$M$130,10,0))&gt;3),$A$1&lt;4),"",VLOOKUP(VLOOKUP($A91,Centrum!$D$3:$M$130,10,0),Centrum!$A$3:$CB$130,AV$132,0))</f>
        <v/>
      </c>
      <c r="BC91" s="318" t="str">
        <f ca="1">IF(OR(OR($A91="",TYPE(VLOOKUP($A91,Centrum!$D$3:$M$130,10,0))&gt;3),$A$1&lt;5),"",VLOOKUP(VLOOKUP($A91,Centrum!$D$3:$M$130,10,0),Centrum!$A$3:$CB$130,BC$132,0))</f>
        <v/>
      </c>
      <c r="BD91" s="318" t="str">
        <f ca="1">IF(OR(OR($A91="",TYPE(VLOOKUP($A91,Centrum!$D$3:$M$130,10,0))&gt;3),$A$1&lt;5),"",VLOOKUP(VLOOKUP($A91,Centrum!$D$3:$M$130,10,0),Centrum!$A$3:$CB$130,BD$132,0))</f>
        <v/>
      </c>
      <c r="BE91" s="318" t="str">
        <f ca="1">IF(OR(OR($A91="",TYPE(VLOOKUP($A91,Centrum!$D$3:$M$130,10,0))&gt;3),$A$1&lt;5),"",VLOOKUP(VLOOKUP($A91,Centrum!$D$3:$M$130,10,0),Centrum!$A$3:$CB$130,BE$132,0))</f>
        <v/>
      </c>
      <c r="BL91" s="318" t="str">
        <f ca="1">IF(OR(OR($A91="",TYPE(VLOOKUP($A91,Centrum!$D$3:$M$130,10,0))&gt;3),$A$1&lt;6),"",VLOOKUP(VLOOKUP($A91,Centrum!$D$3:$M$130,10,0),Centrum!$A$3:$CB$130,BL$132,0))</f>
        <v/>
      </c>
      <c r="BM91" s="318" t="str">
        <f ca="1">IF(OR(OR($A91="",TYPE(VLOOKUP($A91,Centrum!$D$3:$M$130,10,0))&gt;3),$A$1&lt;6),"",VLOOKUP(VLOOKUP($A91,Centrum!$D$3:$M$130,10,0),Centrum!$A$3:$CB$130,BM$132,0))</f>
        <v/>
      </c>
      <c r="BN91" s="318" t="str">
        <f ca="1">IF(OR(OR($A91="",TYPE(VLOOKUP($A91,Centrum!$D$3:$M$130,10,0))&gt;3),$A$1&lt;6),"",VLOOKUP(VLOOKUP($A91,Centrum!$D$3:$M$130,10,0),Centrum!$A$3:$CB$130,BN$132,0))</f>
        <v/>
      </c>
    </row>
    <row r="92" spans="1:66" x14ac:dyDescent="0.4">
      <c r="A92" s="318" t="str">
        <f ca="1">Centrum!A92</f>
        <v/>
      </c>
      <c r="B92" s="421" t="str">
        <f ca="1">IF(OR($A92="",TYPE(VLOOKUP($A92,Centrum!$D$3:$M$130,10,0))&gt;3),"",VLOOKUP(VLOOKUP(A92,Centrum!$D$3:$M$130,10,0),Centrum!$A$3:$CB$130,B$132,0))</f>
        <v/>
      </c>
      <c r="C92" s="318" t="str">
        <f ca="1">IF(OR($A92="",TYPE(VLOOKUP($A92,Centrum!$D$3:$M$130,10,0))&gt;3),"",VLOOKUP($A92,Centrum!$D$3:$M$130,10,0))</f>
        <v/>
      </c>
      <c r="E92" s="318" t="str">
        <f ca="1">IF(OR($A92="",TYPE(VLOOKUP($A92,Centrum!$D$3:$M$130,10,0))&gt;3),"",VLOOKUP(VLOOKUP($A92,Centrum!$D$3:$M$130,10,0),Centrum!$A$3:$CB$130,E$132,0))</f>
        <v/>
      </c>
      <c r="F92" s="318" t="str">
        <f ca="1">IF(OR($A92="",TYPE(VLOOKUP($A92,Centrum!$D$3:$M$130,10,0))&gt;3),"",VLOOKUP(VLOOKUP($A92,Centrum!$D$3:$M$130,10,0),Centrum!$A$3:$CB$130,F$132,0))</f>
        <v/>
      </c>
      <c r="G92" s="318" t="str">
        <f ca="1">IF(OR($A92="",TYPE(VLOOKUP($A92,Centrum!$D$3:$M$130,10,0))&gt;3),"",VLOOKUP(VLOOKUP($A92,Centrum!$D$3:$M$130,10,0),Centrum!$A$3:$CB$130,G$132,0))</f>
        <v/>
      </c>
      <c r="H92" s="318" t="str">
        <f ca="1">IF($A92="","",VLOOKUP(VLOOKUP($A92,Centrum!$D$3:$M$130,10,0),Centrum!$A$3:$CB$130,H$132,0))</f>
        <v/>
      </c>
      <c r="I92" s="318" t="str">
        <f ca="1">IF($A92="","",VLOOKUP(VLOOKUP($A92,Centrum!$D$3:$M$130,10,0),Centrum!$A$3:$CB$130,I$132,0))</f>
        <v/>
      </c>
      <c r="J92" s="318" t="str">
        <f ca="1">IF(OR($A92="",TYPE(VLOOKUP($A92,Centrum!$D$3:$M$130,10,0))&gt;3),"",VLOOKUP(VLOOKUP($A92,Centrum!$D$3:$M$130,10,0),Centrum!$A$3:$CB$130,J$132,0))</f>
        <v/>
      </c>
      <c r="L92" s="318" t="str">
        <f ca="1">IF(OR($A92="",TYPE(VLOOKUP($A92,Centrum!$D$3:$M$130,10,0))&gt;3),"",VLOOKUP(VLOOKUP($A92,Centrum!$D$3:$M$130,10,0),Centrum!$A$3:$CB$130,L$132,0))</f>
        <v/>
      </c>
      <c r="M92" s="318" t="str">
        <f ca="1">IF(OR($A92="",TYPE(VLOOKUP($A92,Centrum!$D$3:$M$130,10,0))&gt;3),"",VLOOKUP(VLOOKUP($A92,Centrum!$D$3:$M$130,10,0),Centrum!$A$3:$CB$130,M$132,0))</f>
        <v/>
      </c>
      <c r="N92" s="318" t="str">
        <f ca="1">IF(OR($A92="",TYPE(VLOOKUP($A92,Centrum!$D$3:$M$130,10,0))&gt;3),"",VLOOKUP(VLOOKUP($A92,Centrum!$D$3:$M$130,10,0),Centrum!$A$3:$CB$130,N$132,0))</f>
        <v/>
      </c>
      <c r="O92" s="318" t="str">
        <f ca="1">IF(OR($A92="",TYPE(VLOOKUP($A92,Centrum!$D$3:$M$130,10,0))&gt;3),"",VLOOKUP(VLOOKUP($A92,Centrum!$D$3:$M$130,10,0),Centrum!$A$3:$CB$130,O$132,0))</f>
        <v/>
      </c>
      <c r="P92" s="318" t="str">
        <f ca="1">IF(OR($A92="",TYPE(VLOOKUP($A92,Centrum!$D$3:$M$130,10,0))&gt;3),"",VLOOKUP(VLOOKUP($A92,Centrum!$D$3:$M$130,10,0),Centrum!$A$3:$CB$130,P$132,0))</f>
        <v/>
      </c>
      <c r="Q92" s="318" t="str">
        <f ca="1">IF(OR($A92="",TYPE(VLOOKUP($A92,Centrum!$D$3:$M$130,10,0))&gt;3),"",VLOOKUP(VLOOKUP($A92,Centrum!$D$3:$M$130,10,0),Centrum!$A$3:$CB$130,Q$132,0))</f>
        <v/>
      </c>
      <c r="S92" s="318" t="str">
        <f ca="1">IF(OR($A92="",TYPE(VLOOKUP($A92,Centrum!$D$3:$M$130,10,0))&gt;3),"",VLOOKUP(VLOOKUP($A92,Centrum!$D$3:$M$130,10,0),Centrum!$A$3:$CB$130,S$132,0))</f>
        <v/>
      </c>
      <c r="T92" s="318" t="str">
        <f ca="1">IF(OR($A92="",TYPE(VLOOKUP($A92,Centrum!$D$3:$M$130,10,0))&gt;3),"",VLOOKUP(VLOOKUP($A92,Centrum!$D$3:$M$130,10,0),Centrum!$A$3:$CB$130,T$132,0))</f>
        <v/>
      </c>
      <c r="U92" s="318" t="str">
        <f ca="1">IF(OR($A92="",TYPE(VLOOKUP($A92,Centrum!$D$3:$M$130,10,0))&gt;3),"",VLOOKUP(VLOOKUP($A92,Centrum!$D$3:$M$130,10,0),Centrum!$A$3:$CB$130,U$132,0))</f>
        <v/>
      </c>
      <c r="AB92" s="318" t="str">
        <f ca="1">IF(OR($A92="",TYPE(VLOOKUP($A92,Centrum!$D$3:$M$130,10,0))&gt;3),"",VLOOKUP(VLOOKUP($A92,Centrum!$D$3:$M$130,10,0),Centrum!$A$3:$CB$130,AB$132,0))</f>
        <v/>
      </c>
      <c r="AC92" s="318" t="str">
        <f ca="1">IF(OR($A92="",TYPE(VLOOKUP($A92,Centrum!$D$3:$M$130,10,0))&gt;3),"",VLOOKUP(VLOOKUP($A92,Centrum!$D$3:$M$130,10,0),Centrum!$A$3:$CB$130,AC$132,0))</f>
        <v/>
      </c>
      <c r="AD92" s="318" t="str">
        <f ca="1">IF(OR($A92="",TYPE(VLOOKUP($A92,Centrum!$D$3:$M$130,10,0))&gt;3),"",VLOOKUP(VLOOKUP($A92,Centrum!$D$3:$M$130,10,0),Centrum!$A$3:$CB$130,AD$132,0))</f>
        <v/>
      </c>
      <c r="AK92" s="318" t="str">
        <f ca="1">IF(OR($A92="",TYPE(VLOOKUP($A92,Centrum!$D$3:$M$130,10,0))&gt;3),"",VLOOKUP(VLOOKUP($A92,Centrum!$D$3:$M$130,10,0),Centrum!$A$3:$CB$130,AK$132,0))</f>
        <v/>
      </c>
      <c r="AL92" s="318" t="str">
        <f ca="1">IF(OR($A92="",TYPE(VLOOKUP($A92,Centrum!$D$3:$M$130,10,0))&gt;3),"",VLOOKUP(VLOOKUP($A92,Centrum!$D$3:$M$130,10,0),Centrum!$A$3:$CB$130,AL$132,0))</f>
        <v/>
      </c>
      <c r="AM92" s="318" t="str">
        <f ca="1">IF(OR($A92="",TYPE(VLOOKUP($A92,Centrum!$D$3:$M$130,10,0))&gt;3),"",VLOOKUP(VLOOKUP($A92,Centrum!$D$3:$M$130,10,0),Centrum!$A$3:$CB$130,AM$132,0))</f>
        <v/>
      </c>
      <c r="AT92" s="318" t="str">
        <f ca="1">IF(OR(OR($A92="",TYPE(VLOOKUP($A92,Centrum!$D$3:$M$130,10,0))&gt;3),$A$1&lt;4),"",VLOOKUP(VLOOKUP($A92,Centrum!$D$3:$M$130,10,0),Centrum!$A$3:$CB$130,AT$132,0))</f>
        <v/>
      </c>
      <c r="AU92" s="318" t="str">
        <f ca="1">IF(OR(OR($A92="",TYPE(VLOOKUP($A92,Centrum!$D$3:$M$130,10,0))&gt;3),$A$1&lt;4),"",VLOOKUP(VLOOKUP($A92,Centrum!$D$3:$M$130,10,0),Centrum!$A$3:$CB$130,AU$132,0))</f>
        <v/>
      </c>
      <c r="AV92" s="318" t="str">
        <f ca="1">IF(OR(OR($A92="",TYPE(VLOOKUP($A92,Centrum!$D$3:$M$130,10,0))&gt;3),$A$1&lt;4),"",VLOOKUP(VLOOKUP($A92,Centrum!$D$3:$M$130,10,0),Centrum!$A$3:$CB$130,AV$132,0))</f>
        <v/>
      </c>
      <c r="BC92" s="318" t="str">
        <f ca="1">IF(OR(OR($A92="",TYPE(VLOOKUP($A92,Centrum!$D$3:$M$130,10,0))&gt;3),$A$1&lt;5),"",VLOOKUP(VLOOKUP($A92,Centrum!$D$3:$M$130,10,0),Centrum!$A$3:$CB$130,BC$132,0))</f>
        <v/>
      </c>
      <c r="BD92" s="318" t="str">
        <f ca="1">IF(OR(OR($A92="",TYPE(VLOOKUP($A92,Centrum!$D$3:$M$130,10,0))&gt;3),$A$1&lt;5),"",VLOOKUP(VLOOKUP($A92,Centrum!$D$3:$M$130,10,0),Centrum!$A$3:$CB$130,BD$132,0))</f>
        <v/>
      </c>
      <c r="BE92" s="318" t="str">
        <f ca="1">IF(OR(OR($A92="",TYPE(VLOOKUP($A92,Centrum!$D$3:$M$130,10,0))&gt;3),$A$1&lt;5),"",VLOOKUP(VLOOKUP($A92,Centrum!$D$3:$M$130,10,0),Centrum!$A$3:$CB$130,BE$132,0))</f>
        <v/>
      </c>
      <c r="BL92" s="318" t="str">
        <f ca="1">IF(OR(OR($A92="",TYPE(VLOOKUP($A92,Centrum!$D$3:$M$130,10,0))&gt;3),$A$1&lt;6),"",VLOOKUP(VLOOKUP($A92,Centrum!$D$3:$M$130,10,0),Centrum!$A$3:$CB$130,BL$132,0))</f>
        <v/>
      </c>
      <c r="BM92" s="318" t="str">
        <f ca="1">IF(OR(OR($A92="",TYPE(VLOOKUP($A92,Centrum!$D$3:$M$130,10,0))&gt;3),$A$1&lt;6),"",VLOOKUP(VLOOKUP($A92,Centrum!$D$3:$M$130,10,0),Centrum!$A$3:$CB$130,BM$132,0))</f>
        <v/>
      </c>
      <c r="BN92" s="318" t="str">
        <f ca="1">IF(OR(OR($A92="",TYPE(VLOOKUP($A92,Centrum!$D$3:$M$130,10,0))&gt;3),$A$1&lt;6),"",VLOOKUP(VLOOKUP($A92,Centrum!$D$3:$M$130,10,0),Centrum!$A$3:$CB$130,BN$132,0))</f>
        <v/>
      </c>
    </row>
    <row r="93" spans="1:66" x14ac:dyDescent="0.4">
      <c r="A93" s="318" t="str">
        <f ca="1">Centrum!A93</f>
        <v/>
      </c>
      <c r="B93" s="421" t="str">
        <f ca="1">IF(OR($A93="",TYPE(VLOOKUP($A93,Centrum!$D$3:$M$130,10,0))&gt;3),"",VLOOKUP(VLOOKUP(A93,Centrum!$D$3:$M$130,10,0),Centrum!$A$3:$CB$130,B$132,0))</f>
        <v/>
      </c>
      <c r="C93" s="318" t="str">
        <f ca="1">IF(OR($A93="",TYPE(VLOOKUP($A93,Centrum!$D$3:$M$130,10,0))&gt;3),"",VLOOKUP($A93,Centrum!$D$3:$M$130,10,0))</f>
        <v/>
      </c>
      <c r="E93" s="318" t="str">
        <f ca="1">IF(OR($A93="",TYPE(VLOOKUP($A93,Centrum!$D$3:$M$130,10,0))&gt;3),"",VLOOKUP(VLOOKUP($A93,Centrum!$D$3:$M$130,10,0),Centrum!$A$3:$CB$130,E$132,0))</f>
        <v/>
      </c>
      <c r="F93" s="318" t="str">
        <f ca="1">IF(OR($A93="",TYPE(VLOOKUP($A93,Centrum!$D$3:$M$130,10,0))&gt;3),"",VLOOKUP(VLOOKUP($A93,Centrum!$D$3:$M$130,10,0),Centrum!$A$3:$CB$130,F$132,0))</f>
        <v/>
      </c>
      <c r="G93" s="318" t="str">
        <f ca="1">IF(OR($A93="",TYPE(VLOOKUP($A93,Centrum!$D$3:$M$130,10,0))&gt;3),"",VLOOKUP(VLOOKUP($A93,Centrum!$D$3:$M$130,10,0),Centrum!$A$3:$CB$130,G$132,0))</f>
        <v/>
      </c>
      <c r="H93" s="318" t="str">
        <f ca="1">IF($A93="","",VLOOKUP(VLOOKUP($A93,Centrum!$D$3:$M$130,10,0),Centrum!$A$3:$CB$130,H$132,0))</f>
        <v/>
      </c>
      <c r="I93" s="318" t="str">
        <f ca="1">IF($A93="","",VLOOKUP(VLOOKUP($A93,Centrum!$D$3:$M$130,10,0),Centrum!$A$3:$CB$130,I$132,0))</f>
        <v/>
      </c>
      <c r="J93" s="318" t="str">
        <f ca="1">IF(OR($A93="",TYPE(VLOOKUP($A93,Centrum!$D$3:$M$130,10,0))&gt;3),"",VLOOKUP(VLOOKUP($A93,Centrum!$D$3:$M$130,10,0),Centrum!$A$3:$CB$130,J$132,0))</f>
        <v/>
      </c>
      <c r="L93" s="318" t="str">
        <f ca="1">IF(OR($A93="",TYPE(VLOOKUP($A93,Centrum!$D$3:$M$130,10,0))&gt;3),"",VLOOKUP(VLOOKUP($A93,Centrum!$D$3:$M$130,10,0),Centrum!$A$3:$CB$130,L$132,0))</f>
        <v/>
      </c>
      <c r="M93" s="318" t="str">
        <f ca="1">IF(OR($A93="",TYPE(VLOOKUP($A93,Centrum!$D$3:$M$130,10,0))&gt;3),"",VLOOKUP(VLOOKUP($A93,Centrum!$D$3:$M$130,10,0),Centrum!$A$3:$CB$130,M$132,0))</f>
        <v/>
      </c>
      <c r="N93" s="318" t="str">
        <f ca="1">IF(OR($A93="",TYPE(VLOOKUP($A93,Centrum!$D$3:$M$130,10,0))&gt;3),"",VLOOKUP(VLOOKUP($A93,Centrum!$D$3:$M$130,10,0),Centrum!$A$3:$CB$130,N$132,0))</f>
        <v/>
      </c>
      <c r="O93" s="318" t="str">
        <f ca="1">IF(OR($A93="",TYPE(VLOOKUP($A93,Centrum!$D$3:$M$130,10,0))&gt;3),"",VLOOKUP(VLOOKUP($A93,Centrum!$D$3:$M$130,10,0),Centrum!$A$3:$CB$130,O$132,0))</f>
        <v/>
      </c>
      <c r="P93" s="318" t="str">
        <f ca="1">IF(OR($A93="",TYPE(VLOOKUP($A93,Centrum!$D$3:$M$130,10,0))&gt;3),"",VLOOKUP(VLOOKUP($A93,Centrum!$D$3:$M$130,10,0),Centrum!$A$3:$CB$130,P$132,0))</f>
        <v/>
      </c>
      <c r="Q93" s="318" t="str">
        <f ca="1">IF(OR($A93="",TYPE(VLOOKUP($A93,Centrum!$D$3:$M$130,10,0))&gt;3),"",VLOOKUP(VLOOKUP($A93,Centrum!$D$3:$M$130,10,0),Centrum!$A$3:$CB$130,Q$132,0))</f>
        <v/>
      </c>
      <c r="S93" s="318" t="str">
        <f ca="1">IF(OR($A93="",TYPE(VLOOKUP($A93,Centrum!$D$3:$M$130,10,0))&gt;3),"",VLOOKUP(VLOOKUP($A93,Centrum!$D$3:$M$130,10,0),Centrum!$A$3:$CB$130,S$132,0))</f>
        <v/>
      </c>
      <c r="T93" s="318" t="str">
        <f ca="1">IF(OR($A93="",TYPE(VLOOKUP($A93,Centrum!$D$3:$M$130,10,0))&gt;3),"",VLOOKUP(VLOOKUP($A93,Centrum!$D$3:$M$130,10,0),Centrum!$A$3:$CB$130,T$132,0))</f>
        <v/>
      </c>
      <c r="U93" s="318" t="str">
        <f ca="1">IF(OR($A93="",TYPE(VLOOKUP($A93,Centrum!$D$3:$M$130,10,0))&gt;3),"",VLOOKUP(VLOOKUP($A93,Centrum!$D$3:$M$130,10,0),Centrum!$A$3:$CB$130,U$132,0))</f>
        <v/>
      </c>
      <c r="AB93" s="318" t="str">
        <f ca="1">IF(OR($A93="",TYPE(VLOOKUP($A93,Centrum!$D$3:$M$130,10,0))&gt;3),"",VLOOKUP(VLOOKUP($A93,Centrum!$D$3:$M$130,10,0),Centrum!$A$3:$CB$130,AB$132,0))</f>
        <v/>
      </c>
      <c r="AC93" s="318" t="str">
        <f ca="1">IF(OR($A93="",TYPE(VLOOKUP($A93,Centrum!$D$3:$M$130,10,0))&gt;3),"",VLOOKUP(VLOOKUP($A93,Centrum!$D$3:$M$130,10,0),Centrum!$A$3:$CB$130,AC$132,0))</f>
        <v/>
      </c>
      <c r="AD93" s="318" t="str">
        <f ca="1">IF(OR($A93="",TYPE(VLOOKUP($A93,Centrum!$D$3:$M$130,10,0))&gt;3),"",VLOOKUP(VLOOKUP($A93,Centrum!$D$3:$M$130,10,0),Centrum!$A$3:$CB$130,AD$132,0))</f>
        <v/>
      </c>
      <c r="AK93" s="318" t="str">
        <f ca="1">IF(OR($A93="",TYPE(VLOOKUP($A93,Centrum!$D$3:$M$130,10,0))&gt;3),"",VLOOKUP(VLOOKUP($A93,Centrum!$D$3:$M$130,10,0),Centrum!$A$3:$CB$130,AK$132,0))</f>
        <v/>
      </c>
      <c r="AL93" s="318" t="str">
        <f ca="1">IF(OR($A93="",TYPE(VLOOKUP($A93,Centrum!$D$3:$M$130,10,0))&gt;3),"",VLOOKUP(VLOOKUP($A93,Centrum!$D$3:$M$130,10,0),Centrum!$A$3:$CB$130,AL$132,0))</f>
        <v/>
      </c>
      <c r="AM93" s="318" t="str">
        <f ca="1">IF(OR($A93="",TYPE(VLOOKUP($A93,Centrum!$D$3:$M$130,10,0))&gt;3),"",VLOOKUP(VLOOKUP($A93,Centrum!$D$3:$M$130,10,0),Centrum!$A$3:$CB$130,AM$132,0))</f>
        <v/>
      </c>
      <c r="AT93" s="318" t="str">
        <f ca="1">IF(OR(OR($A93="",TYPE(VLOOKUP($A93,Centrum!$D$3:$M$130,10,0))&gt;3),$A$1&lt;4),"",VLOOKUP(VLOOKUP($A93,Centrum!$D$3:$M$130,10,0),Centrum!$A$3:$CB$130,AT$132,0))</f>
        <v/>
      </c>
      <c r="AU93" s="318" t="str">
        <f ca="1">IF(OR(OR($A93="",TYPE(VLOOKUP($A93,Centrum!$D$3:$M$130,10,0))&gt;3),$A$1&lt;4),"",VLOOKUP(VLOOKUP($A93,Centrum!$D$3:$M$130,10,0),Centrum!$A$3:$CB$130,AU$132,0))</f>
        <v/>
      </c>
      <c r="AV93" s="318" t="str">
        <f ca="1">IF(OR(OR($A93="",TYPE(VLOOKUP($A93,Centrum!$D$3:$M$130,10,0))&gt;3),$A$1&lt;4),"",VLOOKUP(VLOOKUP($A93,Centrum!$D$3:$M$130,10,0),Centrum!$A$3:$CB$130,AV$132,0))</f>
        <v/>
      </c>
      <c r="BC93" s="318" t="str">
        <f ca="1">IF(OR(OR($A93="",TYPE(VLOOKUP($A93,Centrum!$D$3:$M$130,10,0))&gt;3),$A$1&lt;5),"",VLOOKUP(VLOOKUP($A93,Centrum!$D$3:$M$130,10,0),Centrum!$A$3:$CB$130,BC$132,0))</f>
        <v/>
      </c>
      <c r="BD93" s="318" t="str">
        <f ca="1">IF(OR(OR($A93="",TYPE(VLOOKUP($A93,Centrum!$D$3:$M$130,10,0))&gt;3),$A$1&lt;5),"",VLOOKUP(VLOOKUP($A93,Centrum!$D$3:$M$130,10,0),Centrum!$A$3:$CB$130,BD$132,0))</f>
        <v/>
      </c>
      <c r="BE93" s="318" t="str">
        <f ca="1">IF(OR(OR($A93="",TYPE(VLOOKUP($A93,Centrum!$D$3:$M$130,10,0))&gt;3),$A$1&lt;5),"",VLOOKUP(VLOOKUP($A93,Centrum!$D$3:$M$130,10,0),Centrum!$A$3:$CB$130,BE$132,0))</f>
        <v/>
      </c>
      <c r="BL93" s="318" t="str">
        <f ca="1">IF(OR(OR($A93="",TYPE(VLOOKUP($A93,Centrum!$D$3:$M$130,10,0))&gt;3),$A$1&lt;6),"",VLOOKUP(VLOOKUP($A93,Centrum!$D$3:$M$130,10,0),Centrum!$A$3:$CB$130,BL$132,0))</f>
        <v/>
      </c>
      <c r="BM93" s="318" t="str">
        <f ca="1">IF(OR(OR($A93="",TYPE(VLOOKUP($A93,Centrum!$D$3:$M$130,10,0))&gt;3),$A$1&lt;6),"",VLOOKUP(VLOOKUP($A93,Centrum!$D$3:$M$130,10,0),Centrum!$A$3:$CB$130,BM$132,0))</f>
        <v/>
      </c>
      <c r="BN93" s="318" t="str">
        <f ca="1">IF(OR(OR($A93="",TYPE(VLOOKUP($A93,Centrum!$D$3:$M$130,10,0))&gt;3),$A$1&lt;6),"",VLOOKUP(VLOOKUP($A93,Centrum!$D$3:$M$130,10,0),Centrum!$A$3:$CB$130,BN$132,0))</f>
        <v/>
      </c>
    </row>
    <row r="94" spans="1:66" x14ac:dyDescent="0.4">
      <c r="A94" s="318" t="str">
        <f ca="1">Centrum!A94</f>
        <v/>
      </c>
      <c r="B94" s="421" t="str">
        <f ca="1">IF(OR($A94="",TYPE(VLOOKUP($A94,Centrum!$D$3:$M$130,10,0))&gt;3),"",VLOOKUP(VLOOKUP(A94,Centrum!$D$3:$M$130,10,0),Centrum!$A$3:$CB$130,B$132,0))</f>
        <v/>
      </c>
      <c r="C94" s="318" t="str">
        <f ca="1">IF(OR($A94="",TYPE(VLOOKUP($A94,Centrum!$D$3:$M$130,10,0))&gt;3),"",VLOOKUP($A94,Centrum!$D$3:$M$130,10,0))</f>
        <v/>
      </c>
      <c r="E94" s="318" t="str">
        <f ca="1">IF(OR($A94="",TYPE(VLOOKUP($A94,Centrum!$D$3:$M$130,10,0))&gt;3),"",VLOOKUP(VLOOKUP($A94,Centrum!$D$3:$M$130,10,0),Centrum!$A$3:$CB$130,E$132,0))</f>
        <v/>
      </c>
      <c r="F94" s="318" t="str">
        <f ca="1">IF(OR($A94="",TYPE(VLOOKUP($A94,Centrum!$D$3:$M$130,10,0))&gt;3),"",VLOOKUP(VLOOKUP($A94,Centrum!$D$3:$M$130,10,0),Centrum!$A$3:$CB$130,F$132,0))</f>
        <v/>
      </c>
      <c r="G94" s="318" t="str">
        <f ca="1">IF(OR($A94="",TYPE(VLOOKUP($A94,Centrum!$D$3:$M$130,10,0))&gt;3),"",VLOOKUP(VLOOKUP($A94,Centrum!$D$3:$M$130,10,0),Centrum!$A$3:$CB$130,G$132,0))</f>
        <v/>
      </c>
      <c r="H94" s="318" t="str">
        <f ca="1">IF($A94="","",VLOOKUP(VLOOKUP($A94,Centrum!$D$3:$M$130,10,0),Centrum!$A$3:$CB$130,H$132,0))</f>
        <v/>
      </c>
      <c r="I94" s="318" t="str">
        <f ca="1">IF($A94="","",VLOOKUP(VLOOKUP($A94,Centrum!$D$3:$M$130,10,0),Centrum!$A$3:$CB$130,I$132,0))</f>
        <v/>
      </c>
      <c r="J94" s="318" t="str">
        <f ca="1">IF(OR($A94="",TYPE(VLOOKUP($A94,Centrum!$D$3:$M$130,10,0))&gt;3),"",VLOOKUP(VLOOKUP($A94,Centrum!$D$3:$M$130,10,0),Centrum!$A$3:$CB$130,J$132,0))</f>
        <v/>
      </c>
      <c r="L94" s="318" t="str">
        <f ca="1">IF(OR($A94="",TYPE(VLOOKUP($A94,Centrum!$D$3:$M$130,10,0))&gt;3),"",VLOOKUP(VLOOKUP($A94,Centrum!$D$3:$M$130,10,0),Centrum!$A$3:$CB$130,L$132,0))</f>
        <v/>
      </c>
      <c r="M94" s="318" t="str">
        <f ca="1">IF(OR($A94="",TYPE(VLOOKUP($A94,Centrum!$D$3:$M$130,10,0))&gt;3),"",VLOOKUP(VLOOKUP($A94,Centrum!$D$3:$M$130,10,0),Centrum!$A$3:$CB$130,M$132,0))</f>
        <v/>
      </c>
      <c r="N94" s="318" t="str">
        <f ca="1">IF(OR($A94="",TYPE(VLOOKUP($A94,Centrum!$D$3:$M$130,10,0))&gt;3),"",VLOOKUP(VLOOKUP($A94,Centrum!$D$3:$M$130,10,0),Centrum!$A$3:$CB$130,N$132,0))</f>
        <v/>
      </c>
      <c r="O94" s="318" t="str">
        <f ca="1">IF(OR($A94="",TYPE(VLOOKUP($A94,Centrum!$D$3:$M$130,10,0))&gt;3),"",VLOOKUP(VLOOKUP($A94,Centrum!$D$3:$M$130,10,0),Centrum!$A$3:$CB$130,O$132,0))</f>
        <v/>
      </c>
      <c r="P94" s="318" t="str">
        <f ca="1">IF(OR($A94="",TYPE(VLOOKUP($A94,Centrum!$D$3:$M$130,10,0))&gt;3),"",VLOOKUP(VLOOKUP($A94,Centrum!$D$3:$M$130,10,0),Centrum!$A$3:$CB$130,P$132,0))</f>
        <v/>
      </c>
      <c r="Q94" s="318" t="str">
        <f ca="1">IF(OR($A94="",TYPE(VLOOKUP($A94,Centrum!$D$3:$M$130,10,0))&gt;3),"",VLOOKUP(VLOOKUP($A94,Centrum!$D$3:$M$130,10,0),Centrum!$A$3:$CB$130,Q$132,0))</f>
        <v/>
      </c>
      <c r="S94" s="318" t="str">
        <f ca="1">IF(OR($A94="",TYPE(VLOOKUP($A94,Centrum!$D$3:$M$130,10,0))&gt;3),"",VLOOKUP(VLOOKUP($A94,Centrum!$D$3:$M$130,10,0),Centrum!$A$3:$CB$130,S$132,0))</f>
        <v/>
      </c>
      <c r="T94" s="318" t="str">
        <f ca="1">IF(OR($A94="",TYPE(VLOOKUP($A94,Centrum!$D$3:$M$130,10,0))&gt;3),"",VLOOKUP(VLOOKUP($A94,Centrum!$D$3:$M$130,10,0),Centrum!$A$3:$CB$130,T$132,0))</f>
        <v/>
      </c>
      <c r="U94" s="318" t="str">
        <f ca="1">IF(OR($A94="",TYPE(VLOOKUP($A94,Centrum!$D$3:$M$130,10,0))&gt;3),"",VLOOKUP(VLOOKUP($A94,Centrum!$D$3:$M$130,10,0),Centrum!$A$3:$CB$130,U$132,0))</f>
        <v/>
      </c>
      <c r="AB94" s="318" t="str">
        <f ca="1">IF(OR($A94="",TYPE(VLOOKUP($A94,Centrum!$D$3:$M$130,10,0))&gt;3),"",VLOOKUP(VLOOKUP($A94,Centrum!$D$3:$M$130,10,0),Centrum!$A$3:$CB$130,AB$132,0))</f>
        <v/>
      </c>
      <c r="AC94" s="318" t="str">
        <f ca="1">IF(OR($A94="",TYPE(VLOOKUP($A94,Centrum!$D$3:$M$130,10,0))&gt;3),"",VLOOKUP(VLOOKUP($A94,Centrum!$D$3:$M$130,10,0),Centrum!$A$3:$CB$130,AC$132,0))</f>
        <v/>
      </c>
      <c r="AD94" s="318" t="str">
        <f ca="1">IF(OR($A94="",TYPE(VLOOKUP($A94,Centrum!$D$3:$M$130,10,0))&gt;3),"",VLOOKUP(VLOOKUP($A94,Centrum!$D$3:$M$130,10,0),Centrum!$A$3:$CB$130,AD$132,0))</f>
        <v/>
      </c>
      <c r="AK94" s="318" t="str">
        <f ca="1">IF(OR($A94="",TYPE(VLOOKUP($A94,Centrum!$D$3:$M$130,10,0))&gt;3),"",VLOOKUP(VLOOKUP($A94,Centrum!$D$3:$M$130,10,0),Centrum!$A$3:$CB$130,AK$132,0))</f>
        <v/>
      </c>
      <c r="AL94" s="318" t="str">
        <f ca="1">IF(OR($A94="",TYPE(VLOOKUP($A94,Centrum!$D$3:$M$130,10,0))&gt;3),"",VLOOKUP(VLOOKUP($A94,Centrum!$D$3:$M$130,10,0),Centrum!$A$3:$CB$130,AL$132,0))</f>
        <v/>
      </c>
      <c r="AM94" s="318" t="str">
        <f ca="1">IF(OR($A94="",TYPE(VLOOKUP($A94,Centrum!$D$3:$M$130,10,0))&gt;3),"",VLOOKUP(VLOOKUP($A94,Centrum!$D$3:$M$130,10,0),Centrum!$A$3:$CB$130,AM$132,0))</f>
        <v/>
      </c>
      <c r="AT94" s="318" t="str">
        <f ca="1">IF(OR(OR($A94="",TYPE(VLOOKUP($A94,Centrum!$D$3:$M$130,10,0))&gt;3),$A$1&lt;4),"",VLOOKUP(VLOOKUP($A94,Centrum!$D$3:$M$130,10,0),Centrum!$A$3:$CB$130,AT$132,0))</f>
        <v/>
      </c>
      <c r="AU94" s="318" t="str">
        <f ca="1">IF(OR(OR($A94="",TYPE(VLOOKUP($A94,Centrum!$D$3:$M$130,10,0))&gt;3),$A$1&lt;4),"",VLOOKUP(VLOOKUP($A94,Centrum!$D$3:$M$130,10,0),Centrum!$A$3:$CB$130,AU$132,0))</f>
        <v/>
      </c>
      <c r="AV94" s="318" t="str">
        <f ca="1">IF(OR(OR($A94="",TYPE(VLOOKUP($A94,Centrum!$D$3:$M$130,10,0))&gt;3),$A$1&lt;4),"",VLOOKUP(VLOOKUP($A94,Centrum!$D$3:$M$130,10,0),Centrum!$A$3:$CB$130,AV$132,0))</f>
        <v/>
      </c>
      <c r="BC94" s="318" t="str">
        <f ca="1">IF(OR(OR($A94="",TYPE(VLOOKUP($A94,Centrum!$D$3:$M$130,10,0))&gt;3),$A$1&lt;5),"",VLOOKUP(VLOOKUP($A94,Centrum!$D$3:$M$130,10,0),Centrum!$A$3:$CB$130,BC$132,0))</f>
        <v/>
      </c>
      <c r="BD94" s="318" t="str">
        <f ca="1">IF(OR(OR($A94="",TYPE(VLOOKUP($A94,Centrum!$D$3:$M$130,10,0))&gt;3),$A$1&lt;5),"",VLOOKUP(VLOOKUP($A94,Centrum!$D$3:$M$130,10,0),Centrum!$A$3:$CB$130,BD$132,0))</f>
        <v/>
      </c>
      <c r="BE94" s="318" t="str">
        <f ca="1">IF(OR(OR($A94="",TYPE(VLOOKUP($A94,Centrum!$D$3:$M$130,10,0))&gt;3),$A$1&lt;5),"",VLOOKUP(VLOOKUP($A94,Centrum!$D$3:$M$130,10,0),Centrum!$A$3:$CB$130,BE$132,0))</f>
        <v/>
      </c>
      <c r="BL94" s="318" t="str">
        <f ca="1">IF(OR(OR($A94="",TYPE(VLOOKUP($A94,Centrum!$D$3:$M$130,10,0))&gt;3),$A$1&lt;6),"",VLOOKUP(VLOOKUP($A94,Centrum!$D$3:$M$130,10,0),Centrum!$A$3:$CB$130,BL$132,0))</f>
        <v/>
      </c>
      <c r="BM94" s="318" t="str">
        <f ca="1">IF(OR(OR($A94="",TYPE(VLOOKUP($A94,Centrum!$D$3:$M$130,10,0))&gt;3),$A$1&lt;6),"",VLOOKUP(VLOOKUP($A94,Centrum!$D$3:$M$130,10,0),Centrum!$A$3:$CB$130,BM$132,0))</f>
        <v/>
      </c>
      <c r="BN94" s="318" t="str">
        <f ca="1">IF(OR(OR($A94="",TYPE(VLOOKUP($A94,Centrum!$D$3:$M$130,10,0))&gt;3),$A$1&lt;6),"",VLOOKUP(VLOOKUP($A94,Centrum!$D$3:$M$130,10,0),Centrum!$A$3:$CB$130,BN$132,0))</f>
        <v/>
      </c>
    </row>
    <row r="95" spans="1:66" x14ac:dyDescent="0.4">
      <c r="A95" s="318" t="str">
        <f ca="1">Centrum!A95</f>
        <v/>
      </c>
      <c r="B95" s="421" t="str">
        <f ca="1">IF(OR($A95="",TYPE(VLOOKUP($A95,Centrum!$D$3:$M$130,10,0))&gt;3),"",VLOOKUP(VLOOKUP(A95,Centrum!$D$3:$M$130,10,0),Centrum!$A$3:$CB$130,B$132,0))</f>
        <v/>
      </c>
      <c r="C95" s="318" t="str">
        <f ca="1">IF(OR($A95="",TYPE(VLOOKUP($A95,Centrum!$D$3:$M$130,10,0))&gt;3),"",VLOOKUP($A95,Centrum!$D$3:$M$130,10,0))</f>
        <v/>
      </c>
      <c r="E95" s="318" t="str">
        <f ca="1">IF(OR($A95="",TYPE(VLOOKUP($A95,Centrum!$D$3:$M$130,10,0))&gt;3),"",VLOOKUP(VLOOKUP($A95,Centrum!$D$3:$M$130,10,0),Centrum!$A$3:$CB$130,E$132,0))</f>
        <v/>
      </c>
      <c r="F95" s="318" t="str">
        <f ca="1">IF(OR($A95="",TYPE(VLOOKUP($A95,Centrum!$D$3:$M$130,10,0))&gt;3),"",VLOOKUP(VLOOKUP($A95,Centrum!$D$3:$M$130,10,0),Centrum!$A$3:$CB$130,F$132,0))</f>
        <v/>
      </c>
      <c r="G95" s="318" t="str">
        <f ca="1">IF(OR($A95="",TYPE(VLOOKUP($A95,Centrum!$D$3:$M$130,10,0))&gt;3),"",VLOOKUP(VLOOKUP($A95,Centrum!$D$3:$M$130,10,0),Centrum!$A$3:$CB$130,G$132,0))</f>
        <v/>
      </c>
      <c r="H95" s="318" t="str">
        <f ca="1">IF($A95="","",VLOOKUP(VLOOKUP($A95,Centrum!$D$3:$M$130,10,0),Centrum!$A$3:$CB$130,H$132,0))</f>
        <v/>
      </c>
      <c r="I95" s="318" t="str">
        <f ca="1">IF($A95="","",VLOOKUP(VLOOKUP($A95,Centrum!$D$3:$M$130,10,0),Centrum!$A$3:$CB$130,I$132,0))</f>
        <v/>
      </c>
      <c r="J95" s="318" t="str">
        <f ca="1">IF(OR($A95="",TYPE(VLOOKUP($A95,Centrum!$D$3:$M$130,10,0))&gt;3),"",VLOOKUP(VLOOKUP($A95,Centrum!$D$3:$M$130,10,0),Centrum!$A$3:$CB$130,J$132,0))</f>
        <v/>
      </c>
      <c r="L95" s="318" t="str">
        <f ca="1">IF(OR($A95="",TYPE(VLOOKUP($A95,Centrum!$D$3:$M$130,10,0))&gt;3),"",VLOOKUP(VLOOKUP($A95,Centrum!$D$3:$M$130,10,0),Centrum!$A$3:$CB$130,L$132,0))</f>
        <v/>
      </c>
      <c r="M95" s="318" t="str">
        <f ca="1">IF(OR($A95="",TYPE(VLOOKUP($A95,Centrum!$D$3:$M$130,10,0))&gt;3),"",VLOOKUP(VLOOKUP($A95,Centrum!$D$3:$M$130,10,0),Centrum!$A$3:$CB$130,M$132,0))</f>
        <v/>
      </c>
      <c r="N95" s="318" t="str">
        <f ca="1">IF(OR($A95="",TYPE(VLOOKUP($A95,Centrum!$D$3:$M$130,10,0))&gt;3),"",VLOOKUP(VLOOKUP($A95,Centrum!$D$3:$M$130,10,0),Centrum!$A$3:$CB$130,N$132,0))</f>
        <v/>
      </c>
      <c r="O95" s="318" t="str">
        <f ca="1">IF(OR($A95="",TYPE(VLOOKUP($A95,Centrum!$D$3:$M$130,10,0))&gt;3),"",VLOOKUP(VLOOKUP($A95,Centrum!$D$3:$M$130,10,0),Centrum!$A$3:$CB$130,O$132,0))</f>
        <v/>
      </c>
      <c r="P95" s="318" t="str">
        <f ca="1">IF(OR($A95="",TYPE(VLOOKUP($A95,Centrum!$D$3:$M$130,10,0))&gt;3),"",VLOOKUP(VLOOKUP($A95,Centrum!$D$3:$M$130,10,0),Centrum!$A$3:$CB$130,P$132,0))</f>
        <v/>
      </c>
      <c r="Q95" s="318" t="str">
        <f ca="1">IF(OR($A95="",TYPE(VLOOKUP($A95,Centrum!$D$3:$M$130,10,0))&gt;3),"",VLOOKUP(VLOOKUP($A95,Centrum!$D$3:$M$130,10,0),Centrum!$A$3:$CB$130,Q$132,0))</f>
        <v/>
      </c>
      <c r="S95" s="318" t="str">
        <f ca="1">IF(OR($A95="",TYPE(VLOOKUP($A95,Centrum!$D$3:$M$130,10,0))&gt;3),"",VLOOKUP(VLOOKUP($A95,Centrum!$D$3:$M$130,10,0),Centrum!$A$3:$CB$130,S$132,0))</f>
        <v/>
      </c>
      <c r="T95" s="318" t="str">
        <f ca="1">IF(OR($A95="",TYPE(VLOOKUP($A95,Centrum!$D$3:$M$130,10,0))&gt;3),"",VLOOKUP(VLOOKUP($A95,Centrum!$D$3:$M$130,10,0),Centrum!$A$3:$CB$130,T$132,0))</f>
        <v/>
      </c>
      <c r="U95" s="318" t="str">
        <f ca="1">IF(OR($A95="",TYPE(VLOOKUP($A95,Centrum!$D$3:$M$130,10,0))&gt;3),"",VLOOKUP(VLOOKUP($A95,Centrum!$D$3:$M$130,10,0),Centrum!$A$3:$CB$130,U$132,0))</f>
        <v/>
      </c>
      <c r="AB95" s="318" t="str">
        <f ca="1">IF(OR($A95="",TYPE(VLOOKUP($A95,Centrum!$D$3:$M$130,10,0))&gt;3),"",VLOOKUP(VLOOKUP($A95,Centrum!$D$3:$M$130,10,0),Centrum!$A$3:$CB$130,AB$132,0))</f>
        <v/>
      </c>
      <c r="AC95" s="318" t="str">
        <f ca="1">IF(OR($A95="",TYPE(VLOOKUP($A95,Centrum!$D$3:$M$130,10,0))&gt;3),"",VLOOKUP(VLOOKUP($A95,Centrum!$D$3:$M$130,10,0),Centrum!$A$3:$CB$130,AC$132,0))</f>
        <v/>
      </c>
      <c r="AD95" s="318" t="str">
        <f ca="1">IF(OR($A95="",TYPE(VLOOKUP($A95,Centrum!$D$3:$M$130,10,0))&gt;3),"",VLOOKUP(VLOOKUP($A95,Centrum!$D$3:$M$130,10,0),Centrum!$A$3:$CB$130,AD$132,0))</f>
        <v/>
      </c>
      <c r="AK95" s="318" t="str">
        <f ca="1">IF(OR($A95="",TYPE(VLOOKUP($A95,Centrum!$D$3:$M$130,10,0))&gt;3),"",VLOOKUP(VLOOKUP($A95,Centrum!$D$3:$M$130,10,0),Centrum!$A$3:$CB$130,AK$132,0))</f>
        <v/>
      </c>
      <c r="AL95" s="318" t="str">
        <f ca="1">IF(OR($A95="",TYPE(VLOOKUP($A95,Centrum!$D$3:$M$130,10,0))&gt;3),"",VLOOKUP(VLOOKUP($A95,Centrum!$D$3:$M$130,10,0),Centrum!$A$3:$CB$130,AL$132,0))</f>
        <v/>
      </c>
      <c r="AM95" s="318" t="str">
        <f ca="1">IF(OR($A95="",TYPE(VLOOKUP($A95,Centrum!$D$3:$M$130,10,0))&gt;3),"",VLOOKUP(VLOOKUP($A95,Centrum!$D$3:$M$130,10,0),Centrum!$A$3:$CB$130,AM$132,0))</f>
        <v/>
      </c>
      <c r="AT95" s="318" t="str">
        <f ca="1">IF(OR(OR($A95="",TYPE(VLOOKUP($A95,Centrum!$D$3:$M$130,10,0))&gt;3),$A$1&lt;4),"",VLOOKUP(VLOOKUP($A95,Centrum!$D$3:$M$130,10,0),Centrum!$A$3:$CB$130,AT$132,0))</f>
        <v/>
      </c>
      <c r="AU95" s="318" t="str">
        <f ca="1">IF(OR(OR($A95="",TYPE(VLOOKUP($A95,Centrum!$D$3:$M$130,10,0))&gt;3),$A$1&lt;4),"",VLOOKUP(VLOOKUP($A95,Centrum!$D$3:$M$130,10,0),Centrum!$A$3:$CB$130,AU$132,0))</f>
        <v/>
      </c>
      <c r="AV95" s="318" t="str">
        <f ca="1">IF(OR(OR($A95="",TYPE(VLOOKUP($A95,Centrum!$D$3:$M$130,10,0))&gt;3),$A$1&lt;4),"",VLOOKUP(VLOOKUP($A95,Centrum!$D$3:$M$130,10,0),Centrum!$A$3:$CB$130,AV$132,0))</f>
        <v/>
      </c>
      <c r="BC95" s="318" t="str">
        <f ca="1">IF(OR(OR($A95="",TYPE(VLOOKUP($A95,Centrum!$D$3:$M$130,10,0))&gt;3),$A$1&lt;5),"",VLOOKUP(VLOOKUP($A95,Centrum!$D$3:$M$130,10,0),Centrum!$A$3:$CB$130,BC$132,0))</f>
        <v/>
      </c>
      <c r="BD95" s="318" t="str">
        <f ca="1">IF(OR(OR($A95="",TYPE(VLOOKUP($A95,Centrum!$D$3:$M$130,10,0))&gt;3),$A$1&lt;5),"",VLOOKUP(VLOOKUP($A95,Centrum!$D$3:$M$130,10,0),Centrum!$A$3:$CB$130,BD$132,0))</f>
        <v/>
      </c>
      <c r="BE95" s="318" t="str">
        <f ca="1">IF(OR(OR($A95="",TYPE(VLOOKUP($A95,Centrum!$D$3:$M$130,10,0))&gt;3),$A$1&lt;5),"",VLOOKUP(VLOOKUP($A95,Centrum!$D$3:$M$130,10,0),Centrum!$A$3:$CB$130,BE$132,0))</f>
        <v/>
      </c>
      <c r="BL95" s="318" t="str">
        <f ca="1">IF(OR(OR($A95="",TYPE(VLOOKUP($A95,Centrum!$D$3:$M$130,10,0))&gt;3),$A$1&lt;6),"",VLOOKUP(VLOOKUP($A95,Centrum!$D$3:$M$130,10,0),Centrum!$A$3:$CB$130,BL$132,0))</f>
        <v/>
      </c>
      <c r="BM95" s="318" t="str">
        <f ca="1">IF(OR(OR($A95="",TYPE(VLOOKUP($A95,Centrum!$D$3:$M$130,10,0))&gt;3),$A$1&lt;6),"",VLOOKUP(VLOOKUP($A95,Centrum!$D$3:$M$130,10,0),Centrum!$A$3:$CB$130,BM$132,0))</f>
        <v/>
      </c>
      <c r="BN95" s="318" t="str">
        <f ca="1">IF(OR(OR($A95="",TYPE(VLOOKUP($A95,Centrum!$D$3:$M$130,10,0))&gt;3),$A$1&lt;6),"",VLOOKUP(VLOOKUP($A95,Centrum!$D$3:$M$130,10,0),Centrum!$A$3:$CB$130,BN$132,0))</f>
        <v/>
      </c>
    </row>
    <row r="96" spans="1:66" x14ac:dyDescent="0.4">
      <c r="A96" s="318" t="str">
        <f ca="1">Centrum!A96</f>
        <v/>
      </c>
      <c r="B96" s="421" t="str">
        <f ca="1">IF(OR($A96="",TYPE(VLOOKUP($A96,Centrum!$D$3:$M$130,10,0))&gt;3),"",VLOOKUP(VLOOKUP(A96,Centrum!$D$3:$M$130,10,0),Centrum!$A$3:$CB$130,B$132,0))</f>
        <v/>
      </c>
      <c r="C96" s="318" t="str">
        <f ca="1">IF(OR($A96="",TYPE(VLOOKUP($A96,Centrum!$D$3:$M$130,10,0))&gt;3),"",VLOOKUP($A96,Centrum!$D$3:$M$130,10,0))</f>
        <v/>
      </c>
      <c r="E96" s="318" t="str">
        <f ca="1">IF(OR($A96="",TYPE(VLOOKUP($A96,Centrum!$D$3:$M$130,10,0))&gt;3),"",VLOOKUP(VLOOKUP($A96,Centrum!$D$3:$M$130,10,0),Centrum!$A$3:$CB$130,E$132,0))</f>
        <v/>
      </c>
      <c r="F96" s="318" t="str">
        <f ca="1">IF(OR($A96="",TYPE(VLOOKUP($A96,Centrum!$D$3:$M$130,10,0))&gt;3),"",VLOOKUP(VLOOKUP($A96,Centrum!$D$3:$M$130,10,0),Centrum!$A$3:$CB$130,F$132,0))</f>
        <v/>
      </c>
      <c r="G96" s="318" t="str">
        <f ca="1">IF(OR($A96="",TYPE(VLOOKUP($A96,Centrum!$D$3:$M$130,10,0))&gt;3),"",VLOOKUP(VLOOKUP($A96,Centrum!$D$3:$M$130,10,0),Centrum!$A$3:$CB$130,G$132,0))</f>
        <v/>
      </c>
      <c r="H96" s="318" t="str">
        <f ca="1">IF($A96="","",VLOOKUP(VLOOKUP($A96,Centrum!$D$3:$M$130,10,0),Centrum!$A$3:$CB$130,H$132,0))</f>
        <v/>
      </c>
      <c r="I96" s="318" t="str">
        <f ca="1">IF($A96="","",VLOOKUP(VLOOKUP($A96,Centrum!$D$3:$M$130,10,0),Centrum!$A$3:$CB$130,I$132,0))</f>
        <v/>
      </c>
      <c r="J96" s="318" t="str">
        <f ca="1">IF(OR($A96="",TYPE(VLOOKUP($A96,Centrum!$D$3:$M$130,10,0))&gt;3),"",VLOOKUP(VLOOKUP($A96,Centrum!$D$3:$M$130,10,0),Centrum!$A$3:$CB$130,J$132,0))</f>
        <v/>
      </c>
      <c r="L96" s="318" t="str">
        <f ca="1">IF(OR($A96="",TYPE(VLOOKUP($A96,Centrum!$D$3:$M$130,10,0))&gt;3),"",VLOOKUP(VLOOKUP($A96,Centrum!$D$3:$M$130,10,0),Centrum!$A$3:$CB$130,L$132,0))</f>
        <v/>
      </c>
      <c r="M96" s="318" t="str">
        <f ca="1">IF(OR($A96="",TYPE(VLOOKUP($A96,Centrum!$D$3:$M$130,10,0))&gt;3),"",VLOOKUP(VLOOKUP($A96,Centrum!$D$3:$M$130,10,0),Centrum!$A$3:$CB$130,M$132,0))</f>
        <v/>
      </c>
      <c r="N96" s="318" t="str">
        <f ca="1">IF(OR($A96="",TYPE(VLOOKUP($A96,Centrum!$D$3:$M$130,10,0))&gt;3),"",VLOOKUP(VLOOKUP($A96,Centrum!$D$3:$M$130,10,0),Centrum!$A$3:$CB$130,N$132,0))</f>
        <v/>
      </c>
      <c r="O96" s="318" t="str">
        <f ca="1">IF(OR($A96="",TYPE(VLOOKUP($A96,Centrum!$D$3:$M$130,10,0))&gt;3),"",VLOOKUP(VLOOKUP($A96,Centrum!$D$3:$M$130,10,0),Centrum!$A$3:$CB$130,O$132,0))</f>
        <v/>
      </c>
      <c r="P96" s="318" t="str">
        <f ca="1">IF(OR($A96="",TYPE(VLOOKUP($A96,Centrum!$D$3:$M$130,10,0))&gt;3),"",VLOOKUP(VLOOKUP($A96,Centrum!$D$3:$M$130,10,0),Centrum!$A$3:$CB$130,P$132,0))</f>
        <v/>
      </c>
      <c r="Q96" s="318" t="str">
        <f ca="1">IF(OR($A96="",TYPE(VLOOKUP($A96,Centrum!$D$3:$M$130,10,0))&gt;3),"",VLOOKUP(VLOOKUP($A96,Centrum!$D$3:$M$130,10,0),Centrum!$A$3:$CB$130,Q$132,0))</f>
        <v/>
      </c>
      <c r="S96" s="318" t="str">
        <f ca="1">IF(OR($A96="",TYPE(VLOOKUP($A96,Centrum!$D$3:$M$130,10,0))&gt;3),"",VLOOKUP(VLOOKUP($A96,Centrum!$D$3:$M$130,10,0),Centrum!$A$3:$CB$130,S$132,0))</f>
        <v/>
      </c>
      <c r="T96" s="318" t="str">
        <f ca="1">IF(OR($A96="",TYPE(VLOOKUP($A96,Centrum!$D$3:$M$130,10,0))&gt;3),"",VLOOKUP(VLOOKUP($A96,Centrum!$D$3:$M$130,10,0),Centrum!$A$3:$CB$130,T$132,0))</f>
        <v/>
      </c>
      <c r="U96" s="318" t="str">
        <f ca="1">IF(OR($A96="",TYPE(VLOOKUP($A96,Centrum!$D$3:$M$130,10,0))&gt;3),"",VLOOKUP(VLOOKUP($A96,Centrum!$D$3:$M$130,10,0),Centrum!$A$3:$CB$130,U$132,0))</f>
        <v/>
      </c>
      <c r="AB96" s="318" t="str">
        <f ca="1">IF(OR($A96="",TYPE(VLOOKUP($A96,Centrum!$D$3:$M$130,10,0))&gt;3),"",VLOOKUP(VLOOKUP($A96,Centrum!$D$3:$M$130,10,0),Centrum!$A$3:$CB$130,AB$132,0))</f>
        <v/>
      </c>
      <c r="AC96" s="318" t="str">
        <f ca="1">IF(OR($A96="",TYPE(VLOOKUP($A96,Centrum!$D$3:$M$130,10,0))&gt;3),"",VLOOKUP(VLOOKUP($A96,Centrum!$D$3:$M$130,10,0),Centrum!$A$3:$CB$130,AC$132,0))</f>
        <v/>
      </c>
      <c r="AD96" s="318" t="str">
        <f ca="1">IF(OR($A96="",TYPE(VLOOKUP($A96,Centrum!$D$3:$M$130,10,0))&gt;3),"",VLOOKUP(VLOOKUP($A96,Centrum!$D$3:$M$130,10,0),Centrum!$A$3:$CB$130,AD$132,0))</f>
        <v/>
      </c>
      <c r="AK96" s="318" t="str">
        <f ca="1">IF(OR($A96="",TYPE(VLOOKUP($A96,Centrum!$D$3:$M$130,10,0))&gt;3),"",VLOOKUP(VLOOKUP($A96,Centrum!$D$3:$M$130,10,0),Centrum!$A$3:$CB$130,AK$132,0))</f>
        <v/>
      </c>
      <c r="AL96" s="318" t="str">
        <f ca="1">IF(OR($A96="",TYPE(VLOOKUP($A96,Centrum!$D$3:$M$130,10,0))&gt;3),"",VLOOKUP(VLOOKUP($A96,Centrum!$D$3:$M$130,10,0),Centrum!$A$3:$CB$130,AL$132,0))</f>
        <v/>
      </c>
      <c r="AM96" s="318" t="str">
        <f ca="1">IF(OR($A96="",TYPE(VLOOKUP($A96,Centrum!$D$3:$M$130,10,0))&gt;3),"",VLOOKUP(VLOOKUP($A96,Centrum!$D$3:$M$130,10,0),Centrum!$A$3:$CB$130,AM$132,0))</f>
        <v/>
      </c>
      <c r="AT96" s="318" t="str">
        <f ca="1">IF(OR(OR($A96="",TYPE(VLOOKUP($A96,Centrum!$D$3:$M$130,10,0))&gt;3),$A$1&lt;4),"",VLOOKUP(VLOOKUP($A96,Centrum!$D$3:$M$130,10,0),Centrum!$A$3:$CB$130,AT$132,0))</f>
        <v/>
      </c>
      <c r="AU96" s="318" t="str">
        <f ca="1">IF(OR(OR($A96="",TYPE(VLOOKUP($A96,Centrum!$D$3:$M$130,10,0))&gt;3),$A$1&lt;4),"",VLOOKUP(VLOOKUP($A96,Centrum!$D$3:$M$130,10,0),Centrum!$A$3:$CB$130,AU$132,0))</f>
        <v/>
      </c>
      <c r="AV96" s="318" t="str">
        <f ca="1">IF(OR(OR($A96="",TYPE(VLOOKUP($A96,Centrum!$D$3:$M$130,10,0))&gt;3),$A$1&lt;4),"",VLOOKUP(VLOOKUP($A96,Centrum!$D$3:$M$130,10,0),Centrum!$A$3:$CB$130,AV$132,0))</f>
        <v/>
      </c>
      <c r="BC96" s="318" t="str">
        <f ca="1">IF(OR(OR($A96="",TYPE(VLOOKUP($A96,Centrum!$D$3:$M$130,10,0))&gt;3),$A$1&lt;5),"",VLOOKUP(VLOOKUP($A96,Centrum!$D$3:$M$130,10,0),Centrum!$A$3:$CB$130,BC$132,0))</f>
        <v/>
      </c>
      <c r="BD96" s="318" t="str">
        <f ca="1">IF(OR(OR($A96="",TYPE(VLOOKUP($A96,Centrum!$D$3:$M$130,10,0))&gt;3),$A$1&lt;5),"",VLOOKUP(VLOOKUP($A96,Centrum!$D$3:$M$130,10,0),Centrum!$A$3:$CB$130,BD$132,0))</f>
        <v/>
      </c>
      <c r="BE96" s="318" t="str">
        <f ca="1">IF(OR(OR($A96="",TYPE(VLOOKUP($A96,Centrum!$D$3:$M$130,10,0))&gt;3),$A$1&lt;5),"",VLOOKUP(VLOOKUP($A96,Centrum!$D$3:$M$130,10,0),Centrum!$A$3:$CB$130,BE$132,0))</f>
        <v/>
      </c>
      <c r="BL96" s="318" t="str">
        <f ca="1">IF(OR(OR($A96="",TYPE(VLOOKUP($A96,Centrum!$D$3:$M$130,10,0))&gt;3),$A$1&lt;6),"",VLOOKUP(VLOOKUP($A96,Centrum!$D$3:$M$130,10,0),Centrum!$A$3:$CB$130,BL$132,0))</f>
        <v/>
      </c>
      <c r="BM96" s="318" t="str">
        <f ca="1">IF(OR(OR($A96="",TYPE(VLOOKUP($A96,Centrum!$D$3:$M$130,10,0))&gt;3),$A$1&lt;6),"",VLOOKUP(VLOOKUP($A96,Centrum!$D$3:$M$130,10,0),Centrum!$A$3:$CB$130,BM$132,0))</f>
        <v/>
      </c>
      <c r="BN96" s="318" t="str">
        <f ca="1">IF(OR(OR($A96="",TYPE(VLOOKUP($A96,Centrum!$D$3:$M$130,10,0))&gt;3),$A$1&lt;6),"",VLOOKUP(VLOOKUP($A96,Centrum!$D$3:$M$130,10,0),Centrum!$A$3:$CB$130,BN$132,0))</f>
        <v/>
      </c>
    </row>
    <row r="97" spans="1:66" x14ac:dyDescent="0.4">
      <c r="A97" s="318" t="str">
        <f ca="1">Centrum!A97</f>
        <v/>
      </c>
      <c r="B97" s="421" t="str">
        <f ca="1">IF(OR($A97="",TYPE(VLOOKUP($A97,Centrum!$D$3:$M$130,10,0))&gt;3),"",VLOOKUP(VLOOKUP(A97,Centrum!$D$3:$M$130,10,0),Centrum!$A$3:$CB$130,B$132,0))</f>
        <v/>
      </c>
      <c r="C97" s="318" t="str">
        <f ca="1">IF(OR($A97="",TYPE(VLOOKUP($A97,Centrum!$D$3:$M$130,10,0))&gt;3),"",VLOOKUP($A97,Centrum!$D$3:$M$130,10,0))</f>
        <v/>
      </c>
      <c r="E97" s="318" t="str">
        <f ca="1">IF(OR($A97="",TYPE(VLOOKUP($A97,Centrum!$D$3:$M$130,10,0))&gt;3),"",VLOOKUP(VLOOKUP($A97,Centrum!$D$3:$M$130,10,0),Centrum!$A$3:$CB$130,E$132,0))</f>
        <v/>
      </c>
      <c r="F97" s="318" t="str">
        <f ca="1">IF(OR($A97="",TYPE(VLOOKUP($A97,Centrum!$D$3:$M$130,10,0))&gt;3),"",VLOOKUP(VLOOKUP($A97,Centrum!$D$3:$M$130,10,0),Centrum!$A$3:$CB$130,F$132,0))</f>
        <v/>
      </c>
      <c r="G97" s="318" t="str">
        <f ca="1">IF(OR($A97="",TYPE(VLOOKUP($A97,Centrum!$D$3:$M$130,10,0))&gt;3),"",VLOOKUP(VLOOKUP($A97,Centrum!$D$3:$M$130,10,0),Centrum!$A$3:$CB$130,G$132,0))</f>
        <v/>
      </c>
      <c r="H97" s="318" t="str">
        <f ca="1">IF($A97="","",VLOOKUP(VLOOKUP($A97,Centrum!$D$3:$M$130,10,0),Centrum!$A$3:$CB$130,H$132,0))</f>
        <v/>
      </c>
      <c r="I97" s="318" t="str">
        <f ca="1">IF($A97="","",VLOOKUP(VLOOKUP($A97,Centrum!$D$3:$M$130,10,0),Centrum!$A$3:$CB$130,I$132,0))</f>
        <v/>
      </c>
      <c r="J97" s="318" t="str">
        <f ca="1">IF(OR($A97="",TYPE(VLOOKUP($A97,Centrum!$D$3:$M$130,10,0))&gt;3),"",VLOOKUP(VLOOKUP($A97,Centrum!$D$3:$M$130,10,0),Centrum!$A$3:$CB$130,J$132,0))</f>
        <v/>
      </c>
      <c r="L97" s="318" t="str">
        <f ca="1">IF(OR($A97="",TYPE(VLOOKUP($A97,Centrum!$D$3:$M$130,10,0))&gt;3),"",VLOOKUP(VLOOKUP($A97,Centrum!$D$3:$M$130,10,0),Centrum!$A$3:$CB$130,L$132,0))</f>
        <v/>
      </c>
      <c r="M97" s="318" t="str">
        <f ca="1">IF(OR($A97="",TYPE(VLOOKUP($A97,Centrum!$D$3:$M$130,10,0))&gt;3),"",VLOOKUP(VLOOKUP($A97,Centrum!$D$3:$M$130,10,0),Centrum!$A$3:$CB$130,M$132,0))</f>
        <v/>
      </c>
      <c r="N97" s="318" t="str">
        <f ca="1">IF(OR($A97="",TYPE(VLOOKUP($A97,Centrum!$D$3:$M$130,10,0))&gt;3),"",VLOOKUP(VLOOKUP($A97,Centrum!$D$3:$M$130,10,0),Centrum!$A$3:$CB$130,N$132,0))</f>
        <v/>
      </c>
      <c r="O97" s="318" t="str">
        <f ca="1">IF(OR($A97="",TYPE(VLOOKUP($A97,Centrum!$D$3:$M$130,10,0))&gt;3),"",VLOOKUP(VLOOKUP($A97,Centrum!$D$3:$M$130,10,0),Centrum!$A$3:$CB$130,O$132,0))</f>
        <v/>
      </c>
      <c r="P97" s="318" t="str">
        <f ca="1">IF(OR($A97="",TYPE(VLOOKUP($A97,Centrum!$D$3:$M$130,10,0))&gt;3),"",VLOOKUP(VLOOKUP($A97,Centrum!$D$3:$M$130,10,0),Centrum!$A$3:$CB$130,P$132,0))</f>
        <v/>
      </c>
      <c r="Q97" s="318" t="str">
        <f ca="1">IF(OR($A97="",TYPE(VLOOKUP($A97,Centrum!$D$3:$M$130,10,0))&gt;3),"",VLOOKUP(VLOOKUP($A97,Centrum!$D$3:$M$130,10,0),Centrum!$A$3:$CB$130,Q$132,0))</f>
        <v/>
      </c>
      <c r="S97" s="318" t="str">
        <f ca="1">IF(OR($A97="",TYPE(VLOOKUP($A97,Centrum!$D$3:$M$130,10,0))&gt;3),"",VLOOKUP(VLOOKUP($A97,Centrum!$D$3:$M$130,10,0),Centrum!$A$3:$CB$130,S$132,0))</f>
        <v/>
      </c>
      <c r="T97" s="318" t="str">
        <f ca="1">IF(OR($A97="",TYPE(VLOOKUP($A97,Centrum!$D$3:$M$130,10,0))&gt;3),"",VLOOKUP(VLOOKUP($A97,Centrum!$D$3:$M$130,10,0),Centrum!$A$3:$CB$130,T$132,0))</f>
        <v/>
      </c>
      <c r="U97" s="318" t="str">
        <f ca="1">IF(OR($A97="",TYPE(VLOOKUP($A97,Centrum!$D$3:$M$130,10,0))&gt;3),"",VLOOKUP(VLOOKUP($A97,Centrum!$D$3:$M$130,10,0),Centrum!$A$3:$CB$130,U$132,0))</f>
        <v/>
      </c>
      <c r="AB97" s="318" t="str">
        <f ca="1">IF(OR($A97="",TYPE(VLOOKUP($A97,Centrum!$D$3:$M$130,10,0))&gt;3),"",VLOOKUP(VLOOKUP($A97,Centrum!$D$3:$M$130,10,0),Centrum!$A$3:$CB$130,AB$132,0))</f>
        <v/>
      </c>
      <c r="AC97" s="318" t="str">
        <f ca="1">IF(OR($A97="",TYPE(VLOOKUP($A97,Centrum!$D$3:$M$130,10,0))&gt;3),"",VLOOKUP(VLOOKUP($A97,Centrum!$D$3:$M$130,10,0),Centrum!$A$3:$CB$130,AC$132,0))</f>
        <v/>
      </c>
      <c r="AD97" s="318" t="str">
        <f ca="1">IF(OR($A97="",TYPE(VLOOKUP($A97,Centrum!$D$3:$M$130,10,0))&gt;3),"",VLOOKUP(VLOOKUP($A97,Centrum!$D$3:$M$130,10,0),Centrum!$A$3:$CB$130,AD$132,0))</f>
        <v/>
      </c>
      <c r="AK97" s="318" t="str">
        <f ca="1">IF(OR($A97="",TYPE(VLOOKUP($A97,Centrum!$D$3:$M$130,10,0))&gt;3),"",VLOOKUP(VLOOKUP($A97,Centrum!$D$3:$M$130,10,0),Centrum!$A$3:$CB$130,AK$132,0))</f>
        <v/>
      </c>
      <c r="AL97" s="318" t="str">
        <f ca="1">IF(OR($A97="",TYPE(VLOOKUP($A97,Centrum!$D$3:$M$130,10,0))&gt;3),"",VLOOKUP(VLOOKUP($A97,Centrum!$D$3:$M$130,10,0),Centrum!$A$3:$CB$130,AL$132,0))</f>
        <v/>
      </c>
      <c r="AM97" s="318" t="str">
        <f ca="1">IF(OR($A97="",TYPE(VLOOKUP($A97,Centrum!$D$3:$M$130,10,0))&gt;3),"",VLOOKUP(VLOOKUP($A97,Centrum!$D$3:$M$130,10,0),Centrum!$A$3:$CB$130,AM$132,0))</f>
        <v/>
      </c>
      <c r="AT97" s="318" t="str">
        <f ca="1">IF(OR(OR($A97="",TYPE(VLOOKUP($A97,Centrum!$D$3:$M$130,10,0))&gt;3),$A$1&lt;4),"",VLOOKUP(VLOOKUP($A97,Centrum!$D$3:$M$130,10,0),Centrum!$A$3:$CB$130,AT$132,0))</f>
        <v/>
      </c>
      <c r="AU97" s="318" t="str">
        <f ca="1">IF(OR(OR($A97="",TYPE(VLOOKUP($A97,Centrum!$D$3:$M$130,10,0))&gt;3),$A$1&lt;4),"",VLOOKUP(VLOOKUP($A97,Centrum!$D$3:$M$130,10,0),Centrum!$A$3:$CB$130,AU$132,0))</f>
        <v/>
      </c>
      <c r="AV97" s="318" t="str">
        <f ca="1">IF(OR(OR($A97="",TYPE(VLOOKUP($A97,Centrum!$D$3:$M$130,10,0))&gt;3),$A$1&lt;4),"",VLOOKUP(VLOOKUP($A97,Centrum!$D$3:$M$130,10,0),Centrum!$A$3:$CB$130,AV$132,0))</f>
        <v/>
      </c>
      <c r="BC97" s="318" t="str">
        <f ca="1">IF(OR(OR($A97="",TYPE(VLOOKUP($A97,Centrum!$D$3:$M$130,10,0))&gt;3),$A$1&lt;5),"",VLOOKUP(VLOOKUP($A97,Centrum!$D$3:$M$130,10,0),Centrum!$A$3:$CB$130,BC$132,0))</f>
        <v/>
      </c>
      <c r="BD97" s="318" t="str">
        <f ca="1">IF(OR(OR($A97="",TYPE(VLOOKUP($A97,Centrum!$D$3:$M$130,10,0))&gt;3),$A$1&lt;5),"",VLOOKUP(VLOOKUP($A97,Centrum!$D$3:$M$130,10,0),Centrum!$A$3:$CB$130,BD$132,0))</f>
        <v/>
      </c>
      <c r="BE97" s="318" t="str">
        <f ca="1">IF(OR(OR($A97="",TYPE(VLOOKUP($A97,Centrum!$D$3:$M$130,10,0))&gt;3),$A$1&lt;5),"",VLOOKUP(VLOOKUP($A97,Centrum!$D$3:$M$130,10,0),Centrum!$A$3:$CB$130,BE$132,0))</f>
        <v/>
      </c>
      <c r="BL97" s="318" t="str">
        <f ca="1">IF(OR(OR($A97="",TYPE(VLOOKUP($A97,Centrum!$D$3:$M$130,10,0))&gt;3),$A$1&lt;6),"",VLOOKUP(VLOOKUP($A97,Centrum!$D$3:$M$130,10,0),Centrum!$A$3:$CB$130,BL$132,0))</f>
        <v/>
      </c>
      <c r="BM97" s="318" t="str">
        <f ca="1">IF(OR(OR($A97="",TYPE(VLOOKUP($A97,Centrum!$D$3:$M$130,10,0))&gt;3),$A$1&lt;6),"",VLOOKUP(VLOOKUP($A97,Centrum!$D$3:$M$130,10,0),Centrum!$A$3:$CB$130,BM$132,0))</f>
        <v/>
      </c>
      <c r="BN97" s="318" t="str">
        <f ca="1">IF(OR(OR($A97="",TYPE(VLOOKUP($A97,Centrum!$D$3:$M$130,10,0))&gt;3),$A$1&lt;6),"",VLOOKUP(VLOOKUP($A97,Centrum!$D$3:$M$130,10,0),Centrum!$A$3:$CB$130,BN$132,0))</f>
        <v/>
      </c>
    </row>
    <row r="98" spans="1:66" x14ac:dyDescent="0.4">
      <c r="A98" s="318" t="str">
        <f ca="1">Centrum!A98</f>
        <v/>
      </c>
      <c r="B98" s="421" t="str">
        <f ca="1">IF(OR($A98="",TYPE(VLOOKUP($A98,Centrum!$D$3:$M$130,10,0))&gt;3),"",VLOOKUP(VLOOKUP(A98,Centrum!$D$3:$M$130,10,0),Centrum!$A$3:$CB$130,B$132,0))</f>
        <v/>
      </c>
      <c r="C98" s="318" t="str">
        <f ca="1">IF(OR($A98="",TYPE(VLOOKUP($A98,Centrum!$D$3:$M$130,10,0))&gt;3),"",VLOOKUP($A98,Centrum!$D$3:$M$130,10,0))</f>
        <v/>
      </c>
      <c r="E98" s="318" t="str">
        <f ca="1">IF(OR($A98="",TYPE(VLOOKUP($A98,Centrum!$D$3:$M$130,10,0))&gt;3),"",VLOOKUP(VLOOKUP($A98,Centrum!$D$3:$M$130,10,0),Centrum!$A$3:$CB$130,E$132,0))</f>
        <v/>
      </c>
      <c r="F98" s="318" t="str">
        <f ca="1">IF(OR($A98="",TYPE(VLOOKUP($A98,Centrum!$D$3:$M$130,10,0))&gt;3),"",VLOOKUP(VLOOKUP($A98,Centrum!$D$3:$M$130,10,0),Centrum!$A$3:$CB$130,F$132,0))</f>
        <v/>
      </c>
      <c r="G98" s="318" t="str">
        <f ca="1">IF(OR($A98="",TYPE(VLOOKUP($A98,Centrum!$D$3:$M$130,10,0))&gt;3),"",VLOOKUP(VLOOKUP($A98,Centrum!$D$3:$M$130,10,0),Centrum!$A$3:$CB$130,G$132,0))</f>
        <v/>
      </c>
      <c r="H98" s="318" t="str">
        <f ca="1">IF($A98="","",VLOOKUP(VLOOKUP($A98,Centrum!$D$3:$M$130,10,0),Centrum!$A$3:$CB$130,H$132,0))</f>
        <v/>
      </c>
      <c r="I98" s="318" t="str">
        <f ca="1">IF($A98="","",VLOOKUP(VLOOKUP($A98,Centrum!$D$3:$M$130,10,0),Centrum!$A$3:$CB$130,I$132,0))</f>
        <v/>
      </c>
      <c r="J98" s="318" t="str">
        <f ca="1">IF(OR($A98="",TYPE(VLOOKUP($A98,Centrum!$D$3:$M$130,10,0))&gt;3),"",VLOOKUP(VLOOKUP($A98,Centrum!$D$3:$M$130,10,0),Centrum!$A$3:$CB$130,J$132,0))</f>
        <v/>
      </c>
      <c r="L98" s="318" t="str">
        <f ca="1">IF(OR($A98="",TYPE(VLOOKUP($A98,Centrum!$D$3:$M$130,10,0))&gt;3),"",VLOOKUP(VLOOKUP($A98,Centrum!$D$3:$M$130,10,0),Centrum!$A$3:$CB$130,L$132,0))</f>
        <v/>
      </c>
      <c r="M98" s="318" t="str">
        <f ca="1">IF(OR($A98="",TYPE(VLOOKUP($A98,Centrum!$D$3:$M$130,10,0))&gt;3),"",VLOOKUP(VLOOKUP($A98,Centrum!$D$3:$M$130,10,0),Centrum!$A$3:$CB$130,M$132,0))</f>
        <v/>
      </c>
      <c r="N98" s="318" t="str">
        <f ca="1">IF(OR($A98="",TYPE(VLOOKUP($A98,Centrum!$D$3:$M$130,10,0))&gt;3),"",VLOOKUP(VLOOKUP($A98,Centrum!$D$3:$M$130,10,0),Centrum!$A$3:$CB$130,N$132,0))</f>
        <v/>
      </c>
      <c r="O98" s="318" t="str">
        <f ca="1">IF(OR($A98="",TYPE(VLOOKUP($A98,Centrum!$D$3:$M$130,10,0))&gt;3),"",VLOOKUP(VLOOKUP($A98,Centrum!$D$3:$M$130,10,0),Centrum!$A$3:$CB$130,O$132,0))</f>
        <v/>
      </c>
      <c r="P98" s="318" t="str">
        <f ca="1">IF(OR($A98="",TYPE(VLOOKUP($A98,Centrum!$D$3:$M$130,10,0))&gt;3),"",VLOOKUP(VLOOKUP($A98,Centrum!$D$3:$M$130,10,0),Centrum!$A$3:$CB$130,P$132,0))</f>
        <v/>
      </c>
      <c r="Q98" s="318" t="str">
        <f ca="1">IF(OR($A98="",TYPE(VLOOKUP($A98,Centrum!$D$3:$M$130,10,0))&gt;3),"",VLOOKUP(VLOOKUP($A98,Centrum!$D$3:$M$130,10,0),Centrum!$A$3:$CB$130,Q$132,0))</f>
        <v/>
      </c>
      <c r="S98" s="318" t="str">
        <f ca="1">IF(OR($A98="",TYPE(VLOOKUP($A98,Centrum!$D$3:$M$130,10,0))&gt;3),"",VLOOKUP(VLOOKUP($A98,Centrum!$D$3:$M$130,10,0),Centrum!$A$3:$CB$130,S$132,0))</f>
        <v/>
      </c>
      <c r="T98" s="318" t="str">
        <f ca="1">IF(OR($A98="",TYPE(VLOOKUP($A98,Centrum!$D$3:$M$130,10,0))&gt;3),"",VLOOKUP(VLOOKUP($A98,Centrum!$D$3:$M$130,10,0),Centrum!$A$3:$CB$130,T$132,0))</f>
        <v/>
      </c>
      <c r="U98" s="318" t="str">
        <f ca="1">IF(OR($A98="",TYPE(VLOOKUP($A98,Centrum!$D$3:$M$130,10,0))&gt;3),"",VLOOKUP(VLOOKUP($A98,Centrum!$D$3:$M$130,10,0),Centrum!$A$3:$CB$130,U$132,0))</f>
        <v/>
      </c>
      <c r="AB98" s="318" t="str">
        <f ca="1">IF(OR($A98="",TYPE(VLOOKUP($A98,Centrum!$D$3:$M$130,10,0))&gt;3),"",VLOOKUP(VLOOKUP($A98,Centrum!$D$3:$M$130,10,0),Centrum!$A$3:$CB$130,AB$132,0))</f>
        <v/>
      </c>
      <c r="AC98" s="318" t="str">
        <f ca="1">IF(OR($A98="",TYPE(VLOOKUP($A98,Centrum!$D$3:$M$130,10,0))&gt;3),"",VLOOKUP(VLOOKUP($A98,Centrum!$D$3:$M$130,10,0),Centrum!$A$3:$CB$130,AC$132,0))</f>
        <v/>
      </c>
      <c r="AD98" s="318" t="str">
        <f ca="1">IF(OR($A98="",TYPE(VLOOKUP($A98,Centrum!$D$3:$M$130,10,0))&gt;3),"",VLOOKUP(VLOOKUP($A98,Centrum!$D$3:$M$130,10,0),Centrum!$A$3:$CB$130,AD$132,0))</f>
        <v/>
      </c>
      <c r="AK98" s="318" t="str">
        <f ca="1">IF(OR($A98="",TYPE(VLOOKUP($A98,Centrum!$D$3:$M$130,10,0))&gt;3),"",VLOOKUP(VLOOKUP($A98,Centrum!$D$3:$M$130,10,0),Centrum!$A$3:$CB$130,AK$132,0))</f>
        <v/>
      </c>
      <c r="AL98" s="318" t="str">
        <f ca="1">IF(OR($A98="",TYPE(VLOOKUP($A98,Centrum!$D$3:$M$130,10,0))&gt;3),"",VLOOKUP(VLOOKUP($A98,Centrum!$D$3:$M$130,10,0),Centrum!$A$3:$CB$130,AL$132,0))</f>
        <v/>
      </c>
      <c r="AM98" s="318" t="str">
        <f ca="1">IF(OR($A98="",TYPE(VLOOKUP($A98,Centrum!$D$3:$M$130,10,0))&gt;3),"",VLOOKUP(VLOOKUP($A98,Centrum!$D$3:$M$130,10,0),Centrum!$A$3:$CB$130,AM$132,0))</f>
        <v/>
      </c>
      <c r="AT98" s="318" t="str">
        <f ca="1">IF(OR(OR($A98="",TYPE(VLOOKUP($A98,Centrum!$D$3:$M$130,10,0))&gt;3),$A$1&lt;4),"",VLOOKUP(VLOOKUP($A98,Centrum!$D$3:$M$130,10,0),Centrum!$A$3:$CB$130,AT$132,0))</f>
        <v/>
      </c>
      <c r="AU98" s="318" t="str">
        <f ca="1">IF(OR(OR($A98="",TYPE(VLOOKUP($A98,Centrum!$D$3:$M$130,10,0))&gt;3),$A$1&lt;4),"",VLOOKUP(VLOOKUP($A98,Centrum!$D$3:$M$130,10,0),Centrum!$A$3:$CB$130,AU$132,0))</f>
        <v/>
      </c>
      <c r="AV98" s="318" t="str">
        <f ca="1">IF(OR(OR($A98="",TYPE(VLOOKUP($A98,Centrum!$D$3:$M$130,10,0))&gt;3),$A$1&lt;4),"",VLOOKUP(VLOOKUP($A98,Centrum!$D$3:$M$130,10,0),Centrum!$A$3:$CB$130,AV$132,0))</f>
        <v/>
      </c>
      <c r="BC98" s="318" t="str">
        <f ca="1">IF(OR(OR($A98="",TYPE(VLOOKUP($A98,Centrum!$D$3:$M$130,10,0))&gt;3),$A$1&lt;5),"",VLOOKUP(VLOOKUP($A98,Centrum!$D$3:$M$130,10,0),Centrum!$A$3:$CB$130,BC$132,0))</f>
        <v/>
      </c>
      <c r="BD98" s="318" t="str">
        <f ca="1">IF(OR(OR($A98="",TYPE(VLOOKUP($A98,Centrum!$D$3:$M$130,10,0))&gt;3),$A$1&lt;5),"",VLOOKUP(VLOOKUP($A98,Centrum!$D$3:$M$130,10,0),Centrum!$A$3:$CB$130,BD$132,0))</f>
        <v/>
      </c>
      <c r="BE98" s="318" t="str">
        <f ca="1">IF(OR(OR($A98="",TYPE(VLOOKUP($A98,Centrum!$D$3:$M$130,10,0))&gt;3),$A$1&lt;5),"",VLOOKUP(VLOOKUP($A98,Centrum!$D$3:$M$130,10,0),Centrum!$A$3:$CB$130,BE$132,0))</f>
        <v/>
      </c>
      <c r="BL98" s="318" t="str">
        <f ca="1">IF(OR(OR($A98="",TYPE(VLOOKUP($A98,Centrum!$D$3:$M$130,10,0))&gt;3),$A$1&lt;6),"",VLOOKUP(VLOOKUP($A98,Centrum!$D$3:$M$130,10,0),Centrum!$A$3:$CB$130,BL$132,0))</f>
        <v/>
      </c>
      <c r="BM98" s="318" t="str">
        <f ca="1">IF(OR(OR($A98="",TYPE(VLOOKUP($A98,Centrum!$D$3:$M$130,10,0))&gt;3),$A$1&lt;6),"",VLOOKUP(VLOOKUP($A98,Centrum!$D$3:$M$130,10,0),Centrum!$A$3:$CB$130,BM$132,0))</f>
        <v/>
      </c>
      <c r="BN98" s="318" t="str">
        <f ca="1">IF(OR(OR($A98="",TYPE(VLOOKUP($A98,Centrum!$D$3:$M$130,10,0))&gt;3),$A$1&lt;6),"",VLOOKUP(VLOOKUP($A98,Centrum!$D$3:$M$130,10,0),Centrum!$A$3:$CB$130,BN$132,0))</f>
        <v/>
      </c>
    </row>
    <row r="99" spans="1:66" x14ac:dyDescent="0.4">
      <c r="A99" s="318" t="str">
        <f ca="1">Centrum!A99</f>
        <v/>
      </c>
      <c r="B99" s="421" t="str">
        <f ca="1">IF(OR($A99="",TYPE(VLOOKUP($A99,Centrum!$D$3:$M$130,10,0))&gt;3),"",VLOOKUP(VLOOKUP(A99,Centrum!$D$3:$M$130,10,0),Centrum!$A$3:$CB$130,B$132,0))</f>
        <v/>
      </c>
      <c r="C99" s="318" t="str">
        <f ca="1">IF(OR($A99="",TYPE(VLOOKUP($A99,Centrum!$D$3:$M$130,10,0))&gt;3),"",VLOOKUP($A99,Centrum!$D$3:$M$130,10,0))</f>
        <v/>
      </c>
      <c r="E99" s="318" t="str">
        <f ca="1">IF(OR($A99="",TYPE(VLOOKUP($A99,Centrum!$D$3:$M$130,10,0))&gt;3),"",VLOOKUP(VLOOKUP($A99,Centrum!$D$3:$M$130,10,0),Centrum!$A$3:$CB$130,E$132,0))</f>
        <v/>
      </c>
      <c r="F99" s="318" t="str">
        <f ca="1">IF(OR($A99="",TYPE(VLOOKUP($A99,Centrum!$D$3:$M$130,10,0))&gt;3),"",VLOOKUP(VLOOKUP($A99,Centrum!$D$3:$M$130,10,0),Centrum!$A$3:$CB$130,F$132,0))</f>
        <v/>
      </c>
      <c r="G99" s="318" t="str">
        <f ca="1">IF(OR($A99="",TYPE(VLOOKUP($A99,Centrum!$D$3:$M$130,10,0))&gt;3),"",VLOOKUP(VLOOKUP($A99,Centrum!$D$3:$M$130,10,0),Centrum!$A$3:$CB$130,G$132,0))</f>
        <v/>
      </c>
      <c r="H99" s="318" t="str">
        <f ca="1">IF($A99="","",VLOOKUP(VLOOKUP($A99,Centrum!$D$3:$M$130,10,0),Centrum!$A$3:$CB$130,H$132,0))</f>
        <v/>
      </c>
      <c r="I99" s="318" t="str">
        <f ca="1">IF($A99="","",VLOOKUP(VLOOKUP($A99,Centrum!$D$3:$M$130,10,0),Centrum!$A$3:$CB$130,I$132,0))</f>
        <v/>
      </c>
      <c r="J99" s="318" t="str">
        <f ca="1">IF(OR($A99="",TYPE(VLOOKUP($A99,Centrum!$D$3:$M$130,10,0))&gt;3),"",VLOOKUP(VLOOKUP($A99,Centrum!$D$3:$M$130,10,0),Centrum!$A$3:$CB$130,J$132,0))</f>
        <v/>
      </c>
      <c r="L99" s="318" t="str">
        <f ca="1">IF(OR($A99="",TYPE(VLOOKUP($A99,Centrum!$D$3:$M$130,10,0))&gt;3),"",VLOOKUP(VLOOKUP($A99,Centrum!$D$3:$M$130,10,0),Centrum!$A$3:$CB$130,L$132,0))</f>
        <v/>
      </c>
      <c r="M99" s="318" t="str">
        <f ca="1">IF(OR($A99="",TYPE(VLOOKUP($A99,Centrum!$D$3:$M$130,10,0))&gt;3),"",VLOOKUP(VLOOKUP($A99,Centrum!$D$3:$M$130,10,0),Centrum!$A$3:$CB$130,M$132,0))</f>
        <v/>
      </c>
      <c r="N99" s="318" t="str">
        <f ca="1">IF(OR($A99="",TYPE(VLOOKUP($A99,Centrum!$D$3:$M$130,10,0))&gt;3),"",VLOOKUP(VLOOKUP($A99,Centrum!$D$3:$M$130,10,0),Centrum!$A$3:$CB$130,N$132,0))</f>
        <v/>
      </c>
      <c r="O99" s="318" t="str">
        <f ca="1">IF(OR($A99="",TYPE(VLOOKUP($A99,Centrum!$D$3:$M$130,10,0))&gt;3),"",VLOOKUP(VLOOKUP($A99,Centrum!$D$3:$M$130,10,0),Centrum!$A$3:$CB$130,O$132,0))</f>
        <v/>
      </c>
      <c r="P99" s="318" t="str">
        <f ca="1">IF(OR($A99="",TYPE(VLOOKUP($A99,Centrum!$D$3:$M$130,10,0))&gt;3),"",VLOOKUP(VLOOKUP($A99,Centrum!$D$3:$M$130,10,0),Centrum!$A$3:$CB$130,P$132,0))</f>
        <v/>
      </c>
      <c r="Q99" s="318" t="str">
        <f ca="1">IF(OR($A99="",TYPE(VLOOKUP($A99,Centrum!$D$3:$M$130,10,0))&gt;3),"",VLOOKUP(VLOOKUP($A99,Centrum!$D$3:$M$130,10,0),Centrum!$A$3:$CB$130,Q$132,0))</f>
        <v/>
      </c>
      <c r="S99" s="318" t="str">
        <f ca="1">IF(OR($A99="",TYPE(VLOOKUP($A99,Centrum!$D$3:$M$130,10,0))&gt;3),"",VLOOKUP(VLOOKUP($A99,Centrum!$D$3:$M$130,10,0),Centrum!$A$3:$CB$130,S$132,0))</f>
        <v/>
      </c>
      <c r="T99" s="318" t="str">
        <f ca="1">IF(OR($A99="",TYPE(VLOOKUP($A99,Centrum!$D$3:$M$130,10,0))&gt;3),"",VLOOKUP(VLOOKUP($A99,Centrum!$D$3:$M$130,10,0),Centrum!$A$3:$CB$130,T$132,0))</f>
        <v/>
      </c>
      <c r="U99" s="318" t="str">
        <f ca="1">IF(OR($A99="",TYPE(VLOOKUP($A99,Centrum!$D$3:$M$130,10,0))&gt;3),"",VLOOKUP(VLOOKUP($A99,Centrum!$D$3:$M$130,10,0),Centrum!$A$3:$CB$130,U$132,0))</f>
        <v/>
      </c>
      <c r="AB99" s="318" t="str">
        <f ca="1">IF(OR($A99="",TYPE(VLOOKUP($A99,Centrum!$D$3:$M$130,10,0))&gt;3),"",VLOOKUP(VLOOKUP($A99,Centrum!$D$3:$M$130,10,0),Centrum!$A$3:$CB$130,AB$132,0))</f>
        <v/>
      </c>
      <c r="AC99" s="318" t="str">
        <f ca="1">IF(OR($A99="",TYPE(VLOOKUP($A99,Centrum!$D$3:$M$130,10,0))&gt;3),"",VLOOKUP(VLOOKUP($A99,Centrum!$D$3:$M$130,10,0),Centrum!$A$3:$CB$130,AC$132,0))</f>
        <v/>
      </c>
      <c r="AD99" s="318" t="str">
        <f ca="1">IF(OR($A99="",TYPE(VLOOKUP($A99,Centrum!$D$3:$M$130,10,0))&gt;3),"",VLOOKUP(VLOOKUP($A99,Centrum!$D$3:$M$130,10,0),Centrum!$A$3:$CB$130,AD$132,0))</f>
        <v/>
      </c>
      <c r="AK99" s="318" t="str">
        <f ca="1">IF(OR($A99="",TYPE(VLOOKUP($A99,Centrum!$D$3:$M$130,10,0))&gt;3),"",VLOOKUP(VLOOKUP($A99,Centrum!$D$3:$M$130,10,0),Centrum!$A$3:$CB$130,AK$132,0))</f>
        <v/>
      </c>
      <c r="AL99" s="318" t="str">
        <f ca="1">IF(OR($A99="",TYPE(VLOOKUP($A99,Centrum!$D$3:$M$130,10,0))&gt;3),"",VLOOKUP(VLOOKUP($A99,Centrum!$D$3:$M$130,10,0),Centrum!$A$3:$CB$130,AL$132,0))</f>
        <v/>
      </c>
      <c r="AM99" s="318" t="str">
        <f ca="1">IF(OR($A99="",TYPE(VLOOKUP($A99,Centrum!$D$3:$M$130,10,0))&gt;3),"",VLOOKUP(VLOOKUP($A99,Centrum!$D$3:$M$130,10,0),Centrum!$A$3:$CB$130,AM$132,0))</f>
        <v/>
      </c>
      <c r="AT99" s="318" t="str">
        <f ca="1">IF(OR(OR($A99="",TYPE(VLOOKUP($A99,Centrum!$D$3:$M$130,10,0))&gt;3),$A$1&lt;4),"",VLOOKUP(VLOOKUP($A99,Centrum!$D$3:$M$130,10,0),Centrum!$A$3:$CB$130,AT$132,0))</f>
        <v/>
      </c>
      <c r="AU99" s="318" t="str">
        <f ca="1">IF(OR(OR($A99="",TYPE(VLOOKUP($A99,Centrum!$D$3:$M$130,10,0))&gt;3),$A$1&lt;4),"",VLOOKUP(VLOOKUP($A99,Centrum!$D$3:$M$130,10,0),Centrum!$A$3:$CB$130,AU$132,0))</f>
        <v/>
      </c>
      <c r="AV99" s="318" t="str">
        <f ca="1">IF(OR(OR($A99="",TYPE(VLOOKUP($A99,Centrum!$D$3:$M$130,10,0))&gt;3),$A$1&lt;4),"",VLOOKUP(VLOOKUP($A99,Centrum!$D$3:$M$130,10,0),Centrum!$A$3:$CB$130,AV$132,0))</f>
        <v/>
      </c>
      <c r="BC99" s="318" t="str">
        <f ca="1">IF(OR(OR($A99="",TYPE(VLOOKUP($A99,Centrum!$D$3:$M$130,10,0))&gt;3),$A$1&lt;5),"",VLOOKUP(VLOOKUP($A99,Centrum!$D$3:$M$130,10,0),Centrum!$A$3:$CB$130,BC$132,0))</f>
        <v/>
      </c>
      <c r="BD99" s="318" t="str">
        <f ca="1">IF(OR(OR($A99="",TYPE(VLOOKUP($A99,Centrum!$D$3:$M$130,10,0))&gt;3),$A$1&lt;5),"",VLOOKUP(VLOOKUP($A99,Centrum!$D$3:$M$130,10,0),Centrum!$A$3:$CB$130,BD$132,0))</f>
        <v/>
      </c>
      <c r="BE99" s="318" t="str">
        <f ca="1">IF(OR(OR($A99="",TYPE(VLOOKUP($A99,Centrum!$D$3:$M$130,10,0))&gt;3),$A$1&lt;5),"",VLOOKUP(VLOOKUP($A99,Centrum!$D$3:$M$130,10,0),Centrum!$A$3:$CB$130,BE$132,0))</f>
        <v/>
      </c>
      <c r="BL99" s="318" t="str">
        <f ca="1">IF(OR(OR($A99="",TYPE(VLOOKUP($A99,Centrum!$D$3:$M$130,10,0))&gt;3),$A$1&lt;6),"",VLOOKUP(VLOOKUP($A99,Centrum!$D$3:$M$130,10,0),Centrum!$A$3:$CB$130,BL$132,0))</f>
        <v/>
      </c>
      <c r="BM99" s="318" t="str">
        <f ca="1">IF(OR(OR($A99="",TYPE(VLOOKUP($A99,Centrum!$D$3:$M$130,10,0))&gt;3),$A$1&lt;6),"",VLOOKUP(VLOOKUP($A99,Centrum!$D$3:$M$130,10,0),Centrum!$A$3:$CB$130,BM$132,0))</f>
        <v/>
      </c>
      <c r="BN99" s="318" t="str">
        <f ca="1">IF(OR(OR($A99="",TYPE(VLOOKUP($A99,Centrum!$D$3:$M$130,10,0))&gt;3),$A$1&lt;6),"",VLOOKUP(VLOOKUP($A99,Centrum!$D$3:$M$130,10,0),Centrum!$A$3:$CB$130,BN$132,0))</f>
        <v/>
      </c>
    </row>
    <row r="100" spans="1:66" x14ac:dyDescent="0.4">
      <c r="A100" s="318" t="str">
        <f ca="1">Centrum!A100</f>
        <v/>
      </c>
      <c r="B100" s="421" t="str">
        <f ca="1">IF(OR($A100="",TYPE(VLOOKUP($A100,Centrum!$D$3:$M$130,10,0))&gt;3),"",VLOOKUP(VLOOKUP(A100,Centrum!$D$3:$M$130,10,0),Centrum!$A$3:$CB$130,B$132,0))</f>
        <v/>
      </c>
      <c r="C100" s="318" t="str">
        <f ca="1">IF(OR($A100="",TYPE(VLOOKUP($A100,Centrum!$D$3:$M$130,10,0))&gt;3),"",VLOOKUP($A100,Centrum!$D$3:$M$130,10,0))</f>
        <v/>
      </c>
      <c r="E100" s="318" t="str">
        <f ca="1">IF(OR($A100="",TYPE(VLOOKUP($A100,Centrum!$D$3:$M$130,10,0))&gt;3),"",VLOOKUP(VLOOKUP($A100,Centrum!$D$3:$M$130,10,0),Centrum!$A$3:$CB$130,E$132,0))</f>
        <v/>
      </c>
      <c r="F100" s="318" t="str">
        <f ca="1">IF(OR($A100="",TYPE(VLOOKUP($A100,Centrum!$D$3:$M$130,10,0))&gt;3),"",VLOOKUP(VLOOKUP($A100,Centrum!$D$3:$M$130,10,0),Centrum!$A$3:$CB$130,F$132,0))</f>
        <v/>
      </c>
      <c r="G100" s="318" t="str">
        <f ca="1">IF(OR($A100="",TYPE(VLOOKUP($A100,Centrum!$D$3:$M$130,10,0))&gt;3),"",VLOOKUP(VLOOKUP($A100,Centrum!$D$3:$M$130,10,0),Centrum!$A$3:$CB$130,G$132,0))</f>
        <v/>
      </c>
      <c r="H100" s="318" t="str">
        <f ca="1">IF($A100="","",VLOOKUP(VLOOKUP($A100,Centrum!$D$3:$M$130,10,0),Centrum!$A$3:$CB$130,H$132,0))</f>
        <v/>
      </c>
      <c r="I100" s="318" t="str">
        <f ca="1">IF($A100="","",VLOOKUP(VLOOKUP($A100,Centrum!$D$3:$M$130,10,0),Centrum!$A$3:$CB$130,I$132,0))</f>
        <v/>
      </c>
      <c r="J100" s="318" t="str">
        <f ca="1">IF(OR($A100="",TYPE(VLOOKUP($A100,Centrum!$D$3:$M$130,10,0))&gt;3),"",VLOOKUP(VLOOKUP($A100,Centrum!$D$3:$M$130,10,0),Centrum!$A$3:$CB$130,J$132,0))</f>
        <v/>
      </c>
      <c r="L100" s="318" t="str">
        <f ca="1">IF(OR($A100="",TYPE(VLOOKUP($A100,Centrum!$D$3:$M$130,10,0))&gt;3),"",VLOOKUP(VLOOKUP($A100,Centrum!$D$3:$M$130,10,0),Centrum!$A$3:$CB$130,L$132,0))</f>
        <v/>
      </c>
      <c r="M100" s="318" t="str">
        <f ca="1">IF(OR($A100="",TYPE(VLOOKUP($A100,Centrum!$D$3:$M$130,10,0))&gt;3),"",VLOOKUP(VLOOKUP($A100,Centrum!$D$3:$M$130,10,0),Centrum!$A$3:$CB$130,M$132,0))</f>
        <v/>
      </c>
      <c r="N100" s="318" t="str">
        <f ca="1">IF(OR($A100="",TYPE(VLOOKUP($A100,Centrum!$D$3:$M$130,10,0))&gt;3),"",VLOOKUP(VLOOKUP($A100,Centrum!$D$3:$M$130,10,0),Centrum!$A$3:$CB$130,N$132,0))</f>
        <v/>
      </c>
      <c r="O100" s="318" t="str">
        <f ca="1">IF(OR($A100="",TYPE(VLOOKUP($A100,Centrum!$D$3:$M$130,10,0))&gt;3),"",VLOOKUP(VLOOKUP($A100,Centrum!$D$3:$M$130,10,0),Centrum!$A$3:$CB$130,O$132,0))</f>
        <v/>
      </c>
      <c r="P100" s="318" t="str">
        <f ca="1">IF(OR($A100="",TYPE(VLOOKUP($A100,Centrum!$D$3:$M$130,10,0))&gt;3),"",VLOOKUP(VLOOKUP($A100,Centrum!$D$3:$M$130,10,0),Centrum!$A$3:$CB$130,P$132,0))</f>
        <v/>
      </c>
      <c r="Q100" s="318" t="str">
        <f ca="1">IF(OR($A100="",TYPE(VLOOKUP($A100,Centrum!$D$3:$M$130,10,0))&gt;3),"",VLOOKUP(VLOOKUP($A100,Centrum!$D$3:$M$130,10,0),Centrum!$A$3:$CB$130,Q$132,0))</f>
        <v/>
      </c>
      <c r="S100" s="318" t="str">
        <f ca="1">IF(OR($A100="",TYPE(VLOOKUP($A100,Centrum!$D$3:$M$130,10,0))&gt;3),"",VLOOKUP(VLOOKUP($A100,Centrum!$D$3:$M$130,10,0),Centrum!$A$3:$CB$130,S$132,0))</f>
        <v/>
      </c>
      <c r="T100" s="318" t="str">
        <f ca="1">IF(OR($A100="",TYPE(VLOOKUP($A100,Centrum!$D$3:$M$130,10,0))&gt;3),"",VLOOKUP(VLOOKUP($A100,Centrum!$D$3:$M$130,10,0),Centrum!$A$3:$CB$130,T$132,0))</f>
        <v/>
      </c>
      <c r="U100" s="318" t="str">
        <f ca="1">IF(OR($A100="",TYPE(VLOOKUP($A100,Centrum!$D$3:$M$130,10,0))&gt;3),"",VLOOKUP(VLOOKUP($A100,Centrum!$D$3:$M$130,10,0),Centrum!$A$3:$CB$130,U$132,0))</f>
        <v/>
      </c>
      <c r="AB100" s="318" t="str">
        <f ca="1">IF(OR($A100="",TYPE(VLOOKUP($A100,Centrum!$D$3:$M$130,10,0))&gt;3),"",VLOOKUP(VLOOKUP($A100,Centrum!$D$3:$M$130,10,0),Centrum!$A$3:$CB$130,AB$132,0))</f>
        <v/>
      </c>
      <c r="AC100" s="318" t="str">
        <f ca="1">IF(OR($A100="",TYPE(VLOOKUP($A100,Centrum!$D$3:$M$130,10,0))&gt;3),"",VLOOKUP(VLOOKUP($A100,Centrum!$D$3:$M$130,10,0),Centrum!$A$3:$CB$130,AC$132,0))</f>
        <v/>
      </c>
      <c r="AD100" s="318" t="str">
        <f ca="1">IF(OR($A100="",TYPE(VLOOKUP($A100,Centrum!$D$3:$M$130,10,0))&gt;3),"",VLOOKUP(VLOOKUP($A100,Centrum!$D$3:$M$130,10,0),Centrum!$A$3:$CB$130,AD$132,0))</f>
        <v/>
      </c>
      <c r="AK100" s="318" t="str">
        <f ca="1">IF(OR($A100="",TYPE(VLOOKUP($A100,Centrum!$D$3:$M$130,10,0))&gt;3),"",VLOOKUP(VLOOKUP($A100,Centrum!$D$3:$M$130,10,0),Centrum!$A$3:$CB$130,AK$132,0))</f>
        <v/>
      </c>
      <c r="AL100" s="318" t="str">
        <f ca="1">IF(OR($A100="",TYPE(VLOOKUP($A100,Centrum!$D$3:$M$130,10,0))&gt;3),"",VLOOKUP(VLOOKUP($A100,Centrum!$D$3:$M$130,10,0),Centrum!$A$3:$CB$130,AL$132,0))</f>
        <v/>
      </c>
      <c r="AM100" s="318" t="str">
        <f ca="1">IF(OR($A100="",TYPE(VLOOKUP($A100,Centrum!$D$3:$M$130,10,0))&gt;3),"",VLOOKUP(VLOOKUP($A100,Centrum!$D$3:$M$130,10,0),Centrum!$A$3:$CB$130,AM$132,0))</f>
        <v/>
      </c>
      <c r="AT100" s="318" t="str">
        <f ca="1">IF(OR(OR($A100="",TYPE(VLOOKUP($A100,Centrum!$D$3:$M$130,10,0))&gt;3),$A$1&lt;4),"",VLOOKUP(VLOOKUP($A100,Centrum!$D$3:$M$130,10,0),Centrum!$A$3:$CB$130,AT$132,0))</f>
        <v/>
      </c>
      <c r="AU100" s="318" t="str">
        <f ca="1">IF(OR(OR($A100="",TYPE(VLOOKUP($A100,Centrum!$D$3:$M$130,10,0))&gt;3),$A$1&lt;4),"",VLOOKUP(VLOOKUP($A100,Centrum!$D$3:$M$130,10,0),Centrum!$A$3:$CB$130,AU$132,0))</f>
        <v/>
      </c>
      <c r="AV100" s="318" t="str">
        <f ca="1">IF(OR(OR($A100="",TYPE(VLOOKUP($A100,Centrum!$D$3:$M$130,10,0))&gt;3),$A$1&lt;4),"",VLOOKUP(VLOOKUP($A100,Centrum!$D$3:$M$130,10,0),Centrum!$A$3:$CB$130,AV$132,0))</f>
        <v/>
      </c>
      <c r="BC100" s="318" t="str">
        <f ca="1">IF(OR(OR($A100="",TYPE(VLOOKUP($A100,Centrum!$D$3:$M$130,10,0))&gt;3),$A$1&lt;5),"",VLOOKUP(VLOOKUP($A100,Centrum!$D$3:$M$130,10,0),Centrum!$A$3:$CB$130,BC$132,0))</f>
        <v/>
      </c>
      <c r="BD100" s="318" t="str">
        <f ca="1">IF(OR(OR($A100="",TYPE(VLOOKUP($A100,Centrum!$D$3:$M$130,10,0))&gt;3),$A$1&lt;5),"",VLOOKUP(VLOOKUP($A100,Centrum!$D$3:$M$130,10,0),Centrum!$A$3:$CB$130,BD$132,0))</f>
        <v/>
      </c>
      <c r="BE100" s="318" t="str">
        <f ca="1">IF(OR(OR($A100="",TYPE(VLOOKUP($A100,Centrum!$D$3:$M$130,10,0))&gt;3),$A$1&lt;5),"",VLOOKUP(VLOOKUP($A100,Centrum!$D$3:$M$130,10,0),Centrum!$A$3:$CB$130,BE$132,0))</f>
        <v/>
      </c>
      <c r="BL100" s="318" t="str">
        <f ca="1">IF(OR(OR($A100="",TYPE(VLOOKUP($A100,Centrum!$D$3:$M$130,10,0))&gt;3),$A$1&lt;6),"",VLOOKUP(VLOOKUP($A100,Centrum!$D$3:$M$130,10,0),Centrum!$A$3:$CB$130,BL$132,0))</f>
        <v/>
      </c>
      <c r="BM100" s="318" t="str">
        <f ca="1">IF(OR(OR($A100="",TYPE(VLOOKUP($A100,Centrum!$D$3:$M$130,10,0))&gt;3),$A$1&lt;6),"",VLOOKUP(VLOOKUP($A100,Centrum!$D$3:$M$130,10,0),Centrum!$A$3:$CB$130,BM$132,0))</f>
        <v/>
      </c>
      <c r="BN100" s="318" t="str">
        <f ca="1">IF(OR(OR($A100="",TYPE(VLOOKUP($A100,Centrum!$D$3:$M$130,10,0))&gt;3),$A$1&lt;6),"",VLOOKUP(VLOOKUP($A100,Centrum!$D$3:$M$130,10,0),Centrum!$A$3:$CB$130,BN$132,0))</f>
        <v/>
      </c>
    </row>
    <row r="101" spans="1:66" x14ac:dyDescent="0.4">
      <c r="A101" s="318" t="str">
        <f ca="1">Centrum!A101</f>
        <v/>
      </c>
      <c r="B101" s="421" t="str">
        <f ca="1">IF(OR($A101="",TYPE(VLOOKUP($A101,Centrum!$D$3:$M$130,10,0))&gt;3),"",VLOOKUP(VLOOKUP(A101,Centrum!$D$3:$M$130,10,0),Centrum!$A$3:$CB$130,B$132,0))</f>
        <v/>
      </c>
      <c r="C101" s="318" t="str">
        <f ca="1">IF(OR($A101="",TYPE(VLOOKUP($A101,Centrum!$D$3:$M$130,10,0))&gt;3),"",VLOOKUP($A101,Centrum!$D$3:$M$130,10,0))</f>
        <v/>
      </c>
      <c r="E101" s="318" t="str">
        <f ca="1">IF(OR($A101="",TYPE(VLOOKUP($A101,Centrum!$D$3:$M$130,10,0))&gt;3),"",VLOOKUP(VLOOKUP($A101,Centrum!$D$3:$M$130,10,0),Centrum!$A$3:$CB$130,E$132,0))</f>
        <v/>
      </c>
      <c r="F101" s="318" t="str">
        <f ca="1">IF(OR($A101="",TYPE(VLOOKUP($A101,Centrum!$D$3:$M$130,10,0))&gt;3),"",VLOOKUP(VLOOKUP($A101,Centrum!$D$3:$M$130,10,0),Centrum!$A$3:$CB$130,F$132,0))</f>
        <v/>
      </c>
      <c r="G101" s="318" t="str">
        <f ca="1">IF(OR($A101="",TYPE(VLOOKUP($A101,Centrum!$D$3:$M$130,10,0))&gt;3),"",VLOOKUP(VLOOKUP($A101,Centrum!$D$3:$M$130,10,0),Centrum!$A$3:$CB$130,G$132,0))</f>
        <v/>
      </c>
      <c r="H101" s="318" t="str">
        <f ca="1">IF($A101="","",VLOOKUP(VLOOKUP($A101,Centrum!$D$3:$M$130,10,0),Centrum!$A$3:$CB$130,H$132,0))</f>
        <v/>
      </c>
      <c r="I101" s="318" t="str">
        <f ca="1">IF($A101="","",VLOOKUP(VLOOKUP($A101,Centrum!$D$3:$M$130,10,0),Centrum!$A$3:$CB$130,I$132,0))</f>
        <v/>
      </c>
      <c r="J101" s="318" t="str">
        <f ca="1">IF(OR($A101="",TYPE(VLOOKUP($A101,Centrum!$D$3:$M$130,10,0))&gt;3),"",VLOOKUP(VLOOKUP($A101,Centrum!$D$3:$M$130,10,0),Centrum!$A$3:$CB$130,J$132,0))</f>
        <v/>
      </c>
      <c r="L101" s="318" t="str">
        <f ca="1">IF(OR($A101="",TYPE(VLOOKUP($A101,Centrum!$D$3:$M$130,10,0))&gt;3),"",VLOOKUP(VLOOKUP($A101,Centrum!$D$3:$M$130,10,0),Centrum!$A$3:$CB$130,L$132,0))</f>
        <v/>
      </c>
      <c r="M101" s="318" t="str">
        <f ca="1">IF(OR($A101="",TYPE(VLOOKUP($A101,Centrum!$D$3:$M$130,10,0))&gt;3),"",VLOOKUP(VLOOKUP($A101,Centrum!$D$3:$M$130,10,0),Centrum!$A$3:$CB$130,M$132,0))</f>
        <v/>
      </c>
      <c r="N101" s="318" t="str">
        <f ca="1">IF(OR($A101="",TYPE(VLOOKUP($A101,Centrum!$D$3:$M$130,10,0))&gt;3),"",VLOOKUP(VLOOKUP($A101,Centrum!$D$3:$M$130,10,0),Centrum!$A$3:$CB$130,N$132,0))</f>
        <v/>
      </c>
      <c r="O101" s="318" t="str">
        <f ca="1">IF(OR($A101="",TYPE(VLOOKUP($A101,Centrum!$D$3:$M$130,10,0))&gt;3),"",VLOOKUP(VLOOKUP($A101,Centrum!$D$3:$M$130,10,0),Centrum!$A$3:$CB$130,O$132,0))</f>
        <v/>
      </c>
      <c r="P101" s="318" t="str">
        <f ca="1">IF(OR($A101="",TYPE(VLOOKUP($A101,Centrum!$D$3:$M$130,10,0))&gt;3),"",VLOOKUP(VLOOKUP($A101,Centrum!$D$3:$M$130,10,0),Centrum!$A$3:$CB$130,P$132,0))</f>
        <v/>
      </c>
      <c r="Q101" s="318" t="str">
        <f ca="1">IF(OR($A101="",TYPE(VLOOKUP($A101,Centrum!$D$3:$M$130,10,0))&gt;3),"",VLOOKUP(VLOOKUP($A101,Centrum!$D$3:$M$130,10,0),Centrum!$A$3:$CB$130,Q$132,0))</f>
        <v/>
      </c>
      <c r="S101" s="318" t="str">
        <f ca="1">IF(OR($A101="",TYPE(VLOOKUP($A101,Centrum!$D$3:$M$130,10,0))&gt;3),"",VLOOKUP(VLOOKUP($A101,Centrum!$D$3:$M$130,10,0),Centrum!$A$3:$CB$130,S$132,0))</f>
        <v/>
      </c>
      <c r="T101" s="318" t="str">
        <f ca="1">IF(OR($A101="",TYPE(VLOOKUP($A101,Centrum!$D$3:$M$130,10,0))&gt;3),"",VLOOKUP(VLOOKUP($A101,Centrum!$D$3:$M$130,10,0),Centrum!$A$3:$CB$130,T$132,0))</f>
        <v/>
      </c>
      <c r="U101" s="318" t="str">
        <f ca="1">IF(OR($A101="",TYPE(VLOOKUP($A101,Centrum!$D$3:$M$130,10,0))&gt;3),"",VLOOKUP(VLOOKUP($A101,Centrum!$D$3:$M$130,10,0),Centrum!$A$3:$CB$130,U$132,0))</f>
        <v/>
      </c>
      <c r="AB101" s="318" t="str">
        <f ca="1">IF(OR($A101="",TYPE(VLOOKUP($A101,Centrum!$D$3:$M$130,10,0))&gt;3),"",VLOOKUP(VLOOKUP($A101,Centrum!$D$3:$M$130,10,0),Centrum!$A$3:$CB$130,AB$132,0))</f>
        <v/>
      </c>
      <c r="AC101" s="318" t="str">
        <f ca="1">IF(OR($A101="",TYPE(VLOOKUP($A101,Centrum!$D$3:$M$130,10,0))&gt;3),"",VLOOKUP(VLOOKUP($A101,Centrum!$D$3:$M$130,10,0),Centrum!$A$3:$CB$130,AC$132,0))</f>
        <v/>
      </c>
      <c r="AD101" s="318" t="str">
        <f ca="1">IF(OR($A101="",TYPE(VLOOKUP($A101,Centrum!$D$3:$M$130,10,0))&gt;3),"",VLOOKUP(VLOOKUP($A101,Centrum!$D$3:$M$130,10,0),Centrum!$A$3:$CB$130,AD$132,0))</f>
        <v/>
      </c>
      <c r="AK101" s="318" t="str">
        <f ca="1">IF(OR($A101="",TYPE(VLOOKUP($A101,Centrum!$D$3:$M$130,10,0))&gt;3),"",VLOOKUP(VLOOKUP($A101,Centrum!$D$3:$M$130,10,0),Centrum!$A$3:$CB$130,AK$132,0))</f>
        <v/>
      </c>
      <c r="AL101" s="318" t="str">
        <f ca="1">IF(OR($A101="",TYPE(VLOOKUP($A101,Centrum!$D$3:$M$130,10,0))&gt;3),"",VLOOKUP(VLOOKUP($A101,Centrum!$D$3:$M$130,10,0),Centrum!$A$3:$CB$130,AL$132,0))</f>
        <v/>
      </c>
      <c r="AM101" s="318" t="str">
        <f ca="1">IF(OR($A101="",TYPE(VLOOKUP($A101,Centrum!$D$3:$M$130,10,0))&gt;3),"",VLOOKUP(VLOOKUP($A101,Centrum!$D$3:$M$130,10,0),Centrum!$A$3:$CB$130,AM$132,0))</f>
        <v/>
      </c>
      <c r="AT101" s="318" t="str">
        <f ca="1">IF(OR(OR($A101="",TYPE(VLOOKUP($A101,Centrum!$D$3:$M$130,10,0))&gt;3),$A$1&lt;4),"",VLOOKUP(VLOOKUP($A101,Centrum!$D$3:$M$130,10,0),Centrum!$A$3:$CB$130,AT$132,0))</f>
        <v/>
      </c>
      <c r="AU101" s="318" t="str">
        <f ca="1">IF(OR(OR($A101="",TYPE(VLOOKUP($A101,Centrum!$D$3:$M$130,10,0))&gt;3),$A$1&lt;4),"",VLOOKUP(VLOOKUP($A101,Centrum!$D$3:$M$130,10,0),Centrum!$A$3:$CB$130,AU$132,0))</f>
        <v/>
      </c>
      <c r="AV101" s="318" t="str">
        <f ca="1">IF(OR(OR($A101="",TYPE(VLOOKUP($A101,Centrum!$D$3:$M$130,10,0))&gt;3),$A$1&lt;4),"",VLOOKUP(VLOOKUP($A101,Centrum!$D$3:$M$130,10,0),Centrum!$A$3:$CB$130,AV$132,0))</f>
        <v/>
      </c>
      <c r="BC101" s="318" t="str">
        <f ca="1">IF(OR(OR($A101="",TYPE(VLOOKUP($A101,Centrum!$D$3:$M$130,10,0))&gt;3),$A$1&lt;5),"",VLOOKUP(VLOOKUP($A101,Centrum!$D$3:$M$130,10,0),Centrum!$A$3:$CB$130,BC$132,0))</f>
        <v/>
      </c>
      <c r="BD101" s="318" t="str">
        <f ca="1">IF(OR(OR($A101="",TYPE(VLOOKUP($A101,Centrum!$D$3:$M$130,10,0))&gt;3),$A$1&lt;5),"",VLOOKUP(VLOOKUP($A101,Centrum!$D$3:$M$130,10,0),Centrum!$A$3:$CB$130,BD$132,0))</f>
        <v/>
      </c>
      <c r="BE101" s="318" t="str">
        <f ca="1">IF(OR(OR($A101="",TYPE(VLOOKUP($A101,Centrum!$D$3:$M$130,10,0))&gt;3),$A$1&lt;5),"",VLOOKUP(VLOOKUP($A101,Centrum!$D$3:$M$130,10,0),Centrum!$A$3:$CB$130,BE$132,0))</f>
        <v/>
      </c>
      <c r="BL101" s="318" t="str">
        <f ca="1">IF(OR(OR($A101="",TYPE(VLOOKUP($A101,Centrum!$D$3:$M$130,10,0))&gt;3),$A$1&lt;6),"",VLOOKUP(VLOOKUP($A101,Centrum!$D$3:$M$130,10,0),Centrum!$A$3:$CB$130,BL$132,0))</f>
        <v/>
      </c>
      <c r="BM101" s="318" t="str">
        <f ca="1">IF(OR(OR($A101="",TYPE(VLOOKUP($A101,Centrum!$D$3:$M$130,10,0))&gt;3),$A$1&lt;6),"",VLOOKUP(VLOOKUP($A101,Centrum!$D$3:$M$130,10,0),Centrum!$A$3:$CB$130,BM$132,0))</f>
        <v/>
      </c>
      <c r="BN101" s="318" t="str">
        <f ca="1">IF(OR(OR($A101="",TYPE(VLOOKUP($A101,Centrum!$D$3:$M$130,10,0))&gt;3),$A$1&lt;6),"",VLOOKUP(VLOOKUP($A101,Centrum!$D$3:$M$130,10,0),Centrum!$A$3:$CB$130,BN$132,0))</f>
        <v/>
      </c>
    </row>
    <row r="102" spans="1:66" x14ac:dyDescent="0.4">
      <c r="A102" s="318" t="str">
        <f ca="1">Centrum!A102</f>
        <v/>
      </c>
      <c r="B102" s="421" t="str">
        <f ca="1">IF(OR($A102="",TYPE(VLOOKUP($A102,Centrum!$D$3:$M$130,10,0))&gt;3),"",VLOOKUP(VLOOKUP(A102,Centrum!$D$3:$M$130,10,0),Centrum!$A$3:$CB$130,B$132,0))</f>
        <v/>
      </c>
      <c r="C102" s="318" t="str">
        <f ca="1">IF(OR($A102="",TYPE(VLOOKUP($A102,Centrum!$D$3:$M$130,10,0))&gt;3),"",VLOOKUP($A102,Centrum!$D$3:$M$130,10,0))</f>
        <v/>
      </c>
      <c r="E102" s="318" t="str">
        <f ca="1">IF(OR($A102="",TYPE(VLOOKUP($A102,Centrum!$D$3:$M$130,10,0))&gt;3),"",VLOOKUP(VLOOKUP($A102,Centrum!$D$3:$M$130,10,0),Centrum!$A$3:$CB$130,E$132,0))</f>
        <v/>
      </c>
      <c r="F102" s="318" t="str">
        <f ca="1">IF(OR($A102="",TYPE(VLOOKUP($A102,Centrum!$D$3:$M$130,10,0))&gt;3),"",VLOOKUP(VLOOKUP($A102,Centrum!$D$3:$M$130,10,0),Centrum!$A$3:$CB$130,F$132,0))</f>
        <v/>
      </c>
      <c r="G102" s="318" t="str">
        <f ca="1">IF(OR($A102="",TYPE(VLOOKUP($A102,Centrum!$D$3:$M$130,10,0))&gt;3),"",VLOOKUP(VLOOKUP($A102,Centrum!$D$3:$M$130,10,0),Centrum!$A$3:$CB$130,G$132,0))</f>
        <v/>
      </c>
      <c r="H102" s="318" t="str">
        <f ca="1">IF($A102="","",VLOOKUP(VLOOKUP($A102,Centrum!$D$3:$M$130,10,0),Centrum!$A$3:$CB$130,H$132,0))</f>
        <v/>
      </c>
      <c r="I102" s="318" t="str">
        <f ca="1">IF($A102="","",VLOOKUP(VLOOKUP($A102,Centrum!$D$3:$M$130,10,0),Centrum!$A$3:$CB$130,I$132,0))</f>
        <v/>
      </c>
      <c r="J102" s="318" t="str">
        <f ca="1">IF(OR($A102="",TYPE(VLOOKUP($A102,Centrum!$D$3:$M$130,10,0))&gt;3),"",VLOOKUP(VLOOKUP($A102,Centrum!$D$3:$M$130,10,0),Centrum!$A$3:$CB$130,J$132,0))</f>
        <v/>
      </c>
      <c r="L102" s="318" t="str">
        <f ca="1">IF(OR($A102="",TYPE(VLOOKUP($A102,Centrum!$D$3:$M$130,10,0))&gt;3),"",VLOOKUP(VLOOKUP($A102,Centrum!$D$3:$M$130,10,0),Centrum!$A$3:$CB$130,L$132,0))</f>
        <v/>
      </c>
      <c r="M102" s="318" t="str">
        <f ca="1">IF(OR($A102="",TYPE(VLOOKUP($A102,Centrum!$D$3:$M$130,10,0))&gt;3),"",VLOOKUP(VLOOKUP($A102,Centrum!$D$3:$M$130,10,0),Centrum!$A$3:$CB$130,M$132,0))</f>
        <v/>
      </c>
      <c r="N102" s="318" t="str">
        <f ca="1">IF(OR($A102="",TYPE(VLOOKUP($A102,Centrum!$D$3:$M$130,10,0))&gt;3),"",VLOOKUP(VLOOKUP($A102,Centrum!$D$3:$M$130,10,0),Centrum!$A$3:$CB$130,N$132,0))</f>
        <v/>
      </c>
      <c r="O102" s="318" t="str">
        <f ca="1">IF(OR($A102="",TYPE(VLOOKUP($A102,Centrum!$D$3:$M$130,10,0))&gt;3),"",VLOOKUP(VLOOKUP($A102,Centrum!$D$3:$M$130,10,0),Centrum!$A$3:$CB$130,O$132,0))</f>
        <v/>
      </c>
      <c r="P102" s="318" t="str">
        <f ca="1">IF(OR($A102="",TYPE(VLOOKUP($A102,Centrum!$D$3:$M$130,10,0))&gt;3),"",VLOOKUP(VLOOKUP($A102,Centrum!$D$3:$M$130,10,0),Centrum!$A$3:$CB$130,P$132,0))</f>
        <v/>
      </c>
      <c r="Q102" s="318" t="str">
        <f ca="1">IF(OR($A102="",TYPE(VLOOKUP($A102,Centrum!$D$3:$M$130,10,0))&gt;3),"",VLOOKUP(VLOOKUP($A102,Centrum!$D$3:$M$130,10,0),Centrum!$A$3:$CB$130,Q$132,0))</f>
        <v/>
      </c>
      <c r="S102" s="318" t="str">
        <f ca="1">IF(OR($A102="",TYPE(VLOOKUP($A102,Centrum!$D$3:$M$130,10,0))&gt;3),"",VLOOKUP(VLOOKUP($A102,Centrum!$D$3:$M$130,10,0),Centrum!$A$3:$CB$130,S$132,0))</f>
        <v/>
      </c>
      <c r="T102" s="318" t="str">
        <f ca="1">IF(OR($A102="",TYPE(VLOOKUP($A102,Centrum!$D$3:$M$130,10,0))&gt;3),"",VLOOKUP(VLOOKUP($A102,Centrum!$D$3:$M$130,10,0),Centrum!$A$3:$CB$130,T$132,0))</f>
        <v/>
      </c>
      <c r="U102" s="318" t="str">
        <f ca="1">IF(OR($A102="",TYPE(VLOOKUP($A102,Centrum!$D$3:$M$130,10,0))&gt;3),"",VLOOKUP(VLOOKUP($A102,Centrum!$D$3:$M$130,10,0),Centrum!$A$3:$CB$130,U$132,0))</f>
        <v/>
      </c>
      <c r="AB102" s="318" t="str">
        <f ca="1">IF(OR($A102="",TYPE(VLOOKUP($A102,Centrum!$D$3:$M$130,10,0))&gt;3),"",VLOOKUP(VLOOKUP($A102,Centrum!$D$3:$M$130,10,0),Centrum!$A$3:$CB$130,AB$132,0))</f>
        <v/>
      </c>
      <c r="AC102" s="318" t="str">
        <f ca="1">IF(OR($A102="",TYPE(VLOOKUP($A102,Centrum!$D$3:$M$130,10,0))&gt;3),"",VLOOKUP(VLOOKUP($A102,Centrum!$D$3:$M$130,10,0),Centrum!$A$3:$CB$130,AC$132,0))</f>
        <v/>
      </c>
      <c r="AD102" s="318" t="str">
        <f ca="1">IF(OR($A102="",TYPE(VLOOKUP($A102,Centrum!$D$3:$M$130,10,0))&gt;3),"",VLOOKUP(VLOOKUP($A102,Centrum!$D$3:$M$130,10,0),Centrum!$A$3:$CB$130,AD$132,0))</f>
        <v/>
      </c>
      <c r="AK102" s="318" t="str">
        <f ca="1">IF(OR($A102="",TYPE(VLOOKUP($A102,Centrum!$D$3:$M$130,10,0))&gt;3),"",VLOOKUP(VLOOKUP($A102,Centrum!$D$3:$M$130,10,0),Centrum!$A$3:$CB$130,AK$132,0))</f>
        <v/>
      </c>
      <c r="AL102" s="318" t="str">
        <f ca="1">IF(OR($A102="",TYPE(VLOOKUP($A102,Centrum!$D$3:$M$130,10,0))&gt;3),"",VLOOKUP(VLOOKUP($A102,Centrum!$D$3:$M$130,10,0),Centrum!$A$3:$CB$130,AL$132,0))</f>
        <v/>
      </c>
      <c r="AM102" s="318" t="str">
        <f ca="1">IF(OR($A102="",TYPE(VLOOKUP($A102,Centrum!$D$3:$M$130,10,0))&gt;3),"",VLOOKUP(VLOOKUP($A102,Centrum!$D$3:$M$130,10,0),Centrum!$A$3:$CB$130,AM$132,0))</f>
        <v/>
      </c>
      <c r="AT102" s="318" t="str">
        <f ca="1">IF(OR(OR($A102="",TYPE(VLOOKUP($A102,Centrum!$D$3:$M$130,10,0))&gt;3),$A$1&lt;4),"",VLOOKUP(VLOOKUP($A102,Centrum!$D$3:$M$130,10,0),Centrum!$A$3:$CB$130,AT$132,0))</f>
        <v/>
      </c>
      <c r="AU102" s="318" t="str">
        <f ca="1">IF(OR(OR($A102="",TYPE(VLOOKUP($A102,Centrum!$D$3:$M$130,10,0))&gt;3),$A$1&lt;4),"",VLOOKUP(VLOOKUP($A102,Centrum!$D$3:$M$130,10,0),Centrum!$A$3:$CB$130,AU$132,0))</f>
        <v/>
      </c>
      <c r="AV102" s="318" t="str">
        <f ca="1">IF(OR(OR($A102="",TYPE(VLOOKUP($A102,Centrum!$D$3:$M$130,10,0))&gt;3),$A$1&lt;4),"",VLOOKUP(VLOOKUP($A102,Centrum!$D$3:$M$130,10,0),Centrum!$A$3:$CB$130,AV$132,0))</f>
        <v/>
      </c>
      <c r="BC102" s="318" t="str">
        <f ca="1">IF(OR(OR($A102="",TYPE(VLOOKUP($A102,Centrum!$D$3:$M$130,10,0))&gt;3),$A$1&lt;5),"",VLOOKUP(VLOOKUP($A102,Centrum!$D$3:$M$130,10,0),Centrum!$A$3:$CB$130,BC$132,0))</f>
        <v/>
      </c>
      <c r="BD102" s="318" t="str">
        <f ca="1">IF(OR(OR($A102="",TYPE(VLOOKUP($A102,Centrum!$D$3:$M$130,10,0))&gt;3),$A$1&lt;5),"",VLOOKUP(VLOOKUP($A102,Centrum!$D$3:$M$130,10,0),Centrum!$A$3:$CB$130,BD$132,0))</f>
        <v/>
      </c>
      <c r="BE102" s="318" t="str">
        <f ca="1">IF(OR(OR($A102="",TYPE(VLOOKUP($A102,Centrum!$D$3:$M$130,10,0))&gt;3),$A$1&lt;5),"",VLOOKUP(VLOOKUP($A102,Centrum!$D$3:$M$130,10,0),Centrum!$A$3:$CB$130,BE$132,0))</f>
        <v/>
      </c>
      <c r="BL102" s="318" t="str">
        <f ca="1">IF(OR(OR($A102="",TYPE(VLOOKUP($A102,Centrum!$D$3:$M$130,10,0))&gt;3),$A$1&lt;6),"",VLOOKUP(VLOOKUP($A102,Centrum!$D$3:$M$130,10,0),Centrum!$A$3:$CB$130,BL$132,0))</f>
        <v/>
      </c>
      <c r="BM102" s="318" t="str">
        <f ca="1">IF(OR(OR($A102="",TYPE(VLOOKUP($A102,Centrum!$D$3:$M$130,10,0))&gt;3),$A$1&lt;6),"",VLOOKUP(VLOOKUP($A102,Centrum!$D$3:$M$130,10,0),Centrum!$A$3:$CB$130,BM$132,0))</f>
        <v/>
      </c>
      <c r="BN102" s="318" t="str">
        <f ca="1">IF(OR(OR($A102="",TYPE(VLOOKUP($A102,Centrum!$D$3:$M$130,10,0))&gt;3),$A$1&lt;6),"",VLOOKUP(VLOOKUP($A102,Centrum!$D$3:$M$130,10,0),Centrum!$A$3:$CB$130,BN$132,0))</f>
        <v/>
      </c>
    </row>
    <row r="103" spans="1:66" x14ac:dyDescent="0.4">
      <c r="A103" s="318" t="str">
        <f ca="1">Centrum!A103</f>
        <v/>
      </c>
      <c r="B103" s="421" t="str">
        <f ca="1">IF(OR($A103="",TYPE(VLOOKUP($A103,Centrum!$D$3:$M$130,10,0))&gt;3),"",VLOOKUP(VLOOKUP(A103,Centrum!$D$3:$M$130,10,0),Centrum!$A$3:$CB$130,B$132,0))</f>
        <v/>
      </c>
      <c r="C103" s="318" t="str">
        <f ca="1">IF(OR($A103="",TYPE(VLOOKUP($A103,Centrum!$D$3:$M$130,10,0))&gt;3),"",VLOOKUP($A103,Centrum!$D$3:$M$130,10,0))</f>
        <v/>
      </c>
      <c r="E103" s="318" t="str">
        <f ca="1">IF(OR($A103="",TYPE(VLOOKUP($A103,Centrum!$D$3:$M$130,10,0))&gt;3),"",VLOOKUP(VLOOKUP($A103,Centrum!$D$3:$M$130,10,0),Centrum!$A$3:$CB$130,E$132,0))</f>
        <v/>
      </c>
      <c r="F103" s="318" t="str">
        <f ca="1">IF(OR($A103="",TYPE(VLOOKUP($A103,Centrum!$D$3:$M$130,10,0))&gt;3),"",VLOOKUP(VLOOKUP($A103,Centrum!$D$3:$M$130,10,0),Centrum!$A$3:$CB$130,F$132,0))</f>
        <v/>
      </c>
      <c r="G103" s="318" t="str">
        <f ca="1">IF(OR($A103="",TYPE(VLOOKUP($A103,Centrum!$D$3:$M$130,10,0))&gt;3),"",VLOOKUP(VLOOKUP($A103,Centrum!$D$3:$M$130,10,0),Centrum!$A$3:$CB$130,G$132,0))</f>
        <v/>
      </c>
      <c r="H103" s="318" t="str">
        <f ca="1">IF($A103="","",VLOOKUP(VLOOKUP($A103,Centrum!$D$3:$M$130,10,0),Centrum!$A$3:$CB$130,H$132,0))</f>
        <v/>
      </c>
      <c r="I103" s="318" t="str">
        <f ca="1">IF($A103="","",VLOOKUP(VLOOKUP($A103,Centrum!$D$3:$M$130,10,0),Centrum!$A$3:$CB$130,I$132,0))</f>
        <v/>
      </c>
      <c r="J103" s="318" t="str">
        <f ca="1">IF(OR($A103="",TYPE(VLOOKUP($A103,Centrum!$D$3:$M$130,10,0))&gt;3),"",VLOOKUP(VLOOKUP($A103,Centrum!$D$3:$M$130,10,0),Centrum!$A$3:$CB$130,J$132,0))</f>
        <v/>
      </c>
      <c r="L103" s="318" t="str">
        <f ca="1">IF(OR($A103="",TYPE(VLOOKUP($A103,Centrum!$D$3:$M$130,10,0))&gt;3),"",VLOOKUP(VLOOKUP($A103,Centrum!$D$3:$M$130,10,0),Centrum!$A$3:$CB$130,L$132,0))</f>
        <v/>
      </c>
      <c r="M103" s="318" t="str">
        <f ca="1">IF(OR($A103="",TYPE(VLOOKUP($A103,Centrum!$D$3:$M$130,10,0))&gt;3),"",VLOOKUP(VLOOKUP($A103,Centrum!$D$3:$M$130,10,0),Centrum!$A$3:$CB$130,M$132,0))</f>
        <v/>
      </c>
      <c r="N103" s="318" t="str">
        <f ca="1">IF(OR($A103="",TYPE(VLOOKUP($A103,Centrum!$D$3:$M$130,10,0))&gt;3),"",VLOOKUP(VLOOKUP($A103,Centrum!$D$3:$M$130,10,0),Centrum!$A$3:$CB$130,N$132,0))</f>
        <v/>
      </c>
      <c r="O103" s="318" t="str">
        <f ca="1">IF(OR($A103="",TYPE(VLOOKUP($A103,Centrum!$D$3:$M$130,10,0))&gt;3),"",VLOOKUP(VLOOKUP($A103,Centrum!$D$3:$M$130,10,0),Centrum!$A$3:$CB$130,O$132,0))</f>
        <v/>
      </c>
      <c r="P103" s="318" t="str">
        <f ca="1">IF(OR($A103="",TYPE(VLOOKUP($A103,Centrum!$D$3:$M$130,10,0))&gt;3),"",VLOOKUP(VLOOKUP($A103,Centrum!$D$3:$M$130,10,0),Centrum!$A$3:$CB$130,P$132,0))</f>
        <v/>
      </c>
      <c r="Q103" s="318" t="str">
        <f ca="1">IF(OR($A103="",TYPE(VLOOKUP($A103,Centrum!$D$3:$M$130,10,0))&gt;3),"",VLOOKUP(VLOOKUP($A103,Centrum!$D$3:$M$130,10,0),Centrum!$A$3:$CB$130,Q$132,0))</f>
        <v/>
      </c>
      <c r="S103" s="318" t="str">
        <f ca="1">IF(OR($A103="",TYPE(VLOOKUP($A103,Centrum!$D$3:$M$130,10,0))&gt;3),"",VLOOKUP(VLOOKUP($A103,Centrum!$D$3:$M$130,10,0),Centrum!$A$3:$CB$130,S$132,0))</f>
        <v/>
      </c>
      <c r="T103" s="318" t="str">
        <f ca="1">IF(OR($A103="",TYPE(VLOOKUP($A103,Centrum!$D$3:$M$130,10,0))&gt;3),"",VLOOKUP(VLOOKUP($A103,Centrum!$D$3:$M$130,10,0),Centrum!$A$3:$CB$130,T$132,0))</f>
        <v/>
      </c>
      <c r="U103" s="318" t="str">
        <f ca="1">IF(OR($A103="",TYPE(VLOOKUP($A103,Centrum!$D$3:$M$130,10,0))&gt;3),"",VLOOKUP(VLOOKUP($A103,Centrum!$D$3:$M$130,10,0),Centrum!$A$3:$CB$130,U$132,0))</f>
        <v/>
      </c>
      <c r="AB103" s="318" t="str">
        <f ca="1">IF(OR($A103="",TYPE(VLOOKUP($A103,Centrum!$D$3:$M$130,10,0))&gt;3),"",VLOOKUP(VLOOKUP($A103,Centrum!$D$3:$M$130,10,0),Centrum!$A$3:$CB$130,AB$132,0))</f>
        <v/>
      </c>
      <c r="AC103" s="318" t="str">
        <f ca="1">IF(OR($A103="",TYPE(VLOOKUP($A103,Centrum!$D$3:$M$130,10,0))&gt;3),"",VLOOKUP(VLOOKUP($A103,Centrum!$D$3:$M$130,10,0),Centrum!$A$3:$CB$130,AC$132,0))</f>
        <v/>
      </c>
      <c r="AD103" s="318" t="str">
        <f ca="1">IF(OR($A103="",TYPE(VLOOKUP($A103,Centrum!$D$3:$M$130,10,0))&gt;3),"",VLOOKUP(VLOOKUP($A103,Centrum!$D$3:$M$130,10,0),Centrum!$A$3:$CB$130,AD$132,0))</f>
        <v/>
      </c>
      <c r="AK103" s="318" t="str">
        <f ca="1">IF(OR($A103="",TYPE(VLOOKUP($A103,Centrum!$D$3:$M$130,10,0))&gt;3),"",VLOOKUP(VLOOKUP($A103,Centrum!$D$3:$M$130,10,0),Centrum!$A$3:$CB$130,AK$132,0))</f>
        <v/>
      </c>
      <c r="AL103" s="318" t="str">
        <f ca="1">IF(OR($A103="",TYPE(VLOOKUP($A103,Centrum!$D$3:$M$130,10,0))&gt;3),"",VLOOKUP(VLOOKUP($A103,Centrum!$D$3:$M$130,10,0),Centrum!$A$3:$CB$130,AL$132,0))</f>
        <v/>
      </c>
      <c r="AM103" s="318" t="str">
        <f ca="1">IF(OR($A103="",TYPE(VLOOKUP($A103,Centrum!$D$3:$M$130,10,0))&gt;3),"",VLOOKUP(VLOOKUP($A103,Centrum!$D$3:$M$130,10,0),Centrum!$A$3:$CB$130,AM$132,0))</f>
        <v/>
      </c>
      <c r="AT103" s="318" t="str">
        <f ca="1">IF(OR(OR($A103="",TYPE(VLOOKUP($A103,Centrum!$D$3:$M$130,10,0))&gt;3),$A$1&lt;4),"",VLOOKUP(VLOOKUP($A103,Centrum!$D$3:$M$130,10,0),Centrum!$A$3:$CB$130,AT$132,0))</f>
        <v/>
      </c>
      <c r="AU103" s="318" t="str">
        <f ca="1">IF(OR(OR($A103="",TYPE(VLOOKUP($A103,Centrum!$D$3:$M$130,10,0))&gt;3),$A$1&lt;4),"",VLOOKUP(VLOOKUP($A103,Centrum!$D$3:$M$130,10,0),Centrum!$A$3:$CB$130,AU$132,0))</f>
        <v/>
      </c>
      <c r="AV103" s="318" t="str">
        <f ca="1">IF(OR(OR($A103="",TYPE(VLOOKUP($A103,Centrum!$D$3:$M$130,10,0))&gt;3),$A$1&lt;4),"",VLOOKUP(VLOOKUP($A103,Centrum!$D$3:$M$130,10,0),Centrum!$A$3:$CB$130,AV$132,0))</f>
        <v/>
      </c>
      <c r="BC103" s="318" t="str">
        <f ca="1">IF(OR(OR($A103="",TYPE(VLOOKUP($A103,Centrum!$D$3:$M$130,10,0))&gt;3),$A$1&lt;5),"",VLOOKUP(VLOOKUP($A103,Centrum!$D$3:$M$130,10,0),Centrum!$A$3:$CB$130,BC$132,0))</f>
        <v/>
      </c>
      <c r="BD103" s="318" t="str">
        <f ca="1">IF(OR(OR($A103="",TYPE(VLOOKUP($A103,Centrum!$D$3:$M$130,10,0))&gt;3),$A$1&lt;5),"",VLOOKUP(VLOOKUP($A103,Centrum!$D$3:$M$130,10,0),Centrum!$A$3:$CB$130,BD$132,0))</f>
        <v/>
      </c>
      <c r="BE103" s="318" t="str">
        <f ca="1">IF(OR(OR($A103="",TYPE(VLOOKUP($A103,Centrum!$D$3:$M$130,10,0))&gt;3),$A$1&lt;5),"",VLOOKUP(VLOOKUP($A103,Centrum!$D$3:$M$130,10,0),Centrum!$A$3:$CB$130,BE$132,0))</f>
        <v/>
      </c>
      <c r="BL103" s="318" t="str">
        <f ca="1">IF(OR(OR($A103="",TYPE(VLOOKUP($A103,Centrum!$D$3:$M$130,10,0))&gt;3),$A$1&lt;6),"",VLOOKUP(VLOOKUP($A103,Centrum!$D$3:$M$130,10,0),Centrum!$A$3:$CB$130,BL$132,0))</f>
        <v/>
      </c>
      <c r="BM103" s="318" t="str">
        <f ca="1">IF(OR(OR($A103="",TYPE(VLOOKUP($A103,Centrum!$D$3:$M$130,10,0))&gt;3),$A$1&lt;6),"",VLOOKUP(VLOOKUP($A103,Centrum!$D$3:$M$130,10,0),Centrum!$A$3:$CB$130,BM$132,0))</f>
        <v/>
      </c>
      <c r="BN103" s="318" t="str">
        <f ca="1">IF(OR(OR($A103="",TYPE(VLOOKUP($A103,Centrum!$D$3:$M$130,10,0))&gt;3),$A$1&lt;6),"",VLOOKUP(VLOOKUP($A103,Centrum!$D$3:$M$130,10,0),Centrum!$A$3:$CB$130,BN$132,0))</f>
        <v/>
      </c>
    </row>
    <row r="104" spans="1:66" x14ac:dyDescent="0.4">
      <c r="A104" s="318" t="str">
        <f ca="1">Centrum!A104</f>
        <v/>
      </c>
      <c r="B104" s="421" t="str">
        <f ca="1">IF(OR($A104="",TYPE(VLOOKUP($A104,Centrum!$D$3:$M$130,10,0))&gt;3),"",VLOOKUP(VLOOKUP(A104,Centrum!$D$3:$M$130,10,0),Centrum!$A$3:$CB$130,B$132,0))</f>
        <v/>
      </c>
      <c r="C104" s="318" t="str">
        <f ca="1">IF(OR($A104="",TYPE(VLOOKUP($A104,Centrum!$D$3:$M$130,10,0))&gt;3),"",VLOOKUP($A104,Centrum!$D$3:$M$130,10,0))</f>
        <v/>
      </c>
      <c r="E104" s="318" t="str">
        <f ca="1">IF(OR($A104="",TYPE(VLOOKUP($A104,Centrum!$D$3:$M$130,10,0))&gt;3),"",VLOOKUP(VLOOKUP($A104,Centrum!$D$3:$M$130,10,0),Centrum!$A$3:$CB$130,E$132,0))</f>
        <v/>
      </c>
      <c r="F104" s="318" t="str">
        <f ca="1">IF(OR($A104="",TYPE(VLOOKUP($A104,Centrum!$D$3:$M$130,10,0))&gt;3),"",VLOOKUP(VLOOKUP($A104,Centrum!$D$3:$M$130,10,0),Centrum!$A$3:$CB$130,F$132,0))</f>
        <v/>
      </c>
      <c r="G104" s="318" t="str">
        <f ca="1">IF(OR($A104="",TYPE(VLOOKUP($A104,Centrum!$D$3:$M$130,10,0))&gt;3),"",VLOOKUP(VLOOKUP($A104,Centrum!$D$3:$M$130,10,0),Centrum!$A$3:$CB$130,G$132,0))</f>
        <v/>
      </c>
      <c r="H104" s="318" t="str">
        <f ca="1">IF($A104="","",VLOOKUP(VLOOKUP($A104,Centrum!$D$3:$M$130,10,0),Centrum!$A$3:$CB$130,H$132,0))</f>
        <v/>
      </c>
      <c r="I104" s="318" t="str">
        <f ca="1">IF($A104="","",VLOOKUP(VLOOKUP($A104,Centrum!$D$3:$M$130,10,0),Centrum!$A$3:$CB$130,I$132,0))</f>
        <v/>
      </c>
      <c r="J104" s="318" t="str">
        <f ca="1">IF(OR($A104="",TYPE(VLOOKUP($A104,Centrum!$D$3:$M$130,10,0))&gt;3),"",VLOOKUP(VLOOKUP($A104,Centrum!$D$3:$M$130,10,0),Centrum!$A$3:$CB$130,J$132,0))</f>
        <v/>
      </c>
      <c r="L104" s="318" t="str">
        <f ca="1">IF(OR($A104="",TYPE(VLOOKUP($A104,Centrum!$D$3:$M$130,10,0))&gt;3),"",VLOOKUP(VLOOKUP($A104,Centrum!$D$3:$M$130,10,0),Centrum!$A$3:$CB$130,L$132,0))</f>
        <v/>
      </c>
      <c r="M104" s="318" t="str">
        <f ca="1">IF(OR($A104="",TYPE(VLOOKUP($A104,Centrum!$D$3:$M$130,10,0))&gt;3),"",VLOOKUP(VLOOKUP($A104,Centrum!$D$3:$M$130,10,0),Centrum!$A$3:$CB$130,M$132,0))</f>
        <v/>
      </c>
      <c r="N104" s="318" t="str">
        <f ca="1">IF(OR($A104="",TYPE(VLOOKUP($A104,Centrum!$D$3:$M$130,10,0))&gt;3),"",VLOOKUP(VLOOKUP($A104,Centrum!$D$3:$M$130,10,0),Centrum!$A$3:$CB$130,N$132,0))</f>
        <v/>
      </c>
      <c r="O104" s="318" t="str">
        <f ca="1">IF(OR($A104="",TYPE(VLOOKUP($A104,Centrum!$D$3:$M$130,10,0))&gt;3),"",VLOOKUP(VLOOKUP($A104,Centrum!$D$3:$M$130,10,0),Centrum!$A$3:$CB$130,O$132,0))</f>
        <v/>
      </c>
      <c r="P104" s="318" t="str">
        <f ca="1">IF(OR($A104="",TYPE(VLOOKUP($A104,Centrum!$D$3:$M$130,10,0))&gt;3),"",VLOOKUP(VLOOKUP($A104,Centrum!$D$3:$M$130,10,0),Centrum!$A$3:$CB$130,P$132,0))</f>
        <v/>
      </c>
      <c r="Q104" s="318" t="str">
        <f ca="1">IF(OR($A104="",TYPE(VLOOKUP($A104,Centrum!$D$3:$M$130,10,0))&gt;3),"",VLOOKUP(VLOOKUP($A104,Centrum!$D$3:$M$130,10,0),Centrum!$A$3:$CB$130,Q$132,0))</f>
        <v/>
      </c>
      <c r="S104" s="318" t="str">
        <f ca="1">IF(OR($A104="",TYPE(VLOOKUP($A104,Centrum!$D$3:$M$130,10,0))&gt;3),"",VLOOKUP(VLOOKUP($A104,Centrum!$D$3:$M$130,10,0),Centrum!$A$3:$CB$130,S$132,0))</f>
        <v/>
      </c>
      <c r="T104" s="318" t="str">
        <f ca="1">IF(OR($A104="",TYPE(VLOOKUP($A104,Centrum!$D$3:$M$130,10,0))&gt;3),"",VLOOKUP(VLOOKUP($A104,Centrum!$D$3:$M$130,10,0),Centrum!$A$3:$CB$130,T$132,0))</f>
        <v/>
      </c>
      <c r="U104" s="318" t="str">
        <f ca="1">IF(OR($A104="",TYPE(VLOOKUP($A104,Centrum!$D$3:$M$130,10,0))&gt;3),"",VLOOKUP(VLOOKUP($A104,Centrum!$D$3:$M$130,10,0),Centrum!$A$3:$CB$130,U$132,0))</f>
        <v/>
      </c>
      <c r="AB104" s="318" t="str">
        <f ca="1">IF(OR($A104="",TYPE(VLOOKUP($A104,Centrum!$D$3:$M$130,10,0))&gt;3),"",VLOOKUP(VLOOKUP($A104,Centrum!$D$3:$M$130,10,0),Centrum!$A$3:$CB$130,AB$132,0))</f>
        <v/>
      </c>
      <c r="AC104" s="318" t="str">
        <f ca="1">IF(OR($A104="",TYPE(VLOOKUP($A104,Centrum!$D$3:$M$130,10,0))&gt;3),"",VLOOKUP(VLOOKUP($A104,Centrum!$D$3:$M$130,10,0),Centrum!$A$3:$CB$130,AC$132,0))</f>
        <v/>
      </c>
      <c r="AD104" s="318" t="str">
        <f ca="1">IF(OR($A104="",TYPE(VLOOKUP($A104,Centrum!$D$3:$M$130,10,0))&gt;3),"",VLOOKUP(VLOOKUP($A104,Centrum!$D$3:$M$130,10,0),Centrum!$A$3:$CB$130,AD$132,0))</f>
        <v/>
      </c>
      <c r="AK104" s="318" t="str">
        <f ca="1">IF(OR($A104="",TYPE(VLOOKUP($A104,Centrum!$D$3:$M$130,10,0))&gt;3),"",VLOOKUP(VLOOKUP($A104,Centrum!$D$3:$M$130,10,0),Centrum!$A$3:$CB$130,AK$132,0))</f>
        <v/>
      </c>
      <c r="AL104" s="318" t="str">
        <f ca="1">IF(OR($A104="",TYPE(VLOOKUP($A104,Centrum!$D$3:$M$130,10,0))&gt;3),"",VLOOKUP(VLOOKUP($A104,Centrum!$D$3:$M$130,10,0),Centrum!$A$3:$CB$130,AL$132,0))</f>
        <v/>
      </c>
      <c r="AM104" s="318" t="str">
        <f ca="1">IF(OR($A104="",TYPE(VLOOKUP($A104,Centrum!$D$3:$M$130,10,0))&gt;3),"",VLOOKUP(VLOOKUP($A104,Centrum!$D$3:$M$130,10,0),Centrum!$A$3:$CB$130,AM$132,0))</f>
        <v/>
      </c>
      <c r="AT104" s="318" t="str">
        <f ca="1">IF(OR(OR($A104="",TYPE(VLOOKUP($A104,Centrum!$D$3:$M$130,10,0))&gt;3),$A$1&lt;4),"",VLOOKUP(VLOOKUP($A104,Centrum!$D$3:$M$130,10,0),Centrum!$A$3:$CB$130,AT$132,0))</f>
        <v/>
      </c>
      <c r="AU104" s="318" t="str">
        <f ca="1">IF(OR(OR($A104="",TYPE(VLOOKUP($A104,Centrum!$D$3:$M$130,10,0))&gt;3),$A$1&lt;4),"",VLOOKUP(VLOOKUP($A104,Centrum!$D$3:$M$130,10,0),Centrum!$A$3:$CB$130,AU$132,0))</f>
        <v/>
      </c>
      <c r="AV104" s="318" t="str">
        <f ca="1">IF(OR(OR($A104="",TYPE(VLOOKUP($A104,Centrum!$D$3:$M$130,10,0))&gt;3),$A$1&lt;4),"",VLOOKUP(VLOOKUP($A104,Centrum!$D$3:$M$130,10,0),Centrum!$A$3:$CB$130,AV$132,0))</f>
        <v/>
      </c>
      <c r="BC104" s="318" t="str">
        <f ca="1">IF(OR(OR($A104="",TYPE(VLOOKUP($A104,Centrum!$D$3:$M$130,10,0))&gt;3),$A$1&lt;5),"",VLOOKUP(VLOOKUP($A104,Centrum!$D$3:$M$130,10,0),Centrum!$A$3:$CB$130,BC$132,0))</f>
        <v/>
      </c>
      <c r="BD104" s="318" t="str">
        <f ca="1">IF(OR(OR($A104="",TYPE(VLOOKUP($A104,Centrum!$D$3:$M$130,10,0))&gt;3),$A$1&lt;5),"",VLOOKUP(VLOOKUP($A104,Centrum!$D$3:$M$130,10,0),Centrum!$A$3:$CB$130,BD$132,0))</f>
        <v/>
      </c>
      <c r="BE104" s="318" t="str">
        <f ca="1">IF(OR(OR($A104="",TYPE(VLOOKUP($A104,Centrum!$D$3:$M$130,10,0))&gt;3),$A$1&lt;5),"",VLOOKUP(VLOOKUP($A104,Centrum!$D$3:$M$130,10,0),Centrum!$A$3:$CB$130,BE$132,0))</f>
        <v/>
      </c>
      <c r="BL104" s="318" t="str">
        <f ca="1">IF(OR(OR($A104="",TYPE(VLOOKUP($A104,Centrum!$D$3:$M$130,10,0))&gt;3),$A$1&lt;6),"",VLOOKUP(VLOOKUP($A104,Centrum!$D$3:$M$130,10,0),Centrum!$A$3:$CB$130,BL$132,0))</f>
        <v/>
      </c>
      <c r="BM104" s="318" t="str">
        <f ca="1">IF(OR(OR($A104="",TYPE(VLOOKUP($A104,Centrum!$D$3:$M$130,10,0))&gt;3),$A$1&lt;6),"",VLOOKUP(VLOOKUP($A104,Centrum!$D$3:$M$130,10,0),Centrum!$A$3:$CB$130,BM$132,0))</f>
        <v/>
      </c>
      <c r="BN104" s="318" t="str">
        <f ca="1">IF(OR(OR($A104="",TYPE(VLOOKUP($A104,Centrum!$D$3:$M$130,10,0))&gt;3),$A$1&lt;6),"",VLOOKUP(VLOOKUP($A104,Centrum!$D$3:$M$130,10,0),Centrum!$A$3:$CB$130,BN$132,0))</f>
        <v/>
      </c>
    </row>
    <row r="105" spans="1:66" x14ac:dyDescent="0.4">
      <c r="A105" s="318" t="str">
        <f ca="1">Centrum!A105</f>
        <v/>
      </c>
      <c r="B105" s="421" t="str">
        <f ca="1">IF(OR($A105="",TYPE(VLOOKUP($A105,Centrum!$D$3:$M$130,10,0))&gt;3),"",VLOOKUP(VLOOKUP(A105,Centrum!$D$3:$M$130,10,0),Centrum!$A$3:$CB$130,B$132,0))</f>
        <v/>
      </c>
      <c r="C105" s="318" t="str">
        <f ca="1">IF(OR($A105="",TYPE(VLOOKUP($A105,Centrum!$D$3:$M$130,10,0))&gt;3),"",VLOOKUP($A105,Centrum!$D$3:$M$130,10,0))</f>
        <v/>
      </c>
      <c r="E105" s="318" t="str">
        <f ca="1">IF(OR($A105="",TYPE(VLOOKUP($A105,Centrum!$D$3:$M$130,10,0))&gt;3),"",VLOOKUP(VLOOKUP($A105,Centrum!$D$3:$M$130,10,0),Centrum!$A$3:$CB$130,E$132,0))</f>
        <v/>
      </c>
      <c r="F105" s="318" t="str">
        <f ca="1">IF(OR($A105="",TYPE(VLOOKUP($A105,Centrum!$D$3:$M$130,10,0))&gt;3),"",VLOOKUP(VLOOKUP($A105,Centrum!$D$3:$M$130,10,0),Centrum!$A$3:$CB$130,F$132,0))</f>
        <v/>
      </c>
      <c r="G105" s="318" t="str">
        <f ca="1">IF(OR($A105="",TYPE(VLOOKUP($A105,Centrum!$D$3:$M$130,10,0))&gt;3),"",VLOOKUP(VLOOKUP($A105,Centrum!$D$3:$M$130,10,0),Centrum!$A$3:$CB$130,G$132,0))</f>
        <v/>
      </c>
      <c r="H105" s="318" t="str">
        <f ca="1">IF($A105="","",VLOOKUP(VLOOKUP($A105,Centrum!$D$3:$M$130,10,0),Centrum!$A$3:$CB$130,H$132,0))</f>
        <v/>
      </c>
      <c r="I105" s="318" t="str">
        <f ca="1">IF($A105="","",VLOOKUP(VLOOKUP($A105,Centrum!$D$3:$M$130,10,0),Centrum!$A$3:$CB$130,I$132,0))</f>
        <v/>
      </c>
      <c r="J105" s="318" t="str">
        <f ca="1">IF(OR($A105="",TYPE(VLOOKUP($A105,Centrum!$D$3:$M$130,10,0))&gt;3),"",VLOOKUP(VLOOKUP($A105,Centrum!$D$3:$M$130,10,0),Centrum!$A$3:$CB$130,J$132,0))</f>
        <v/>
      </c>
      <c r="L105" s="318" t="str">
        <f ca="1">IF(OR($A105="",TYPE(VLOOKUP($A105,Centrum!$D$3:$M$130,10,0))&gt;3),"",VLOOKUP(VLOOKUP($A105,Centrum!$D$3:$M$130,10,0),Centrum!$A$3:$CB$130,L$132,0))</f>
        <v/>
      </c>
      <c r="M105" s="318" t="str">
        <f ca="1">IF(OR($A105="",TYPE(VLOOKUP($A105,Centrum!$D$3:$M$130,10,0))&gt;3),"",VLOOKUP(VLOOKUP($A105,Centrum!$D$3:$M$130,10,0),Centrum!$A$3:$CB$130,M$132,0))</f>
        <v/>
      </c>
      <c r="N105" s="318" t="str">
        <f ca="1">IF(OR($A105="",TYPE(VLOOKUP($A105,Centrum!$D$3:$M$130,10,0))&gt;3),"",VLOOKUP(VLOOKUP($A105,Centrum!$D$3:$M$130,10,0),Centrum!$A$3:$CB$130,N$132,0))</f>
        <v/>
      </c>
      <c r="O105" s="318" t="str">
        <f ca="1">IF(OR($A105="",TYPE(VLOOKUP($A105,Centrum!$D$3:$M$130,10,0))&gt;3),"",VLOOKUP(VLOOKUP($A105,Centrum!$D$3:$M$130,10,0),Centrum!$A$3:$CB$130,O$132,0))</f>
        <v/>
      </c>
      <c r="P105" s="318" t="str">
        <f ca="1">IF(OR($A105="",TYPE(VLOOKUP($A105,Centrum!$D$3:$M$130,10,0))&gt;3),"",VLOOKUP(VLOOKUP($A105,Centrum!$D$3:$M$130,10,0),Centrum!$A$3:$CB$130,P$132,0))</f>
        <v/>
      </c>
      <c r="Q105" s="318" t="str">
        <f ca="1">IF(OR($A105="",TYPE(VLOOKUP($A105,Centrum!$D$3:$M$130,10,0))&gt;3),"",VLOOKUP(VLOOKUP($A105,Centrum!$D$3:$M$130,10,0),Centrum!$A$3:$CB$130,Q$132,0))</f>
        <v/>
      </c>
      <c r="S105" s="318" t="str">
        <f ca="1">IF(OR($A105="",TYPE(VLOOKUP($A105,Centrum!$D$3:$M$130,10,0))&gt;3),"",VLOOKUP(VLOOKUP($A105,Centrum!$D$3:$M$130,10,0),Centrum!$A$3:$CB$130,S$132,0))</f>
        <v/>
      </c>
      <c r="T105" s="318" t="str">
        <f ca="1">IF(OR($A105="",TYPE(VLOOKUP($A105,Centrum!$D$3:$M$130,10,0))&gt;3),"",VLOOKUP(VLOOKUP($A105,Centrum!$D$3:$M$130,10,0),Centrum!$A$3:$CB$130,T$132,0))</f>
        <v/>
      </c>
      <c r="U105" s="318" t="str">
        <f ca="1">IF(OR($A105="",TYPE(VLOOKUP($A105,Centrum!$D$3:$M$130,10,0))&gt;3),"",VLOOKUP(VLOOKUP($A105,Centrum!$D$3:$M$130,10,0),Centrum!$A$3:$CB$130,U$132,0))</f>
        <v/>
      </c>
      <c r="AB105" s="318" t="str">
        <f ca="1">IF(OR($A105="",TYPE(VLOOKUP($A105,Centrum!$D$3:$M$130,10,0))&gt;3),"",VLOOKUP(VLOOKUP($A105,Centrum!$D$3:$M$130,10,0),Centrum!$A$3:$CB$130,AB$132,0))</f>
        <v/>
      </c>
      <c r="AC105" s="318" t="str">
        <f ca="1">IF(OR($A105="",TYPE(VLOOKUP($A105,Centrum!$D$3:$M$130,10,0))&gt;3),"",VLOOKUP(VLOOKUP($A105,Centrum!$D$3:$M$130,10,0),Centrum!$A$3:$CB$130,AC$132,0))</f>
        <v/>
      </c>
      <c r="AD105" s="318" t="str">
        <f ca="1">IF(OR($A105="",TYPE(VLOOKUP($A105,Centrum!$D$3:$M$130,10,0))&gt;3),"",VLOOKUP(VLOOKUP($A105,Centrum!$D$3:$M$130,10,0),Centrum!$A$3:$CB$130,AD$132,0))</f>
        <v/>
      </c>
      <c r="AK105" s="318" t="str">
        <f ca="1">IF(OR($A105="",TYPE(VLOOKUP($A105,Centrum!$D$3:$M$130,10,0))&gt;3),"",VLOOKUP(VLOOKUP($A105,Centrum!$D$3:$M$130,10,0),Centrum!$A$3:$CB$130,AK$132,0))</f>
        <v/>
      </c>
      <c r="AL105" s="318" t="str">
        <f ca="1">IF(OR($A105="",TYPE(VLOOKUP($A105,Centrum!$D$3:$M$130,10,0))&gt;3),"",VLOOKUP(VLOOKUP($A105,Centrum!$D$3:$M$130,10,0),Centrum!$A$3:$CB$130,AL$132,0))</f>
        <v/>
      </c>
      <c r="AM105" s="318" t="str">
        <f ca="1">IF(OR($A105="",TYPE(VLOOKUP($A105,Centrum!$D$3:$M$130,10,0))&gt;3),"",VLOOKUP(VLOOKUP($A105,Centrum!$D$3:$M$130,10,0),Centrum!$A$3:$CB$130,AM$132,0))</f>
        <v/>
      </c>
      <c r="AT105" s="318" t="str">
        <f ca="1">IF(OR(OR($A105="",TYPE(VLOOKUP($A105,Centrum!$D$3:$M$130,10,0))&gt;3),$A$1&lt;4),"",VLOOKUP(VLOOKUP($A105,Centrum!$D$3:$M$130,10,0),Centrum!$A$3:$CB$130,AT$132,0))</f>
        <v/>
      </c>
      <c r="AU105" s="318" t="str">
        <f ca="1">IF(OR(OR($A105="",TYPE(VLOOKUP($A105,Centrum!$D$3:$M$130,10,0))&gt;3),$A$1&lt;4),"",VLOOKUP(VLOOKUP($A105,Centrum!$D$3:$M$130,10,0),Centrum!$A$3:$CB$130,AU$132,0))</f>
        <v/>
      </c>
      <c r="AV105" s="318" t="str">
        <f ca="1">IF(OR(OR($A105="",TYPE(VLOOKUP($A105,Centrum!$D$3:$M$130,10,0))&gt;3),$A$1&lt;4),"",VLOOKUP(VLOOKUP($A105,Centrum!$D$3:$M$130,10,0),Centrum!$A$3:$CB$130,AV$132,0))</f>
        <v/>
      </c>
      <c r="BC105" s="318" t="str">
        <f ca="1">IF(OR(OR($A105="",TYPE(VLOOKUP($A105,Centrum!$D$3:$M$130,10,0))&gt;3),$A$1&lt;5),"",VLOOKUP(VLOOKUP($A105,Centrum!$D$3:$M$130,10,0),Centrum!$A$3:$CB$130,BC$132,0))</f>
        <v/>
      </c>
      <c r="BD105" s="318" t="str">
        <f ca="1">IF(OR(OR($A105="",TYPE(VLOOKUP($A105,Centrum!$D$3:$M$130,10,0))&gt;3),$A$1&lt;5),"",VLOOKUP(VLOOKUP($A105,Centrum!$D$3:$M$130,10,0),Centrum!$A$3:$CB$130,BD$132,0))</f>
        <v/>
      </c>
      <c r="BE105" s="318" t="str">
        <f ca="1">IF(OR(OR($A105="",TYPE(VLOOKUP($A105,Centrum!$D$3:$M$130,10,0))&gt;3),$A$1&lt;5),"",VLOOKUP(VLOOKUP($A105,Centrum!$D$3:$M$130,10,0),Centrum!$A$3:$CB$130,BE$132,0))</f>
        <v/>
      </c>
      <c r="BL105" s="318" t="str">
        <f ca="1">IF(OR(OR($A105="",TYPE(VLOOKUP($A105,Centrum!$D$3:$M$130,10,0))&gt;3),$A$1&lt;6),"",VLOOKUP(VLOOKUP($A105,Centrum!$D$3:$M$130,10,0),Centrum!$A$3:$CB$130,BL$132,0))</f>
        <v/>
      </c>
      <c r="BM105" s="318" t="str">
        <f ca="1">IF(OR(OR($A105="",TYPE(VLOOKUP($A105,Centrum!$D$3:$M$130,10,0))&gt;3),$A$1&lt;6),"",VLOOKUP(VLOOKUP($A105,Centrum!$D$3:$M$130,10,0),Centrum!$A$3:$CB$130,BM$132,0))</f>
        <v/>
      </c>
      <c r="BN105" s="318" t="str">
        <f ca="1">IF(OR(OR($A105="",TYPE(VLOOKUP($A105,Centrum!$D$3:$M$130,10,0))&gt;3),$A$1&lt;6),"",VLOOKUP(VLOOKUP($A105,Centrum!$D$3:$M$130,10,0),Centrum!$A$3:$CB$130,BN$132,0))</f>
        <v/>
      </c>
    </row>
    <row r="106" spans="1:66" x14ac:dyDescent="0.4">
      <c r="A106" s="318" t="str">
        <f ca="1">Centrum!A106</f>
        <v/>
      </c>
      <c r="B106" s="421" t="str">
        <f ca="1">IF(OR($A106="",TYPE(VLOOKUP($A106,Centrum!$D$3:$M$130,10,0))&gt;3),"",VLOOKUP(VLOOKUP(A106,Centrum!$D$3:$M$130,10,0),Centrum!$A$3:$CB$130,B$132,0))</f>
        <v/>
      </c>
      <c r="C106" s="318" t="str">
        <f ca="1">IF(OR($A106="",TYPE(VLOOKUP($A106,Centrum!$D$3:$M$130,10,0))&gt;3),"",VLOOKUP($A106,Centrum!$D$3:$M$130,10,0))</f>
        <v/>
      </c>
      <c r="E106" s="318" t="str">
        <f ca="1">IF(OR($A106="",TYPE(VLOOKUP($A106,Centrum!$D$3:$M$130,10,0))&gt;3),"",VLOOKUP(VLOOKUP($A106,Centrum!$D$3:$M$130,10,0),Centrum!$A$3:$CB$130,E$132,0))</f>
        <v/>
      </c>
      <c r="F106" s="318" t="str">
        <f ca="1">IF(OR($A106="",TYPE(VLOOKUP($A106,Centrum!$D$3:$M$130,10,0))&gt;3),"",VLOOKUP(VLOOKUP($A106,Centrum!$D$3:$M$130,10,0),Centrum!$A$3:$CB$130,F$132,0))</f>
        <v/>
      </c>
      <c r="G106" s="318" t="str">
        <f ca="1">IF(OR($A106="",TYPE(VLOOKUP($A106,Centrum!$D$3:$M$130,10,0))&gt;3),"",VLOOKUP(VLOOKUP($A106,Centrum!$D$3:$M$130,10,0),Centrum!$A$3:$CB$130,G$132,0))</f>
        <v/>
      </c>
      <c r="H106" s="318" t="str">
        <f ca="1">IF($A106="","",VLOOKUP(VLOOKUP($A106,Centrum!$D$3:$M$130,10,0),Centrum!$A$3:$CB$130,H$132,0))</f>
        <v/>
      </c>
      <c r="I106" s="318" t="str">
        <f ca="1">IF($A106="","",VLOOKUP(VLOOKUP($A106,Centrum!$D$3:$M$130,10,0),Centrum!$A$3:$CB$130,I$132,0))</f>
        <v/>
      </c>
      <c r="J106" s="318" t="str">
        <f ca="1">IF(OR($A106="",TYPE(VLOOKUP($A106,Centrum!$D$3:$M$130,10,0))&gt;3),"",VLOOKUP(VLOOKUP($A106,Centrum!$D$3:$M$130,10,0),Centrum!$A$3:$CB$130,J$132,0))</f>
        <v/>
      </c>
      <c r="L106" s="318" t="str">
        <f ca="1">IF(OR($A106="",TYPE(VLOOKUP($A106,Centrum!$D$3:$M$130,10,0))&gt;3),"",VLOOKUP(VLOOKUP($A106,Centrum!$D$3:$M$130,10,0),Centrum!$A$3:$CB$130,L$132,0))</f>
        <v/>
      </c>
      <c r="M106" s="318" t="str">
        <f ca="1">IF(OR($A106="",TYPE(VLOOKUP($A106,Centrum!$D$3:$M$130,10,0))&gt;3),"",VLOOKUP(VLOOKUP($A106,Centrum!$D$3:$M$130,10,0),Centrum!$A$3:$CB$130,M$132,0))</f>
        <v/>
      </c>
      <c r="N106" s="318" t="str">
        <f ca="1">IF(OR($A106="",TYPE(VLOOKUP($A106,Centrum!$D$3:$M$130,10,0))&gt;3),"",VLOOKUP(VLOOKUP($A106,Centrum!$D$3:$M$130,10,0),Centrum!$A$3:$CB$130,N$132,0))</f>
        <v/>
      </c>
      <c r="O106" s="318" t="str">
        <f ca="1">IF(OR($A106="",TYPE(VLOOKUP($A106,Centrum!$D$3:$M$130,10,0))&gt;3),"",VLOOKUP(VLOOKUP($A106,Centrum!$D$3:$M$130,10,0),Centrum!$A$3:$CB$130,O$132,0))</f>
        <v/>
      </c>
      <c r="P106" s="318" t="str">
        <f ca="1">IF(OR($A106="",TYPE(VLOOKUP($A106,Centrum!$D$3:$M$130,10,0))&gt;3),"",VLOOKUP(VLOOKUP($A106,Centrum!$D$3:$M$130,10,0),Centrum!$A$3:$CB$130,P$132,0))</f>
        <v/>
      </c>
      <c r="Q106" s="318" t="str">
        <f ca="1">IF(OR($A106="",TYPE(VLOOKUP($A106,Centrum!$D$3:$M$130,10,0))&gt;3),"",VLOOKUP(VLOOKUP($A106,Centrum!$D$3:$M$130,10,0),Centrum!$A$3:$CB$130,Q$132,0))</f>
        <v/>
      </c>
      <c r="S106" s="318" t="str">
        <f ca="1">IF(OR($A106="",TYPE(VLOOKUP($A106,Centrum!$D$3:$M$130,10,0))&gt;3),"",VLOOKUP(VLOOKUP($A106,Centrum!$D$3:$M$130,10,0),Centrum!$A$3:$CB$130,S$132,0))</f>
        <v/>
      </c>
      <c r="T106" s="318" t="str">
        <f ca="1">IF(OR($A106="",TYPE(VLOOKUP($A106,Centrum!$D$3:$M$130,10,0))&gt;3),"",VLOOKUP(VLOOKUP($A106,Centrum!$D$3:$M$130,10,0),Centrum!$A$3:$CB$130,T$132,0))</f>
        <v/>
      </c>
      <c r="U106" s="318" t="str">
        <f ca="1">IF(OR($A106="",TYPE(VLOOKUP($A106,Centrum!$D$3:$M$130,10,0))&gt;3),"",VLOOKUP(VLOOKUP($A106,Centrum!$D$3:$M$130,10,0),Centrum!$A$3:$CB$130,U$132,0))</f>
        <v/>
      </c>
      <c r="AB106" s="318" t="str">
        <f ca="1">IF(OR($A106="",TYPE(VLOOKUP($A106,Centrum!$D$3:$M$130,10,0))&gt;3),"",VLOOKUP(VLOOKUP($A106,Centrum!$D$3:$M$130,10,0),Centrum!$A$3:$CB$130,AB$132,0))</f>
        <v/>
      </c>
      <c r="AC106" s="318" t="str">
        <f ca="1">IF(OR($A106="",TYPE(VLOOKUP($A106,Centrum!$D$3:$M$130,10,0))&gt;3),"",VLOOKUP(VLOOKUP($A106,Centrum!$D$3:$M$130,10,0),Centrum!$A$3:$CB$130,AC$132,0))</f>
        <v/>
      </c>
      <c r="AD106" s="318" t="str">
        <f ca="1">IF(OR($A106="",TYPE(VLOOKUP($A106,Centrum!$D$3:$M$130,10,0))&gt;3),"",VLOOKUP(VLOOKUP($A106,Centrum!$D$3:$M$130,10,0),Centrum!$A$3:$CB$130,AD$132,0))</f>
        <v/>
      </c>
      <c r="AK106" s="318" t="str">
        <f ca="1">IF(OR($A106="",TYPE(VLOOKUP($A106,Centrum!$D$3:$M$130,10,0))&gt;3),"",VLOOKUP(VLOOKUP($A106,Centrum!$D$3:$M$130,10,0),Centrum!$A$3:$CB$130,AK$132,0))</f>
        <v/>
      </c>
      <c r="AL106" s="318" t="str">
        <f ca="1">IF(OR($A106="",TYPE(VLOOKUP($A106,Centrum!$D$3:$M$130,10,0))&gt;3),"",VLOOKUP(VLOOKUP($A106,Centrum!$D$3:$M$130,10,0),Centrum!$A$3:$CB$130,AL$132,0))</f>
        <v/>
      </c>
      <c r="AM106" s="318" t="str">
        <f ca="1">IF(OR($A106="",TYPE(VLOOKUP($A106,Centrum!$D$3:$M$130,10,0))&gt;3),"",VLOOKUP(VLOOKUP($A106,Centrum!$D$3:$M$130,10,0),Centrum!$A$3:$CB$130,AM$132,0))</f>
        <v/>
      </c>
      <c r="AT106" s="318" t="str">
        <f ca="1">IF(OR(OR($A106="",TYPE(VLOOKUP($A106,Centrum!$D$3:$M$130,10,0))&gt;3),$A$1&lt;4),"",VLOOKUP(VLOOKUP($A106,Centrum!$D$3:$M$130,10,0),Centrum!$A$3:$CB$130,AT$132,0))</f>
        <v/>
      </c>
      <c r="AU106" s="318" t="str">
        <f ca="1">IF(OR(OR($A106="",TYPE(VLOOKUP($A106,Centrum!$D$3:$M$130,10,0))&gt;3),$A$1&lt;4),"",VLOOKUP(VLOOKUP($A106,Centrum!$D$3:$M$130,10,0),Centrum!$A$3:$CB$130,AU$132,0))</f>
        <v/>
      </c>
      <c r="AV106" s="318" t="str">
        <f ca="1">IF(OR(OR($A106="",TYPE(VLOOKUP($A106,Centrum!$D$3:$M$130,10,0))&gt;3),$A$1&lt;4),"",VLOOKUP(VLOOKUP($A106,Centrum!$D$3:$M$130,10,0),Centrum!$A$3:$CB$130,AV$132,0))</f>
        <v/>
      </c>
      <c r="BC106" s="318" t="str">
        <f ca="1">IF(OR(OR($A106="",TYPE(VLOOKUP($A106,Centrum!$D$3:$M$130,10,0))&gt;3),$A$1&lt;5),"",VLOOKUP(VLOOKUP($A106,Centrum!$D$3:$M$130,10,0),Centrum!$A$3:$CB$130,BC$132,0))</f>
        <v/>
      </c>
      <c r="BD106" s="318" t="str">
        <f ca="1">IF(OR(OR($A106="",TYPE(VLOOKUP($A106,Centrum!$D$3:$M$130,10,0))&gt;3),$A$1&lt;5),"",VLOOKUP(VLOOKUP($A106,Centrum!$D$3:$M$130,10,0),Centrum!$A$3:$CB$130,BD$132,0))</f>
        <v/>
      </c>
      <c r="BE106" s="318" t="str">
        <f ca="1">IF(OR(OR($A106="",TYPE(VLOOKUP($A106,Centrum!$D$3:$M$130,10,0))&gt;3),$A$1&lt;5),"",VLOOKUP(VLOOKUP($A106,Centrum!$D$3:$M$130,10,0),Centrum!$A$3:$CB$130,BE$132,0))</f>
        <v/>
      </c>
      <c r="BL106" s="318" t="str">
        <f ca="1">IF(OR(OR($A106="",TYPE(VLOOKUP($A106,Centrum!$D$3:$M$130,10,0))&gt;3),$A$1&lt;6),"",VLOOKUP(VLOOKUP($A106,Centrum!$D$3:$M$130,10,0),Centrum!$A$3:$CB$130,BL$132,0))</f>
        <v/>
      </c>
      <c r="BM106" s="318" t="str">
        <f ca="1">IF(OR(OR($A106="",TYPE(VLOOKUP($A106,Centrum!$D$3:$M$130,10,0))&gt;3),$A$1&lt;6),"",VLOOKUP(VLOOKUP($A106,Centrum!$D$3:$M$130,10,0),Centrum!$A$3:$CB$130,BM$132,0))</f>
        <v/>
      </c>
      <c r="BN106" s="318" t="str">
        <f ca="1">IF(OR(OR($A106="",TYPE(VLOOKUP($A106,Centrum!$D$3:$M$130,10,0))&gt;3),$A$1&lt;6),"",VLOOKUP(VLOOKUP($A106,Centrum!$D$3:$M$130,10,0),Centrum!$A$3:$CB$130,BN$132,0))</f>
        <v/>
      </c>
    </row>
    <row r="107" spans="1:66" x14ac:dyDescent="0.4">
      <c r="A107" s="318" t="str">
        <f ca="1">Centrum!A107</f>
        <v/>
      </c>
      <c r="B107" s="421" t="str">
        <f ca="1">IF(OR($A107="",TYPE(VLOOKUP($A107,Centrum!$D$3:$M$130,10,0))&gt;3),"",VLOOKUP(VLOOKUP(A107,Centrum!$D$3:$M$130,10,0),Centrum!$A$3:$CB$130,B$132,0))</f>
        <v/>
      </c>
      <c r="C107" s="318" t="str">
        <f ca="1">IF(OR($A107="",TYPE(VLOOKUP($A107,Centrum!$D$3:$M$130,10,0))&gt;3),"",VLOOKUP($A107,Centrum!$D$3:$M$130,10,0))</f>
        <v/>
      </c>
      <c r="E107" s="318" t="str">
        <f ca="1">IF(OR($A107="",TYPE(VLOOKUP($A107,Centrum!$D$3:$M$130,10,0))&gt;3),"",VLOOKUP(VLOOKUP($A107,Centrum!$D$3:$M$130,10,0),Centrum!$A$3:$CB$130,E$132,0))</f>
        <v/>
      </c>
      <c r="F107" s="318" t="str">
        <f ca="1">IF(OR($A107="",TYPE(VLOOKUP($A107,Centrum!$D$3:$M$130,10,0))&gt;3),"",VLOOKUP(VLOOKUP($A107,Centrum!$D$3:$M$130,10,0),Centrum!$A$3:$CB$130,F$132,0))</f>
        <v/>
      </c>
      <c r="G107" s="318" t="str">
        <f ca="1">IF(OR($A107="",TYPE(VLOOKUP($A107,Centrum!$D$3:$M$130,10,0))&gt;3),"",VLOOKUP(VLOOKUP($A107,Centrum!$D$3:$M$130,10,0),Centrum!$A$3:$CB$130,G$132,0))</f>
        <v/>
      </c>
      <c r="H107" s="318" t="str">
        <f ca="1">IF($A107="","",VLOOKUP(VLOOKUP($A107,Centrum!$D$3:$M$130,10,0),Centrum!$A$3:$CB$130,H$132,0))</f>
        <v/>
      </c>
      <c r="I107" s="318" t="str">
        <f ca="1">IF($A107="","",VLOOKUP(VLOOKUP($A107,Centrum!$D$3:$M$130,10,0),Centrum!$A$3:$CB$130,I$132,0))</f>
        <v/>
      </c>
      <c r="J107" s="318" t="str">
        <f ca="1">IF(OR($A107="",TYPE(VLOOKUP($A107,Centrum!$D$3:$M$130,10,0))&gt;3),"",VLOOKUP(VLOOKUP($A107,Centrum!$D$3:$M$130,10,0),Centrum!$A$3:$CB$130,J$132,0))</f>
        <v/>
      </c>
      <c r="L107" s="318" t="str">
        <f ca="1">IF(OR($A107="",TYPE(VLOOKUP($A107,Centrum!$D$3:$M$130,10,0))&gt;3),"",VLOOKUP(VLOOKUP($A107,Centrum!$D$3:$M$130,10,0),Centrum!$A$3:$CB$130,L$132,0))</f>
        <v/>
      </c>
      <c r="M107" s="318" t="str">
        <f ca="1">IF(OR($A107="",TYPE(VLOOKUP($A107,Centrum!$D$3:$M$130,10,0))&gt;3),"",VLOOKUP(VLOOKUP($A107,Centrum!$D$3:$M$130,10,0),Centrum!$A$3:$CB$130,M$132,0))</f>
        <v/>
      </c>
      <c r="N107" s="318" t="str">
        <f ca="1">IF(OR($A107="",TYPE(VLOOKUP($A107,Centrum!$D$3:$M$130,10,0))&gt;3),"",VLOOKUP(VLOOKUP($A107,Centrum!$D$3:$M$130,10,0),Centrum!$A$3:$CB$130,N$132,0))</f>
        <v/>
      </c>
      <c r="O107" s="318" t="str">
        <f ca="1">IF(OR($A107="",TYPE(VLOOKUP($A107,Centrum!$D$3:$M$130,10,0))&gt;3),"",VLOOKUP(VLOOKUP($A107,Centrum!$D$3:$M$130,10,0),Centrum!$A$3:$CB$130,O$132,0))</f>
        <v/>
      </c>
      <c r="P107" s="318" t="str">
        <f ca="1">IF(OR($A107="",TYPE(VLOOKUP($A107,Centrum!$D$3:$M$130,10,0))&gt;3),"",VLOOKUP(VLOOKUP($A107,Centrum!$D$3:$M$130,10,0),Centrum!$A$3:$CB$130,P$132,0))</f>
        <v/>
      </c>
      <c r="Q107" s="318" t="str">
        <f ca="1">IF(OR($A107="",TYPE(VLOOKUP($A107,Centrum!$D$3:$M$130,10,0))&gt;3),"",VLOOKUP(VLOOKUP($A107,Centrum!$D$3:$M$130,10,0),Centrum!$A$3:$CB$130,Q$132,0))</f>
        <v/>
      </c>
      <c r="S107" s="318" t="str">
        <f ca="1">IF(OR($A107="",TYPE(VLOOKUP($A107,Centrum!$D$3:$M$130,10,0))&gt;3),"",VLOOKUP(VLOOKUP($A107,Centrum!$D$3:$M$130,10,0),Centrum!$A$3:$CB$130,S$132,0))</f>
        <v/>
      </c>
      <c r="T107" s="318" t="str">
        <f ca="1">IF(OR($A107="",TYPE(VLOOKUP($A107,Centrum!$D$3:$M$130,10,0))&gt;3),"",VLOOKUP(VLOOKUP($A107,Centrum!$D$3:$M$130,10,0),Centrum!$A$3:$CB$130,T$132,0))</f>
        <v/>
      </c>
      <c r="U107" s="318" t="str">
        <f ca="1">IF(OR($A107="",TYPE(VLOOKUP($A107,Centrum!$D$3:$M$130,10,0))&gt;3),"",VLOOKUP(VLOOKUP($A107,Centrum!$D$3:$M$130,10,0),Centrum!$A$3:$CB$130,U$132,0))</f>
        <v/>
      </c>
      <c r="AB107" s="318" t="str">
        <f ca="1">IF(OR($A107="",TYPE(VLOOKUP($A107,Centrum!$D$3:$M$130,10,0))&gt;3),"",VLOOKUP(VLOOKUP($A107,Centrum!$D$3:$M$130,10,0),Centrum!$A$3:$CB$130,AB$132,0))</f>
        <v/>
      </c>
      <c r="AC107" s="318" t="str">
        <f ca="1">IF(OR($A107="",TYPE(VLOOKUP($A107,Centrum!$D$3:$M$130,10,0))&gt;3),"",VLOOKUP(VLOOKUP($A107,Centrum!$D$3:$M$130,10,0),Centrum!$A$3:$CB$130,AC$132,0))</f>
        <v/>
      </c>
      <c r="AD107" s="318" t="str">
        <f ca="1">IF(OR($A107="",TYPE(VLOOKUP($A107,Centrum!$D$3:$M$130,10,0))&gt;3),"",VLOOKUP(VLOOKUP($A107,Centrum!$D$3:$M$130,10,0),Centrum!$A$3:$CB$130,AD$132,0))</f>
        <v/>
      </c>
      <c r="AK107" s="318" t="str">
        <f ca="1">IF(OR($A107="",TYPE(VLOOKUP($A107,Centrum!$D$3:$M$130,10,0))&gt;3),"",VLOOKUP(VLOOKUP($A107,Centrum!$D$3:$M$130,10,0),Centrum!$A$3:$CB$130,AK$132,0))</f>
        <v/>
      </c>
      <c r="AL107" s="318" t="str">
        <f ca="1">IF(OR($A107="",TYPE(VLOOKUP($A107,Centrum!$D$3:$M$130,10,0))&gt;3),"",VLOOKUP(VLOOKUP($A107,Centrum!$D$3:$M$130,10,0),Centrum!$A$3:$CB$130,AL$132,0))</f>
        <v/>
      </c>
      <c r="AM107" s="318" t="str">
        <f ca="1">IF(OR($A107="",TYPE(VLOOKUP($A107,Centrum!$D$3:$M$130,10,0))&gt;3),"",VLOOKUP(VLOOKUP($A107,Centrum!$D$3:$M$130,10,0),Centrum!$A$3:$CB$130,AM$132,0))</f>
        <v/>
      </c>
      <c r="AT107" s="318" t="str">
        <f ca="1">IF(OR(OR($A107="",TYPE(VLOOKUP($A107,Centrum!$D$3:$M$130,10,0))&gt;3),$A$1&lt;4),"",VLOOKUP(VLOOKUP($A107,Centrum!$D$3:$M$130,10,0),Centrum!$A$3:$CB$130,AT$132,0))</f>
        <v/>
      </c>
      <c r="AU107" s="318" t="str">
        <f ca="1">IF(OR(OR($A107="",TYPE(VLOOKUP($A107,Centrum!$D$3:$M$130,10,0))&gt;3),$A$1&lt;4),"",VLOOKUP(VLOOKUP($A107,Centrum!$D$3:$M$130,10,0),Centrum!$A$3:$CB$130,AU$132,0))</f>
        <v/>
      </c>
      <c r="AV107" s="318" t="str">
        <f ca="1">IF(OR(OR($A107="",TYPE(VLOOKUP($A107,Centrum!$D$3:$M$130,10,0))&gt;3),$A$1&lt;4),"",VLOOKUP(VLOOKUP($A107,Centrum!$D$3:$M$130,10,0),Centrum!$A$3:$CB$130,AV$132,0))</f>
        <v/>
      </c>
      <c r="BC107" s="318" t="str">
        <f ca="1">IF(OR(OR($A107="",TYPE(VLOOKUP($A107,Centrum!$D$3:$M$130,10,0))&gt;3),$A$1&lt;5),"",VLOOKUP(VLOOKUP($A107,Centrum!$D$3:$M$130,10,0),Centrum!$A$3:$CB$130,BC$132,0))</f>
        <v/>
      </c>
      <c r="BD107" s="318" t="str">
        <f ca="1">IF(OR(OR($A107="",TYPE(VLOOKUP($A107,Centrum!$D$3:$M$130,10,0))&gt;3),$A$1&lt;5),"",VLOOKUP(VLOOKUP($A107,Centrum!$D$3:$M$130,10,0),Centrum!$A$3:$CB$130,BD$132,0))</f>
        <v/>
      </c>
      <c r="BE107" s="318" t="str">
        <f ca="1">IF(OR(OR($A107="",TYPE(VLOOKUP($A107,Centrum!$D$3:$M$130,10,0))&gt;3),$A$1&lt;5),"",VLOOKUP(VLOOKUP($A107,Centrum!$D$3:$M$130,10,0),Centrum!$A$3:$CB$130,BE$132,0))</f>
        <v/>
      </c>
      <c r="BL107" s="318" t="str">
        <f ca="1">IF(OR(OR($A107="",TYPE(VLOOKUP($A107,Centrum!$D$3:$M$130,10,0))&gt;3),$A$1&lt;6),"",VLOOKUP(VLOOKUP($A107,Centrum!$D$3:$M$130,10,0),Centrum!$A$3:$CB$130,BL$132,0))</f>
        <v/>
      </c>
      <c r="BM107" s="318" t="str">
        <f ca="1">IF(OR(OR($A107="",TYPE(VLOOKUP($A107,Centrum!$D$3:$M$130,10,0))&gt;3),$A$1&lt;6),"",VLOOKUP(VLOOKUP($A107,Centrum!$D$3:$M$130,10,0),Centrum!$A$3:$CB$130,BM$132,0))</f>
        <v/>
      </c>
      <c r="BN107" s="318" t="str">
        <f ca="1">IF(OR(OR($A107="",TYPE(VLOOKUP($A107,Centrum!$D$3:$M$130,10,0))&gt;3),$A$1&lt;6),"",VLOOKUP(VLOOKUP($A107,Centrum!$D$3:$M$130,10,0),Centrum!$A$3:$CB$130,BN$132,0))</f>
        <v/>
      </c>
    </row>
    <row r="108" spans="1:66" x14ac:dyDescent="0.4">
      <c r="A108" s="318" t="str">
        <f ca="1">Centrum!A108</f>
        <v/>
      </c>
      <c r="B108" s="421" t="str">
        <f ca="1">IF(OR($A108="",TYPE(VLOOKUP($A108,Centrum!$D$3:$M$130,10,0))&gt;3),"",VLOOKUP(VLOOKUP(A108,Centrum!$D$3:$M$130,10,0),Centrum!$A$3:$CB$130,B$132,0))</f>
        <v/>
      </c>
      <c r="C108" s="318" t="str">
        <f ca="1">IF(OR($A108="",TYPE(VLOOKUP($A108,Centrum!$D$3:$M$130,10,0))&gt;3),"",VLOOKUP($A108,Centrum!$D$3:$M$130,10,0))</f>
        <v/>
      </c>
      <c r="E108" s="318" t="str">
        <f ca="1">IF(OR($A108="",TYPE(VLOOKUP($A108,Centrum!$D$3:$M$130,10,0))&gt;3),"",VLOOKUP(VLOOKUP($A108,Centrum!$D$3:$M$130,10,0),Centrum!$A$3:$CB$130,E$132,0))</f>
        <v/>
      </c>
      <c r="F108" s="318" t="str">
        <f ca="1">IF(OR($A108="",TYPE(VLOOKUP($A108,Centrum!$D$3:$M$130,10,0))&gt;3),"",VLOOKUP(VLOOKUP($A108,Centrum!$D$3:$M$130,10,0),Centrum!$A$3:$CB$130,F$132,0))</f>
        <v/>
      </c>
      <c r="G108" s="318" t="str">
        <f ca="1">IF(OR($A108="",TYPE(VLOOKUP($A108,Centrum!$D$3:$M$130,10,0))&gt;3),"",VLOOKUP(VLOOKUP($A108,Centrum!$D$3:$M$130,10,0),Centrum!$A$3:$CB$130,G$132,0))</f>
        <v/>
      </c>
      <c r="H108" s="318" t="str">
        <f ca="1">IF($A108="","",VLOOKUP(VLOOKUP($A108,Centrum!$D$3:$M$130,10,0),Centrum!$A$3:$CB$130,H$132,0))</f>
        <v/>
      </c>
      <c r="I108" s="318" t="str">
        <f ca="1">IF($A108="","",VLOOKUP(VLOOKUP($A108,Centrum!$D$3:$M$130,10,0),Centrum!$A$3:$CB$130,I$132,0))</f>
        <v/>
      </c>
      <c r="J108" s="318" t="str">
        <f ca="1">IF(OR($A108="",TYPE(VLOOKUP($A108,Centrum!$D$3:$M$130,10,0))&gt;3),"",VLOOKUP(VLOOKUP($A108,Centrum!$D$3:$M$130,10,0),Centrum!$A$3:$CB$130,J$132,0))</f>
        <v/>
      </c>
      <c r="L108" s="318" t="str">
        <f ca="1">IF(OR($A108="",TYPE(VLOOKUP($A108,Centrum!$D$3:$M$130,10,0))&gt;3),"",VLOOKUP(VLOOKUP($A108,Centrum!$D$3:$M$130,10,0),Centrum!$A$3:$CB$130,L$132,0))</f>
        <v/>
      </c>
      <c r="M108" s="318" t="str">
        <f ca="1">IF(OR($A108="",TYPE(VLOOKUP($A108,Centrum!$D$3:$M$130,10,0))&gt;3),"",VLOOKUP(VLOOKUP($A108,Centrum!$D$3:$M$130,10,0),Centrum!$A$3:$CB$130,M$132,0))</f>
        <v/>
      </c>
      <c r="N108" s="318" t="str">
        <f ca="1">IF(OR($A108="",TYPE(VLOOKUP($A108,Centrum!$D$3:$M$130,10,0))&gt;3),"",VLOOKUP(VLOOKUP($A108,Centrum!$D$3:$M$130,10,0),Centrum!$A$3:$CB$130,N$132,0))</f>
        <v/>
      </c>
      <c r="O108" s="318" t="str">
        <f ca="1">IF(OR($A108="",TYPE(VLOOKUP($A108,Centrum!$D$3:$M$130,10,0))&gt;3),"",VLOOKUP(VLOOKUP($A108,Centrum!$D$3:$M$130,10,0),Centrum!$A$3:$CB$130,O$132,0))</f>
        <v/>
      </c>
      <c r="P108" s="318" t="str">
        <f ca="1">IF(OR($A108="",TYPE(VLOOKUP($A108,Centrum!$D$3:$M$130,10,0))&gt;3),"",VLOOKUP(VLOOKUP($A108,Centrum!$D$3:$M$130,10,0),Centrum!$A$3:$CB$130,P$132,0))</f>
        <v/>
      </c>
      <c r="Q108" s="318" t="str">
        <f ca="1">IF(OR($A108="",TYPE(VLOOKUP($A108,Centrum!$D$3:$M$130,10,0))&gt;3),"",VLOOKUP(VLOOKUP($A108,Centrum!$D$3:$M$130,10,0),Centrum!$A$3:$CB$130,Q$132,0))</f>
        <v/>
      </c>
      <c r="S108" s="318" t="str">
        <f ca="1">IF(OR($A108="",TYPE(VLOOKUP($A108,Centrum!$D$3:$M$130,10,0))&gt;3),"",VLOOKUP(VLOOKUP($A108,Centrum!$D$3:$M$130,10,0),Centrum!$A$3:$CB$130,S$132,0))</f>
        <v/>
      </c>
      <c r="T108" s="318" t="str">
        <f ca="1">IF(OR($A108="",TYPE(VLOOKUP($A108,Centrum!$D$3:$M$130,10,0))&gt;3),"",VLOOKUP(VLOOKUP($A108,Centrum!$D$3:$M$130,10,0),Centrum!$A$3:$CB$130,T$132,0))</f>
        <v/>
      </c>
      <c r="U108" s="318" t="str">
        <f ca="1">IF(OR($A108="",TYPE(VLOOKUP($A108,Centrum!$D$3:$M$130,10,0))&gt;3),"",VLOOKUP(VLOOKUP($A108,Centrum!$D$3:$M$130,10,0),Centrum!$A$3:$CB$130,U$132,0))</f>
        <v/>
      </c>
      <c r="AB108" s="318" t="str">
        <f ca="1">IF(OR($A108="",TYPE(VLOOKUP($A108,Centrum!$D$3:$M$130,10,0))&gt;3),"",VLOOKUP(VLOOKUP($A108,Centrum!$D$3:$M$130,10,0),Centrum!$A$3:$CB$130,AB$132,0))</f>
        <v/>
      </c>
      <c r="AC108" s="318" t="str">
        <f ca="1">IF(OR($A108="",TYPE(VLOOKUP($A108,Centrum!$D$3:$M$130,10,0))&gt;3),"",VLOOKUP(VLOOKUP($A108,Centrum!$D$3:$M$130,10,0),Centrum!$A$3:$CB$130,AC$132,0))</f>
        <v/>
      </c>
      <c r="AD108" s="318" t="str">
        <f ca="1">IF(OR($A108="",TYPE(VLOOKUP($A108,Centrum!$D$3:$M$130,10,0))&gt;3),"",VLOOKUP(VLOOKUP($A108,Centrum!$D$3:$M$130,10,0),Centrum!$A$3:$CB$130,AD$132,0))</f>
        <v/>
      </c>
      <c r="AK108" s="318" t="str">
        <f ca="1">IF(OR($A108="",TYPE(VLOOKUP($A108,Centrum!$D$3:$M$130,10,0))&gt;3),"",VLOOKUP(VLOOKUP($A108,Centrum!$D$3:$M$130,10,0),Centrum!$A$3:$CB$130,AK$132,0))</f>
        <v/>
      </c>
      <c r="AL108" s="318" t="str">
        <f ca="1">IF(OR($A108="",TYPE(VLOOKUP($A108,Centrum!$D$3:$M$130,10,0))&gt;3),"",VLOOKUP(VLOOKUP($A108,Centrum!$D$3:$M$130,10,0),Centrum!$A$3:$CB$130,AL$132,0))</f>
        <v/>
      </c>
      <c r="AM108" s="318" t="str">
        <f ca="1">IF(OR($A108="",TYPE(VLOOKUP($A108,Centrum!$D$3:$M$130,10,0))&gt;3),"",VLOOKUP(VLOOKUP($A108,Centrum!$D$3:$M$130,10,0),Centrum!$A$3:$CB$130,AM$132,0))</f>
        <v/>
      </c>
      <c r="AT108" s="318" t="str">
        <f ca="1">IF(OR(OR($A108="",TYPE(VLOOKUP($A108,Centrum!$D$3:$M$130,10,0))&gt;3),$A$1&lt;4),"",VLOOKUP(VLOOKUP($A108,Centrum!$D$3:$M$130,10,0),Centrum!$A$3:$CB$130,AT$132,0))</f>
        <v/>
      </c>
      <c r="AU108" s="318" t="str">
        <f ca="1">IF(OR(OR($A108="",TYPE(VLOOKUP($A108,Centrum!$D$3:$M$130,10,0))&gt;3),$A$1&lt;4),"",VLOOKUP(VLOOKUP($A108,Centrum!$D$3:$M$130,10,0),Centrum!$A$3:$CB$130,AU$132,0))</f>
        <v/>
      </c>
      <c r="AV108" s="318" t="str">
        <f ca="1">IF(OR(OR($A108="",TYPE(VLOOKUP($A108,Centrum!$D$3:$M$130,10,0))&gt;3),$A$1&lt;4),"",VLOOKUP(VLOOKUP($A108,Centrum!$D$3:$M$130,10,0),Centrum!$A$3:$CB$130,AV$132,0))</f>
        <v/>
      </c>
      <c r="BC108" s="318" t="str">
        <f ca="1">IF(OR(OR($A108="",TYPE(VLOOKUP($A108,Centrum!$D$3:$M$130,10,0))&gt;3),$A$1&lt;5),"",VLOOKUP(VLOOKUP($A108,Centrum!$D$3:$M$130,10,0),Centrum!$A$3:$CB$130,BC$132,0))</f>
        <v/>
      </c>
      <c r="BD108" s="318" t="str">
        <f ca="1">IF(OR(OR($A108="",TYPE(VLOOKUP($A108,Centrum!$D$3:$M$130,10,0))&gt;3),$A$1&lt;5),"",VLOOKUP(VLOOKUP($A108,Centrum!$D$3:$M$130,10,0),Centrum!$A$3:$CB$130,BD$132,0))</f>
        <v/>
      </c>
      <c r="BE108" s="318" t="str">
        <f ca="1">IF(OR(OR($A108="",TYPE(VLOOKUP($A108,Centrum!$D$3:$M$130,10,0))&gt;3),$A$1&lt;5),"",VLOOKUP(VLOOKUP($A108,Centrum!$D$3:$M$130,10,0),Centrum!$A$3:$CB$130,BE$132,0))</f>
        <v/>
      </c>
      <c r="BL108" s="318" t="str">
        <f ca="1">IF(OR(OR($A108="",TYPE(VLOOKUP($A108,Centrum!$D$3:$M$130,10,0))&gt;3),$A$1&lt;6),"",VLOOKUP(VLOOKUP($A108,Centrum!$D$3:$M$130,10,0),Centrum!$A$3:$CB$130,BL$132,0))</f>
        <v/>
      </c>
      <c r="BM108" s="318" t="str">
        <f ca="1">IF(OR(OR($A108="",TYPE(VLOOKUP($A108,Centrum!$D$3:$M$130,10,0))&gt;3),$A$1&lt;6),"",VLOOKUP(VLOOKUP($A108,Centrum!$D$3:$M$130,10,0),Centrum!$A$3:$CB$130,BM$132,0))</f>
        <v/>
      </c>
      <c r="BN108" s="318" t="str">
        <f ca="1">IF(OR(OR($A108="",TYPE(VLOOKUP($A108,Centrum!$D$3:$M$130,10,0))&gt;3),$A$1&lt;6),"",VLOOKUP(VLOOKUP($A108,Centrum!$D$3:$M$130,10,0),Centrum!$A$3:$CB$130,BN$132,0))</f>
        <v/>
      </c>
    </row>
    <row r="109" spans="1:66" x14ac:dyDescent="0.4">
      <c r="A109" s="318" t="str">
        <f ca="1">Centrum!A109</f>
        <v/>
      </c>
      <c r="B109" s="421" t="str">
        <f ca="1">IF(OR($A109="",TYPE(VLOOKUP($A109,Centrum!$D$3:$M$130,10,0))&gt;3),"",VLOOKUP(VLOOKUP(A109,Centrum!$D$3:$M$130,10,0),Centrum!$A$3:$CB$130,B$132,0))</f>
        <v/>
      </c>
      <c r="C109" s="318" t="str">
        <f ca="1">IF(OR($A109="",TYPE(VLOOKUP($A109,Centrum!$D$3:$M$130,10,0))&gt;3),"",VLOOKUP($A109,Centrum!$D$3:$M$130,10,0))</f>
        <v/>
      </c>
      <c r="E109" s="318" t="str">
        <f ca="1">IF(OR($A109="",TYPE(VLOOKUP($A109,Centrum!$D$3:$M$130,10,0))&gt;3),"",VLOOKUP(VLOOKUP($A109,Centrum!$D$3:$M$130,10,0),Centrum!$A$3:$CB$130,E$132,0))</f>
        <v/>
      </c>
      <c r="F109" s="318" t="str">
        <f ca="1">IF(OR($A109="",TYPE(VLOOKUP($A109,Centrum!$D$3:$M$130,10,0))&gt;3),"",VLOOKUP(VLOOKUP($A109,Centrum!$D$3:$M$130,10,0),Centrum!$A$3:$CB$130,F$132,0))</f>
        <v/>
      </c>
      <c r="G109" s="318" t="str">
        <f ca="1">IF(OR($A109="",TYPE(VLOOKUP($A109,Centrum!$D$3:$M$130,10,0))&gt;3),"",VLOOKUP(VLOOKUP($A109,Centrum!$D$3:$M$130,10,0),Centrum!$A$3:$CB$130,G$132,0))</f>
        <v/>
      </c>
      <c r="H109" s="318" t="str">
        <f ca="1">IF($A109="","",VLOOKUP(VLOOKUP($A109,Centrum!$D$3:$M$130,10,0),Centrum!$A$3:$CB$130,H$132,0))</f>
        <v/>
      </c>
      <c r="I109" s="318" t="str">
        <f ca="1">IF($A109="","",VLOOKUP(VLOOKUP($A109,Centrum!$D$3:$M$130,10,0),Centrum!$A$3:$CB$130,I$132,0))</f>
        <v/>
      </c>
      <c r="J109" s="318" t="str">
        <f ca="1">IF(OR($A109="",TYPE(VLOOKUP($A109,Centrum!$D$3:$M$130,10,0))&gt;3),"",VLOOKUP(VLOOKUP($A109,Centrum!$D$3:$M$130,10,0),Centrum!$A$3:$CB$130,J$132,0))</f>
        <v/>
      </c>
      <c r="L109" s="318" t="str">
        <f ca="1">IF(OR($A109="",TYPE(VLOOKUP($A109,Centrum!$D$3:$M$130,10,0))&gt;3),"",VLOOKUP(VLOOKUP($A109,Centrum!$D$3:$M$130,10,0),Centrum!$A$3:$CB$130,L$132,0))</f>
        <v/>
      </c>
      <c r="M109" s="318" t="str">
        <f ca="1">IF(OR($A109="",TYPE(VLOOKUP($A109,Centrum!$D$3:$M$130,10,0))&gt;3),"",VLOOKUP(VLOOKUP($A109,Centrum!$D$3:$M$130,10,0),Centrum!$A$3:$CB$130,M$132,0))</f>
        <v/>
      </c>
      <c r="N109" s="318" t="str">
        <f ca="1">IF(OR($A109="",TYPE(VLOOKUP($A109,Centrum!$D$3:$M$130,10,0))&gt;3),"",VLOOKUP(VLOOKUP($A109,Centrum!$D$3:$M$130,10,0),Centrum!$A$3:$CB$130,N$132,0))</f>
        <v/>
      </c>
      <c r="O109" s="318" t="str">
        <f ca="1">IF(OR($A109="",TYPE(VLOOKUP($A109,Centrum!$D$3:$M$130,10,0))&gt;3),"",VLOOKUP(VLOOKUP($A109,Centrum!$D$3:$M$130,10,0),Centrum!$A$3:$CB$130,O$132,0))</f>
        <v/>
      </c>
      <c r="P109" s="318" t="str">
        <f ca="1">IF(OR($A109="",TYPE(VLOOKUP($A109,Centrum!$D$3:$M$130,10,0))&gt;3),"",VLOOKUP(VLOOKUP($A109,Centrum!$D$3:$M$130,10,0),Centrum!$A$3:$CB$130,P$132,0))</f>
        <v/>
      </c>
      <c r="Q109" s="318" t="str">
        <f ca="1">IF(OR($A109="",TYPE(VLOOKUP($A109,Centrum!$D$3:$M$130,10,0))&gt;3),"",VLOOKUP(VLOOKUP($A109,Centrum!$D$3:$M$130,10,0),Centrum!$A$3:$CB$130,Q$132,0))</f>
        <v/>
      </c>
      <c r="S109" s="318" t="str">
        <f ca="1">IF(OR($A109="",TYPE(VLOOKUP($A109,Centrum!$D$3:$M$130,10,0))&gt;3),"",VLOOKUP(VLOOKUP($A109,Centrum!$D$3:$M$130,10,0),Centrum!$A$3:$CB$130,S$132,0))</f>
        <v/>
      </c>
      <c r="T109" s="318" t="str">
        <f ca="1">IF(OR($A109="",TYPE(VLOOKUP($A109,Centrum!$D$3:$M$130,10,0))&gt;3),"",VLOOKUP(VLOOKUP($A109,Centrum!$D$3:$M$130,10,0),Centrum!$A$3:$CB$130,T$132,0))</f>
        <v/>
      </c>
      <c r="U109" s="318" t="str">
        <f ca="1">IF(OR($A109="",TYPE(VLOOKUP($A109,Centrum!$D$3:$M$130,10,0))&gt;3),"",VLOOKUP(VLOOKUP($A109,Centrum!$D$3:$M$130,10,0),Centrum!$A$3:$CB$130,U$132,0))</f>
        <v/>
      </c>
      <c r="AB109" s="318" t="str">
        <f ca="1">IF(OR($A109="",TYPE(VLOOKUP($A109,Centrum!$D$3:$M$130,10,0))&gt;3),"",VLOOKUP(VLOOKUP($A109,Centrum!$D$3:$M$130,10,0),Centrum!$A$3:$CB$130,AB$132,0))</f>
        <v/>
      </c>
      <c r="AC109" s="318" t="str">
        <f ca="1">IF(OR($A109="",TYPE(VLOOKUP($A109,Centrum!$D$3:$M$130,10,0))&gt;3),"",VLOOKUP(VLOOKUP($A109,Centrum!$D$3:$M$130,10,0),Centrum!$A$3:$CB$130,AC$132,0))</f>
        <v/>
      </c>
      <c r="AD109" s="318" t="str">
        <f ca="1">IF(OR($A109="",TYPE(VLOOKUP($A109,Centrum!$D$3:$M$130,10,0))&gt;3),"",VLOOKUP(VLOOKUP($A109,Centrum!$D$3:$M$130,10,0),Centrum!$A$3:$CB$130,AD$132,0))</f>
        <v/>
      </c>
      <c r="AK109" s="318" t="str">
        <f ca="1">IF(OR($A109="",TYPE(VLOOKUP($A109,Centrum!$D$3:$M$130,10,0))&gt;3),"",VLOOKUP(VLOOKUP($A109,Centrum!$D$3:$M$130,10,0),Centrum!$A$3:$CB$130,AK$132,0))</f>
        <v/>
      </c>
      <c r="AL109" s="318" t="str">
        <f ca="1">IF(OR($A109="",TYPE(VLOOKUP($A109,Centrum!$D$3:$M$130,10,0))&gt;3),"",VLOOKUP(VLOOKUP($A109,Centrum!$D$3:$M$130,10,0),Centrum!$A$3:$CB$130,AL$132,0))</f>
        <v/>
      </c>
      <c r="AM109" s="318" t="str">
        <f ca="1">IF(OR($A109="",TYPE(VLOOKUP($A109,Centrum!$D$3:$M$130,10,0))&gt;3),"",VLOOKUP(VLOOKUP($A109,Centrum!$D$3:$M$130,10,0),Centrum!$A$3:$CB$130,AM$132,0))</f>
        <v/>
      </c>
      <c r="AT109" s="318" t="str">
        <f ca="1">IF(OR(OR($A109="",TYPE(VLOOKUP($A109,Centrum!$D$3:$M$130,10,0))&gt;3),$A$1&lt;4),"",VLOOKUP(VLOOKUP($A109,Centrum!$D$3:$M$130,10,0),Centrum!$A$3:$CB$130,AT$132,0))</f>
        <v/>
      </c>
      <c r="AU109" s="318" t="str">
        <f ca="1">IF(OR(OR($A109="",TYPE(VLOOKUP($A109,Centrum!$D$3:$M$130,10,0))&gt;3),$A$1&lt;4),"",VLOOKUP(VLOOKUP($A109,Centrum!$D$3:$M$130,10,0),Centrum!$A$3:$CB$130,AU$132,0))</f>
        <v/>
      </c>
      <c r="AV109" s="318" t="str">
        <f ca="1">IF(OR(OR($A109="",TYPE(VLOOKUP($A109,Centrum!$D$3:$M$130,10,0))&gt;3),$A$1&lt;4),"",VLOOKUP(VLOOKUP($A109,Centrum!$D$3:$M$130,10,0),Centrum!$A$3:$CB$130,AV$132,0))</f>
        <v/>
      </c>
      <c r="BC109" s="318" t="str">
        <f ca="1">IF(OR(OR($A109="",TYPE(VLOOKUP($A109,Centrum!$D$3:$M$130,10,0))&gt;3),$A$1&lt;5),"",VLOOKUP(VLOOKUP($A109,Centrum!$D$3:$M$130,10,0),Centrum!$A$3:$CB$130,BC$132,0))</f>
        <v/>
      </c>
      <c r="BD109" s="318" t="str">
        <f ca="1">IF(OR(OR($A109="",TYPE(VLOOKUP($A109,Centrum!$D$3:$M$130,10,0))&gt;3),$A$1&lt;5),"",VLOOKUP(VLOOKUP($A109,Centrum!$D$3:$M$130,10,0),Centrum!$A$3:$CB$130,BD$132,0))</f>
        <v/>
      </c>
      <c r="BE109" s="318" t="str">
        <f ca="1">IF(OR(OR($A109="",TYPE(VLOOKUP($A109,Centrum!$D$3:$M$130,10,0))&gt;3),$A$1&lt;5),"",VLOOKUP(VLOOKUP($A109,Centrum!$D$3:$M$130,10,0),Centrum!$A$3:$CB$130,BE$132,0))</f>
        <v/>
      </c>
      <c r="BL109" s="318" t="str">
        <f ca="1">IF(OR(OR($A109="",TYPE(VLOOKUP($A109,Centrum!$D$3:$M$130,10,0))&gt;3),$A$1&lt;6),"",VLOOKUP(VLOOKUP($A109,Centrum!$D$3:$M$130,10,0),Centrum!$A$3:$CB$130,BL$132,0))</f>
        <v/>
      </c>
      <c r="BM109" s="318" t="str">
        <f ca="1">IF(OR(OR($A109="",TYPE(VLOOKUP($A109,Centrum!$D$3:$M$130,10,0))&gt;3),$A$1&lt;6),"",VLOOKUP(VLOOKUP($A109,Centrum!$D$3:$M$130,10,0),Centrum!$A$3:$CB$130,BM$132,0))</f>
        <v/>
      </c>
      <c r="BN109" s="318" t="str">
        <f ca="1">IF(OR(OR($A109="",TYPE(VLOOKUP($A109,Centrum!$D$3:$M$130,10,0))&gt;3),$A$1&lt;6),"",VLOOKUP(VLOOKUP($A109,Centrum!$D$3:$M$130,10,0),Centrum!$A$3:$CB$130,BN$132,0))</f>
        <v/>
      </c>
    </row>
    <row r="110" spans="1:66" x14ac:dyDescent="0.4">
      <c r="A110" s="318" t="str">
        <f ca="1">Centrum!A110</f>
        <v/>
      </c>
      <c r="B110" s="421" t="str">
        <f ca="1">IF(OR($A110="",TYPE(VLOOKUP($A110,Centrum!$D$3:$M$130,10,0))&gt;3),"",VLOOKUP(VLOOKUP(A110,Centrum!$D$3:$M$130,10,0),Centrum!$A$3:$CB$130,B$132,0))</f>
        <v/>
      </c>
      <c r="C110" s="318" t="str">
        <f ca="1">IF(OR($A110="",TYPE(VLOOKUP($A110,Centrum!$D$3:$M$130,10,0))&gt;3),"",VLOOKUP($A110,Centrum!$D$3:$M$130,10,0))</f>
        <v/>
      </c>
      <c r="E110" s="318" t="str">
        <f ca="1">IF(OR($A110="",TYPE(VLOOKUP($A110,Centrum!$D$3:$M$130,10,0))&gt;3),"",VLOOKUP(VLOOKUP($A110,Centrum!$D$3:$M$130,10,0),Centrum!$A$3:$CB$130,E$132,0))</f>
        <v/>
      </c>
      <c r="F110" s="318" t="str">
        <f ca="1">IF(OR($A110="",TYPE(VLOOKUP($A110,Centrum!$D$3:$M$130,10,0))&gt;3),"",VLOOKUP(VLOOKUP($A110,Centrum!$D$3:$M$130,10,0),Centrum!$A$3:$CB$130,F$132,0))</f>
        <v/>
      </c>
      <c r="G110" s="318" t="str">
        <f ca="1">IF(OR($A110="",TYPE(VLOOKUP($A110,Centrum!$D$3:$M$130,10,0))&gt;3),"",VLOOKUP(VLOOKUP($A110,Centrum!$D$3:$M$130,10,0),Centrum!$A$3:$CB$130,G$132,0))</f>
        <v/>
      </c>
      <c r="H110" s="318" t="str">
        <f ca="1">IF($A110="","",VLOOKUP(VLOOKUP($A110,Centrum!$D$3:$M$130,10,0),Centrum!$A$3:$CB$130,H$132,0))</f>
        <v/>
      </c>
      <c r="I110" s="318" t="str">
        <f ca="1">IF($A110="","",VLOOKUP(VLOOKUP($A110,Centrum!$D$3:$M$130,10,0),Centrum!$A$3:$CB$130,I$132,0))</f>
        <v/>
      </c>
      <c r="J110" s="318" t="str">
        <f ca="1">IF(OR($A110="",TYPE(VLOOKUP($A110,Centrum!$D$3:$M$130,10,0))&gt;3),"",VLOOKUP(VLOOKUP($A110,Centrum!$D$3:$M$130,10,0),Centrum!$A$3:$CB$130,J$132,0))</f>
        <v/>
      </c>
      <c r="L110" s="318" t="str">
        <f ca="1">IF(OR($A110="",TYPE(VLOOKUP($A110,Centrum!$D$3:$M$130,10,0))&gt;3),"",VLOOKUP(VLOOKUP($A110,Centrum!$D$3:$M$130,10,0),Centrum!$A$3:$CB$130,L$132,0))</f>
        <v/>
      </c>
      <c r="M110" s="318" t="str">
        <f ca="1">IF(OR($A110="",TYPE(VLOOKUP($A110,Centrum!$D$3:$M$130,10,0))&gt;3),"",VLOOKUP(VLOOKUP($A110,Centrum!$D$3:$M$130,10,0),Centrum!$A$3:$CB$130,M$132,0))</f>
        <v/>
      </c>
      <c r="N110" s="318" t="str">
        <f ca="1">IF(OR($A110="",TYPE(VLOOKUP($A110,Centrum!$D$3:$M$130,10,0))&gt;3),"",VLOOKUP(VLOOKUP($A110,Centrum!$D$3:$M$130,10,0),Centrum!$A$3:$CB$130,N$132,0))</f>
        <v/>
      </c>
      <c r="O110" s="318" t="str">
        <f ca="1">IF(OR($A110="",TYPE(VLOOKUP($A110,Centrum!$D$3:$M$130,10,0))&gt;3),"",VLOOKUP(VLOOKUP($A110,Centrum!$D$3:$M$130,10,0),Centrum!$A$3:$CB$130,O$132,0))</f>
        <v/>
      </c>
      <c r="P110" s="318" t="str">
        <f ca="1">IF(OR($A110="",TYPE(VLOOKUP($A110,Centrum!$D$3:$M$130,10,0))&gt;3),"",VLOOKUP(VLOOKUP($A110,Centrum!$D$3:$M$130,10,0),Centrum!$A$3:$CB$130,P$132,0))</f>
        <v/>
      </c>
      <c r="Q110" s="318" t="str">
        <f ca="1">IF(OR($A110="",TYPE(VLOOKUP($A110,Centrum!$D$3:$M$130,10,0))&gt;3),"",VLOOKUP(VLOOKUP($A110,Centrum!$D$3:$M$130,10,0),Centrum!$A$3:$CB$130,Q$132,0))</f>
        <v/>
      </c>
      <c r="S110" s="318" t="str">
        <f ca="1">IF(OR($A110="",TYPE(VLOOKUP($A110,Centrum!$D$3:$M$130,10,0))&gt;3),"",VLOOKUP(VLOOKUP($A110,Centrum!$D$3:$M$130,10,0),Centrum!$A$3:$CB$130,S$132,0))</f>
        <v/>
      </c>
      <c r="T110" s="318" t="str">
        <f ca="1">IF(OR($A110="",TYPE(VLOOKUP($A110,Centrum!$D$3:$M$130,10,0))&gt;3),"",VLOOKUP(VLOOKUP($A110,Centrum!$D$3:$M$130,10,0),Centrum!$A$3:$CB$130,T$132,0))</f>
        <v/>
      </c>
      <c r="U110" s="318" t="str">
        <f ca="1">IF(OR($A110="",TYPE(VLOOKUP($A110,Centrum!$D$3:$M$130,10,0))&gt;3),"",VLOOKUP(VLOOKUP($A110,Centrum!$D$3:$M$130,10,0),Centrum!$A$3:$CB$130,U$132,0))</f>
        <v/>
      </c>
      <c r="AB110" s="318" t="str">
        <f ca="1">IF(OR($A110="",TYPE(VLOOKUP($A110,Centrum!$D$3:$M$130,10,0))&gt;3),"",VLOOKUP(VLOOKUP($A110,Centrum!$D$3:$M$130,10,0),Centrum!$A$3:$CB$130,AB$132,0))</f>
        <v/>
      </c>
      <c r="AC110" s="318" t="str">
        <f ca="1">IF(OR($A110="",TYPE(VLOOKUP($A110,Centrum!$D$3:$M$130,10,0))&gt;3),"",VLOOKUP(VLOOKUP($A110,Centrum!$D$3:$M$130,10,0),Centrum!$A$3:$CB$130,AC$132,0))</f>
        <v/>
      </c>
      <c r="AD110" s="318" t="str">
        <f ca="1">IF(OR($A110="",TYPE(VLOOKUP($A110,Centrum!$D$3:$M$130,10,0))&gt;3),"",VLOOKUP(VLOOKUP($A110,Centrum!$D$3:$M$130,10,0),Centrum!$A$3:$CB$130,AD$132,0))</f>
        <v/>
      </c>
      <c r="AK110" s="318" t="str">
        <f ca="1">IF(OR($A110="",TYPE(VLOOKUP($A110,Centrum!$D$3:$M$130,10,0))&gt;3),"",VLOOKUP(VLOOKUP($A110,Centrum!$D$3:$M$130,10,0),Centrum!$A$3:$CB$130,AK$132,0))</f>
        <v/>
      </c>
      <c r="AL110" s="318" t="str">
        <f ca="1">IF(OR($A110="",TYPE(VLOOKUP($A110,Centrum!$D$3:$M$130,10,0))&gt;3),"",VLOOKUP(VLOOKUP($A110,Centrum!$D$3:$M$130,10,0),Centrum!$A$3:$CB$130,AL$132,0))</f>
        <v/>
      </c>
      <c r="AM110" s="318" t="str">
        <f ca="1">IF(OR($A110="",TYPE(VLOOKUP($A110,Centrum!$D$3:$M$130,10,0))&gt;3),"",VLOOKUP(VLOOKUP($A110,Centrum!$D$3:$M$130,10,0),Centrum!$A$3:$CB$130,AM$132,0))</f>
        <v/>
      </c>
      <c r="AT110" s="318" t="str">
        <f ca="1">IF(OR(OR($A110="",TYPE(VLOOKUP($A110,Centrum!$D$3:$M$130,10,0))&gt;3),$A$1&lt;4),"",VLOOKUP(VLOOKUP($A110,Centrum!$D$3:$M$130,10,0),Centrum!$A$3:$CB$130,AT$132,0))</f>
        <v/>
      </c>
      <c r="AU110" s="318" t="str">
        <f ca="1">IF(OR(OR($A110="",TYPE(VLOOKUP($A110,Centrum!$D$3:$M$130,10,0))&gt;3),$A$1&lt;4),"",VLOOKUP(VLOOKUP($A110,Centrum!$D$3:$M$130,10,0),Centrum!$A$3:$CB$130,AU$132,0))</f>
        <v/>
      </c>
      <c r="AV110" s="318" t="str">
        <f ca="1">IF(OR(OR($A110="",TYPE(VLOOKUP($A110,Centrum!$D$3:$M$130,10,0))&gt;3),$A$1&lt;4),"",VLOOKUP(VLOOKUP($A110,Centrum!$D$3:$M$130,10,0),Centrum!$A$3:$CB$130,AV$132,0))</f>
        <v/>
      </c>
      <c r="BC110" s="318" t="str">
        <f ca="1">IF(OR(OR($A110="",TYPE(VLOOKUP($A110,Centrum!$D$3:$M$130,10,0))&gt;3),$A$1&lt;5),"",VLOOKUP(VLOOKUP($A110,Centrum!$D$3:$M$130,10,0),Centrum!$A$3:$CB$130,BC$132,0))</f>
        <v/>
      </c>
      <c r="BD110" s="318" t="str">
        <f ca="1">IF(OR(OR($A110="",TYPE(VLOOKUP($A110,Centrum!$D$3:$M$130,10,0))&gt;3),$A$1&lt;5),"",VLOOKUP(VLOOKUP($A110,Centrum!$D$3:$M$130,10,0),Centrum!$A$3:$CB$130,BD$132,0))</f>
        <v/>
      </c>
      <c r="BE110" s="318" t="str">
        <f ca="1">IF(OR(OR($A110="",TYPE(VLOOKUP($A110,Centrum!$D$3:$M$130,10,0))&gt;3),$A$1&lt;5),"",VLOOKUP(VLOOKUP($A110,Centrum!$D$3:$M$130,10,0),Centrum!$A$3:$CB$130,BE$132,0))</f>
        <v/>
      </c>
      <c r="BL110" s="318" t="str">
        <f ca="1">IF(OR(OR($A110="",TYPE(VLOOKUP($A110,Centrum!$D$3:$M$130,10,0))&gt;3),$A$1&lt;6),"",VLOOKUP(VLOOKUP($A110,Centrum!$D$3:$M$130,10,0),Centrum!$A$3:$CB$130,BL$132,0))</f>
        <v/>
      </c>
      <c r="BM110" s="318" t="str">
        <f ca="1">IF(OR(OR($A110="",TYPE(VLOOKUP($A110,Centrum!$D$3:$M$130,10,0))&gt;3),$A$1&lt;6),"",VLOOKUP(VLOOKUP($A110,Centrum!$D$3:$M$130,10,0),Centrum!$A$3:$CB$130,BM$132,0))</f>
        <v/>
      </c>
      <c r="BN110" s="318" t="str">
        <f ca="1">IF(OR(OR($A110="",TYPE(VLOOKUP($A110,Centrum!$D$3:$M$130,10,0))&gt;3),$A$1&lt;6),"",VLOOKUP(VLOOKUP($A110,Centrum!$D$3:$M$130,10,0),Centrum!$A$3:$CB$130,BN$132,0))</f>
        <v/>
      </c>
    </row>
    <row r="111" spans="1:66" x14ac:dyDescent="0.4">
      <c r="A111" s="318" t="str">
        <f ca="1">Centrum!A111</f>
        <v/>
      </c>
      <c r="B111" s="421" t="str">
        <f ca="1">IF(OR($A111="",TYPE(VLOOKUP($A111,Centrum!$D$3:$M$130,10,0))&gt;3),"",VLOOKUP(VLOOKUP(A111,Centrum!$D$3:$M$130,10,0),Centrum!$A$3:$CB$130,B$132,0))</f>
        <v/>
      </c>
      <c r="C111" s="318" t="str">
        <f ca="1">IF(OR($A111="",TYPE(VLOOKUP($A111,Centrum!$D$3:$M$130,10,0))&gt;3),"",VLOOKUP($A111,Centrum!$D$3:$M$130,10,0))</f>
        <v/>
      </c>
      <c r="E111" s="318" t="str">
        <f ca="1">IF(OR($A111="",TYPE(VLOOKUP($A111,Centrum!$D$3:$M$130,10,0))&gt;3),"",VLOOKUP(VLOOKUP($A111,Centrum!$D$3:$M$130,10,0),Centrum!$A$3:$CB$130,E$132,0))</f>
        <v/>
      </c>
      <c r="F111" s="318" t="str">
        <f ca="1">IF(OR($A111="",TYPE(VLOOKUP($A111,Centrum!$D$3:$M$130,10,0))&gt;3),"",VLOOKUP(VLOOKUP($A111,Centrum!$D$3:$M$130,10,0),Centrum!$A$3:$CB$130,F$132,0))</f>
        <v/>
      </c>
      <c r="G111" s="318" t="str">
        <f ca="1">IF(OR($A111="",TYPE(VLOOKUP($A111,Centrum!$D$3:$M$130,10,0))&gt;3),"",VLOOKUP(VLOOKUP($A111,Centrum!$D$3:$M$130,10,0),Centrum!$A$3:$CB$130,G$132,0))</f>
        <v/>
      </c>
      <c r="H111" s="318" t="str">
        <f ca="1">IF($A111="","",VLOOKUP(VLOOKUP($A111,Centrum!$D$3:$M$130,10,0),Centrum!$A$3:$CB$130,H$132,0))</f>
        <v/>
      </c>
      <c r="I111" s="318" t="str">
        <f ca="1">IF($A111="","",VLOOKUP(VLOOKUP($A111,Centrum!$D$3:$M$130,10,0),Centrum!$A$3:$CB$130,I$132,0))</f>
        <v/>
      </c>
      <c r="J111" s="318" t="str">
        <f ca="1">IF(OR($A111="",TYPE(VLOOKUP($A111,Centrum!$D$3:$M$130,10,0))&gt;3),"",VLOOKUP(VLOOKUP($A111,Centrum!$D$3:$M$130,10,0),Centrum!$A$3:$CB$130,J$132,0))</f>
        <v/>
      </c>
      <c r="L111" s="318" t="str">
        <f ca="1">IF(OR($A111="",TYPE(VLOOKUP($A111,Centrum!$D$3:$M$130,10,0))&gt;3),"",VLOOKUP(VLOOKUP($A111,Centrum!$D$3:$M$130,10,0),Centrum!$A$3:$CB$130,L$132,0))</f>
        <v/>
      </c>
      <c r="M111" s="318" t="str">
        <f ca="1">IF(OR($A111="",TYPE(VLOOKUP($A111,Centrum!$D$3:$M$130,10,0))&gt;3),"",VLOOKUP(VLOOKUP($A111,Centrum!$D$3:$M$130,10,0),Centrum!$A$3:$CB$130,M$132,0))</f>
        <v/>
      </c>
      <c r="N111" s="318" t="str">
        <f ca="1">IF(OR($A111="",TYPE(VLOOKUP($A111,Centrum!$D$3:$M$130,10,0))&gt;3),"",VLOOKUP(VLOOKUP($A111,Centrum!$D$3:$M$130,10,0),Centrum!$A$3:$CB$130,N$132,0))</f>
        <v/>
      </c>
      <c r="O111" s="318" t="str">
        <f ca="1">IF(OR($A111="",TYPE(VLOOKUP($A111,Centrum!$D$3:$M$130,10,0))&gt;3),"",VLOOKUP(VLOOKUP($A111,Centrum!$D$3:$M$130,10,0),Centrum!$A$3:$CB$130,O$132,0))</f>
        <v/>
      </c>
      <c r="P111" s="318" t="str">
        <f ca="1">IF(OR($A111="",TYPE(VLOOKUP($A111,Centrum!$D$3:$M$130,10,0))&gt;3),"",VLOOKUP(VLOOKUP($A111,Centrum!$D$3:$M$130,10,0),Centrum!$A$3:$CB$130,P$132,0))</f>
        <v/>
      </c>
      <c r="Q111" s="318" t="str">
        <f ca="1">IF(OR($A111="",TYPE(VLOOKUP($A111,Centrum!$D$3:$M$130,10,0))&gt;3),"",VLOOKUP(VLOOKUP($A111,Centrum!$D$3:$M$130,10,0),Centrum!$A$3:$CB$130,Q$132,0))</f>
        <v/>
      </c>
      <c r="S111" s="318" t="str">
        <f ca="1">IF(OR($A111="",TYPE(VLOOKUP($A111,Centrum!$D$3:$M$130,10,0))&gt;3),"",VLOOKUP(VLOOKUP($A111,Centrum!$D$3:$M$130,10,0),Centrum!$A$3:$CB$130,S$132,0))</f>
        <v/>
      </c>
      <c r="T111" s="318" t="str">
        <f ca="1">IF(OR($A111="",TYPE(VLOOKUP($A111,Centrum!$D$3:$M$130,10,0))&gt;3),"",VLOOKUP(VLOOKUP($A111,Centrum!$D$3:$M$130,10,0),Centrum!$A$3:$CB$130,T$132,0))</f>
        <v/>
      </c>
      <c r="U111" s="318" t="str">
        <f ca="1">IF(OR($A111="",TYPE(VLOOKUP($A111,Centrum!$D$3:$M$130,10,0))&gt;3),"",VLOOKUP(VLOOKUP($A111,Centrum!$D$3:$M$130,10,0),Centrum!$A$3:$CB$130,U$132,0))</f>
        <v/>
      </c>
      <c r="AB111" s="318" t="str">
        <f ca="1">IF(OR($A111="",TYPE(VLOOKUP($A111,Centrum!$D$3:$M$130,10,0))&gt;3),"",VLOOKUP(VLOOKUP($A111,Centrum!$D$3:$M$130,10,0),Centrum!$A$3:$CB$130,AB$132,0))</f>
        <v/>
      </c>
      <c r="AC111" s="318" t="str">
        <f ca="1">IF(OR($A111="",TYPE(VLOOKUP($A111,Centrum!$D$3:$M$130,10,0))&gt;3),"",VLOOKUP(VLOOKUP($A111,Centrum!$D$3:$M$130,10,0),Centrum!$A$3:$CB$130,AC$132,0))</f>
        <v/>
      </c>
      <c r="AD111" s="318" t="str">
        <f ca="1">IF(OR($A111="",TYPE(VLOOKUP($A111,Centrum!$D$3:$M$130,10,0))&gt;3),"",VLOOKUP(VLOOKUP($A111,Centrum!$D$3:$M$130,10,0),Centrum!$A$3:$CB$130,AD$132,0))</f>
        <v/>
      </c>
      <c r="AK111" s="318" t="str">
        <f ca="1">IF(OR($A111="",TYPE(VLOOKUP($A111,Centrum!$D$3:$M$130,10,0))&gt;3),"",VLOOKUP(VLOOKUP($A111,Centrum!$D$3:$M$130,10,0),Centrum!$A$3:$CB$130,AK$132,0))</f>
        <v/>
      </c>
      <c r="AL111" s="318" t="str">
        <f ca="1">IF(OR($A111="",TYPE(VLOOKUP($A111,Centrum!$D$3:$M$130,10,0))&gt;3),"",VLOOKUP(VLOOKUP($A111,Centrum!$D$3:$M$130,10,0),Centrum!$A$3:$CB$130,AL$132,0))</f>
        <v/>
      </c>
      <c r="AM111" s="318" t="str">
        <f ca="1">IF(OR($A111="",TYPE(VLOOKUP($A111,Centrum!$D$3:$M$130,10,0))&gt;3),"",VLOOKUP(VLOOKUP($A111,Centrum!$D$3:$M$130,10,0),Centrum!$A$3:$CB$130,AM$132,0))</f>
        <v/>
      </c>
      <c r="AT111" s="318" t="str">
        <f ca="1">IF(OR(OR($A111="",TYPE(VLOOKUP($A111,Centrum!$D$3:$M$130,10,0))&gt;3),$A$1&lt;4),"",VLOOKUP(VLOOKUP($A111,Centrum!$D$3:$M$130,10,0),Centrum!$A$3:$CB$130,AT$132,0))</f>
        <v/>
      </c>
      <c r="AU111" s="318" t="str">
        <f ca="1">IF(OR(OR($A111="",TYPE(VLOOKUP($A111,Centrum!$D$3:$M$130,10,0))&gt;3),$A$1&lt;4),"",VLOOKUP(VLOOKUP($A111,Centrum!$D$3:$M$130,10,0),Centrum!$A$3:$CB$130,AU$132,0))</f>
        <v/>
      </c>
      <c r="AV111" s="318" t="str">
        <f ca="1">IF(OR(OR($A111="",TYPE(VLOOKUP($A111,Centrum!$D$3:$M$130,10,0))&gt;3),$A$1&lt;4),"",VLOOKUP(VLOOKUP($A111,Centrum!$D$3:$M$130,10,0),Centrum!$A$3:$CB$130,AV$132,0))</f>
        <v/>
      </c>
      <c r="BC111" s="318" t="str">
        <f ca="1">IF(OR(OR($A111="",TYPE(VLOOKUP($A111,Centrum!$D$3:$M$130,10,0))&gt;3),$A$1&lt;5),"",VLOOKUP(VLOOKUP($A111,Centrum!$D$3:$M$130,10,0),Centrum!$A$3:$CB$130,BC$132,0))</f>
        <v/>
      </c>
      <c r="BD111" s="318" t="str">
        <f ca="1">IF(OR(OR($A111="",TYPE(VLOOKUP($A111,Centrum!$D$3:$M$130,10,0))&gt;3),$A$1&lt;5),"",VLOOKUP(VLOOKUP($A111,Centrum!$D$3:$M$130,10,0),Centrum!$A$3:$CB$130,BD$132,0))</f>
        <v/>
      </c>
      <c r="BE111" s="318" t="str">
        <f ca="1">IF(OR(OR($A111="",TYPE(VLOOKUP($A111,Centrum!$D$3:$M$130,10,0))&gt;3),$A$1&lt;5),"",VLOOKUP(VLOOKUP($A111,Centrum!$D$3:$M$130,10,0),Centrum!$A$3:$CB$130,BE$132,0))</f>
        <v/>
      </c>
      <c r="BL111" s="318" t="str">
        <f ca="1">IF(OR(OR($A111="",TYPE(VLOOKUP($A111,Centrum!$D$3:$M$130,10,0))&gt;3),$A$1&lt;6),"",VLOOKUP(VLOOKUP($A111,Centrum!$D$3:$M$130,10,0),Centrum!$A$3:$CB$130,BL$132,0))</f>
        <v/>
      </c>
      <c r="BM111" s="318" t="str">
        <f ca="1">IF(OR(OR($A111="",TYPE(VLOOKUP($A111,Centrum!$D$3:$M$130,10,0))&gt;3),$A$1&lt;6),"",VLOOKUP(VLOOKUP($A111,Centrum!$D$3:$M$130,10,0),Centrum!$A$3:$CB$130,BM$132,0))</f>
        <v/>
      </c>
      <c r="BN111" s="318" t="str">
        <f ca="1">IF(OR(OR($A111="",TYPE(VLOOKUP($A111,Centrum!$D$3:$M$130,10,0))&gt;3),$A$1&lt;6),"",VLOOKUP(VLOOKUP($A111,Centrum!$D$3:$M$130,10,0),Centrum!$A$3:$CB$130,BN$132,0))</f>
        <v/>
      </c>
    </row>
    <row r="112" spans="1:66" x14ac:dyDescent="0.4">
      <c r="A112" s="318" t="str">
        <f ca="1">Centrum!A112</f>
        <v/>
      </c>
      <c r="B112" s="421" t="str">
        <f ca="1">IF(OR($A112="",TYPE(VLOOKUP($A112,Centrum!$D$3:$M$130,10,0))&gt;3),"",VLOOKUP(VLOOKUP(A112,Centrum!$D$3:$M$130,10,0),Centrum!$A$3:$CB$130,B$132,0))</f>
        <v/>
      </c>
      <c r="C112" s="318" t="str">
        <f ca="1">IF(OR($A112="",TYPE(VLOOKUP($A112,Centrum!$D$3:$M$130,10,0))&gt;3),"",VLOOKUP($A112,Centrum!$D$3:$M$130,10,0))</f>
        <v/>
      </c>
      <c r="E112" s="318" t="str">
        <f ca="1">IF(OR($A112="",TYPE(VLOOKUP($A112,Centrum!$D$3:$M$130,10,0))&gt;3),"",VLOOKUP(VLOOKUP($A112,Centrum!$D$3:$M$130,10,0),Centrum!$A$3:$CB$130,E$132,0))</f>
        <v/>
      </c>
      <c r="F112" s="318" t="str">
        <f ca="1">IF(OR($A112="",TYPE(VLOOKUP($A112,Centrum!$D$3:$M$130,10,0))&gt;3),"",VLOOKUP(VLOOKUP($A112,Centrum!$D$3:$M$130,10,0),Centrum!$A$3:$CB$130,F$132,0))</f>
        <v/>
      </c>
      <c r="G112" s="318" t="str">
        <f ca="1">IF(OR($A112="",TYPE(VLOOKUP($A112,Centrum!$D$3:$M$130,10,0))&gt;3),"",VLOOKUP(VLOOKUP($A112,Centrum!$D$3:$M$130,10,0),Centrum!$A$3:$CB$130,G$132,0))</f>
        <v/>
      </c>
      <c r="H112" s="318" t="str">
        <f ca="1">IF($A112="","",VLOOKUP(VLOOKUP($A112,Centrum!$D$3:$M$130,10,0),Centrum!$A$3:$CB$130,H$132,0))</f>
        <v/>
      </c>
      <c r="I112" s="318" t="str">
        <f ca="1">IF($A112="","",VLOOKUP(VLOOKUP($A112,Centrum!$D$3:$M$130,10,0),Centrum!$A$3:$CB$130,I$132,0))</f>
        <v/>
      </c>
      <c r="J112" s="318" t="str">
        <f ca="1">IF(OR($A112="",TYPE(VLOOKUP($A112,Centrum!$D$3:$M$130,10,0))&gt;3),"",VLOOKUP(VLOOKUP($A112,Centrum!$D$3:$M$130,10,0),Centrum!$A$3:$CB$130,J$132,0))</f>
        <v/>
      </c>
      <c r="L112" s="318" t="str">
        <f ca="1">IF(OR($A112="",TYPE(VLOOKUP($A112,Centrum!$D$3:$M$130,10,0))&gt;3),"",VLOOKUP(VLOOKUP($A112,Centrum!$D$3:$M$130,10,0),Centrum!$A$3:$CB$130,L$132,0))</f>
        <v/>
      </c>
      <c r="M112" s="318" t="str">
        <f ca="1">IF(OR($A112="",TYPE(VLOOKUP($A112,Centrum!$D$3:$M$130,10,0))&gt;3),"",VLOOKUP(VLOOKUP($A112,Centrum!$D$3:$M$130,10,0),Centrum!$A$3:$CB$130,M$132,0))</f>
        <v/>
      </c>
      <c r="N112" s="318" t="str">
        <f ca="1">IF(OR($A112="",TYPE(VLOOKUP($A112,Centrum!$D$3:$M$130,10,0))&gt;3),"",VLOOKUP(VLOOKUP($A112,Centrum!$D$3:$M$130,10,0),Centrum!$A$3:$CB$130,N$132,0))</f>
        <v/>
      </c>
      <c r="O112" s="318" t="str">
        <f ca="1">IF(OR($A112="",TYPE(VLOOKUP($A112,Centrum!$D$3:$M$130,10,0))&gt;3),"",VLOOKUP(VLOOKUP($A112,Centrum!$D$3:$M$130,10,0),Centrum!$A$3:$CB$130,O$132,0))</f>
        <v/>
      </c>
      <c r="P112" s="318" t="str">
        <f ca="1">IF(OR($A112="",TYPE(VLOOKUP($A112,Centrum!$D$3:$M$130,10,0))&gt;3),"",VLOOKUP(VLOOKUP($A112,Centrum!$D$3:$M$130,10,0),Centrum!$A$3:$CB$130,P$132,0))</f>
        <v/>
      </c>
      <c r="Q112" s="318" t="str">
        <f ca="1">IF(OR($A112="",TYPE(VLOOKUP($A112,Centrum!$D$3:$M$130,10,0))&gt;3),"",VLOOKUP(VLOOKUP($A112,Centrum!$D$3:$M$130,10,0),Centrum!$A$3:$CB$130,Q$132,0))</f>
        <v/>
      </c>
      <c r="S112" s="318" t="str">
        <f ca="1">IF(OR($A112="",TYPE(VLOOKUP($A112,Centrum!$D$3:$M$130,10,0))&gt;3),"",VLOOKUP(VLOOKUP($A112,Centrum!$D$3:$M$130,10,0),Centrum!$A$3:$CB$130,S$132,0))</f>
        <v/>
      </c>
      <c r="T112" s="318" t="str">
        <f ca="1">IF(OR($A112="",TYPE(VLOOKUP($A112,Centrum!$D$3:$M$130,10,0))&gt;3),"",VLOOKUP(VLOOKUP($A112,Centrum!$D$3:$M$130,10,0),Centrum!$A$3:$CB$130,T$132,0))</f>
        <v/>
      </c>
      <c r="U112" s="318" t="str">
        <f ca="1">IF(OR($A112="",TYPE(VLOOKUP($A112,Centrum!$D$3:$M$130,10,0))&gt;3),"",VLOOKUP(VLOOKUP($A112,Centrum!$D$3:$M$130,10,0),Centrum!$A$3:$CB$130,U$132,0))</f>
        <v/>
      </c>
      <c r="AB112" s="318" t="str">
        <f ca="1">IF(OR($A112="",TYPE(VLOOKUP($A112,Centrum!$D$3:$M$130,10,0))&gt;3),"",VLOOKUP(VLOOKUP($A112,Centrum!$D$3:$M$130,10,0),Centrum!$A$3:$CB$130,AB$132,0))</f>
        <v/>
      </c>
      <c r="AC112" s="318" t="str">
        <f ca="1">IF(OR($A112="",TYPE(VLOOKUP($A112,Centrum!$D$3:$M$130,10,0))&gt;3),"",VLOOKUP(VLOOKUP($A112,Centrum!$D$3:$M$130,10,0),Centrum!$A$3:$CB$130,AC$132,0))</f>
        <v/>
      </c>
      <c r="AD112" s="318" t="str">
        <f ca="1">IF(OR($A112="",TYPE(VLOOKUP($A112,Centrum!$D$3:$M$130,10,0))&gt;3),"",VLOOKUP(VLOOKUP($A112,Centrum!$D$3:$M$130,10,0),Centrum!$A$3:$CB$130,AD$132,0))</f>
        <v/>
      </c>
      <c r="AK112" s="318" t="str">
        <f ca="1">IF(OR($A112="",TYPE(VLOOKUP($A112,Centrum!$D$3:$M$130,10,0))&gt;3),"",VLOOKUP(VLOOKUP($A112,Centrum!$D$3:$M$130,10,0),Centrum!$A$3:$CB$130,AK$132,0))</f>
        <v/>
      </c>
      <c r="AL112" s="318" t="str">
        <f ca="1">IF(OR($A112="",TYPE(VLOOKUP($A112,Centrum!$D$3:$M$130,10,0))&gt;3),"",VLOOKUP(VLOOKUP($A112,Centrum!$D$3:$M$130,10,0),Centrum!$A$3:$CB$130,AL$132,0))</f>
        <v/>
      </c>
      <c r="AM112" s="318" t="str">
        <f ca="1">IF(OR($A112="",TYPE(VLOOKUP($A112,Centrum!$D$3:$M$130,10,0))&gt;3),"",VLOOKUP(VLOOKUP($A112,Centrum!$D$3:$M$130,10,0),Centrum!$A$3:$CB$130,AM$132,0))</f>
        <v/>
      </c>
      <c r="AT112" s="318" t="str">
        <f ca="1">IF(OR(OR($A112="",TYPE(VLOOKUP($A112,Centrum!$D$3:$M$130,10,0))&gt;3),$A$1&lt;4),"",VLOOKUP(VLOOKUP($A112,Centrum!$D$3:$M$130,10,0),Centrum!$A$3:$CB$130,AT$132,0))</f>
        <v/>
      </c>
      <c r="AU112" s="318" t="str">
        <f ca="1">IF(OR(OR($A112="",TYPE(VLOOKUP($A112,Centrum!$D$3:$M$130,10,0))&gt;3),$A$1&lt;4),"",VLOOKUP(VLOOKUP($A112,Centrum!$D$3:$M$130,10,0),Centrum!$A$3:$CB$130,AU$132,0))</f>
        <v/>
      </c>
      <c r="AV112" s="318" t="str">
        <f ca="1">IF(OR(OR($A112="",TYPE(VLOOKUP($A112,Centrum!$D$3:$M$130,10,0))&gt;3),$A$1&lt;4),"",VLOOKUP(VLOOKUP($A112,Centrum!$D$3:$M$130,10,0),Centrum!$A$3:$CB$130,AV$132,0))</f>
        <v/>
      </c>
      <c r="BC112" s="318" t="str">
        <f ca="1">IF(OR(OR($A112="",TYPE(VLOOKUP($A112,Centrum!$D$3:$M$130,10,0))&gt;3),$A$1&lt;5),"",VLOOKUP(VLOOKUP($A112,Centrum!$D$3:$M$130,10,0),Centrum!$A$3:$CB$130,BC$132,0))</f>
        <v/>
      </c>
      <c r="BD112" s="318" t="str">
        <f ca="1">IF(OR(OR($A112="",TYPE(VLOOKUP($A112,Centrum!$D$3:$M$130,10,0))&gt;3),$A$1&lt;5),"",VLOOKUP(VLOOKUP($A112,Centrum!$D$3:$M$130,10,0),Centrum!$A$3:$CB$130,BD$132,0))</f>
        <v/>
      </c>
      <c r="BE112" s="318" t="str">
        <f ca="1">IF(OR(OR($A112="",TYPE(VLOOKUP($A112,Centrum!$D$3:$M$130,10,0))&gt;3),$A$1&lt;5),"",VLOOKUP(VLOOKUP($A112,Centrum!$D$3:$M$130,10,0),Centrum!$A$3:$CB$130,BE$132,0))</f>
        <v/>
      </c>
      <c r="BL112" s="318" t="str">
        <f ca="1">IF(OR(OR($A112="",TYPE(VLOOKUP($A112,Centrum!$D$3:$M$130,10,0))&gt;3),$A$1&lt;6),"",VLOOKUP(VLOOKUP($A112,Centrum!$D$3:$M$130,10,0),Centrum!$A$3:$CB$130,BL$132,0))</f>
        <v/>
      </c>
      <c r="BM112" s="318" t="str">
        <f ca="1">IF(OR(OR($A112="",TYPE(VLOOKUP($A112,Centrum!$D$3:$M$130,10,0))&gt;3),$A$1&lt;6),"",VLOOKUP(VLOOKUP($A112,Centrum!$D$3:$M$130,10,0),Centrum!$A$3:$CB$130,BM$132,0))</f>
        <v/>
      </c>
      <c r="BN112" s="318" t="str">
        <f ca="1">IF(OR(OR($A112="",TYPE(VLOOKUP($A112,Centrum!$D$3:$M$130,10,0))&gt;3),$A$1&lt;6),"",VLOOKUP(VLOOKUP($A112,Centrum!$D$3:$M$130,10,0),Centrum!$A$3:$CB$130,BN$132,0))</f>
        <v/>
      </c>
    </row>
    <row r="113" spans="1:66" x14ac:dyDescent="0.4">
      <c r="A113" s="318" t="str">
        <f ca="1">Centrum!A113</f>
        <v/>
      </c>
      <c r="B113" s="421" t="str">
        <f ca="1">IF(OR($A113="",TYPE(VLOOKUP($A113,Centrum!$D$3:$M$130,10,0))&gt;3),"",VLOOKUP(VLOOKUP(A113,Centrum!$D$3:$M$130,10,0),Centrum!$A$3:$CB$130,B$132,0))</f>
        <v/>
      </c>
      <c r="C113" s="318" t="str">
        <f ca="1">IF(OR($A113="",TYPE(VLOOKUP($A113,Centrum!$D$3:$M$130,10,0))&gt;3),"",VLOOKUP($A113,Centrum!$D$3:$M$130,10,0))</f>
        <v/>
      </c>
      <c r="E113" s="318" t="str">
        <f ca="1">IF(OR($A113="",TYPE(VLOOKUP($A113,Centrum!$D$3:$M$130,10,0))&gt;3),"",VLOOKUP(VLOOKUP($A113,Centrum!$D$3:$M$130,10,0),Centrum!$A$3:$CB$130,E$132,0))</f>
        <v/>
      </c>
      <c r="F113" s="318" t="str">
        <f ca="1">IF(OR($A113="",TYPE(VLOOKUP($A113,Centrum!$D$3:$M$130,10,0))&gt;3),"",VLOOKUP(VLOOKUP($A113,Centrum!$D$3:$M$130,10,0),Centrum!$A$3:$CB$130,F$132,0))</f>
        <v/>
      </c>
      <c r="G113" s="318" t="str">
        <f ca="1">IF(OR($A113="",TYPE(VLOOKUP($A113,Centrum!$D$3:$M$130,10,0))&gt;3),"",VLOOKUP(VLOOKUP($A113,Centrum!$D$3:$M$130,10,0),Centrum!$A$3:$CB$130,G$132,0))</f>
        <v/>
      </c>
      <c r="H113" s="318" t="str">
        <f ca="1">IF($A113="","",VLOOKUP(VLOOKUP($A113,Centrum!$D$3:$M$130,10,0),Centrum!$A$3:$CB$130,H$132,0))</f>
        <v/>
      </c>
      <c r="I113" s="318" t="str">
        <f ca="1">IF($A113="","",VLOOKUP(VLOOKUP($A113,Centrum!$D$3:$M$130,10,0),Centrum!$A$3:$CB$130,I$132,0))</f>
        <v/>
      </c>
      <c r="J113" s="318" t="str">
        <f ca="1">IF(OR($A113="",TYPE(VLOOKUP($A113,Centrum!$D$3:$M$130,10,0))&gt;3),"",VLOOKUP(VLOOKUP($A113,Centrum!$D$3:$M$130,10,0),Centrum!$A$3:$CB$130,J$132,0))</f>
        <v/>
      </c>
      <c r="L113" s="318" t="str">
        <f ca="1">IF(OR($A113="",TYPE(VLOOKUP($A113,Centrum!$D$3:$M$130,10,0))&gt;3),"",VLOOKUP(VLOOKUP($A113,Centrum!$D$3:$M$130,10,0),Centrum!$A$3:$CB$130,L$132,0))</f>
        <v/>
      </c>
      <c r="M113" s="318" t="str">
        <f ca="1">IF(OR($A113="",TYPE(VLOOKUP($A113,Centrum!$D$3:$M$130,10,0))&gt;3),"",VLOOKUP(VLOOKUP($A113,Centrum!$D$3:$M$130,10,0),Centrum!$A$3:$CB$130,M$132,0))</f>
        <v/>
      </c>
      <c r="N113" s="318" t="str">
        <f ca="1">IF(OR($A113="",TYPE(VLOOKUP($A113,Centrum!$D$3:$M$130,10,0))&gt;3),"",VLOOKUP(VLOOKUP($A113,Centrum!$D$3:$M$130,10,0),Centrum!$A$3:$CB$130,N$132,0))</f>
        <v/>
      </c>
      <c r="O113" s="318" t="str">
        <f ca="1">IF(OR($A113="",TYPE(VLOOKUP($A113,Centrum!$D$3:$M$130,10,0))&gt;3),"",VLOOKUP(VLOOKUP($A113,Centrum!$D$3:$M$130,10,0),Centrum!$A$3:$CB$130,O$132,0))</f>
        <v/>
      </c>
      <c r="P113" s="318" t="str">
        <f ca="1">IF(OR($A113="",TYPE(VLOOKUP($A113,Centrum!$D$3:$M$130,10,0))&gt;3),"",VLOOKUP(VLOOKUP($A113,Centrum!$D$3:$M$130,10,0),Centrum!$A$3:$CB$130,P$132,0))</f>
        <v/>
      </c>
      <c r="Q113" s="318" t="str">
        <f ca="1">IF(OR($A113="",TYPE(VLOOKUP($A113,Centrum!$D$3:$M$130,10,0))&gt;3),"",VLOOKUP(VLOOKUP($A113,Centrum!$D$3:$M$130,10,0),Centrum!$A$3:$CB$130,Q$132,0))</f>
        <v/>
      </c>
      <c r="S113" s="318" t="str">
        <f ca="1">IF(OR($A113="",TYPE(VLOOKUP($A113,Centrum!$D$3:$M$130,10,0))&gt;3),"",VLOOKUP(VLOOKUP($A113,Centrum!$D$3:$M$130,10,0),Centrum!$A$3:$CB$130,S$132,0))</f>
        <v/>
      </c>
      <c r="T113" s="318" t="str">
        <f ca="1">IF(OR($A113="",TYPE(VLOOKUP($A113,Centrum!$D$3:$M$130,10,0))&gt;3),"",VLOOKUP(VLOOKUP($A113,Centrum!$D$3:$M$130,10,0),Centrum!$A$3:$CB$130,T$132,0))</f>
        <v/>
      </c>
      <c r="U113" s="318" t="str">
        <f ca="1">IF(OR($A113="",TYPE(VLOOKUP($A113,Centrum!$D$3:$M$130,10,0))&gt;3),"",VLOOKUP(VLOOKUP($A113,Centrum!$D$3:$M$130,10,0),Centrum!$A$3:$CB$130,U$132,0))</f>
        <v/>
      </c>
      <c r="AB113" s="318" t="str">
        <f ca="1">IF(OR($A113="",TYPE(VLOOKUP($A113,Centrum!$D$3:$M$130,10,0))&gt;3),"",VLOOKUP(VLOOKUP($A113,Centrum!$D$3:$M$130,10,0),Centrum!$A$3:$CB$130,AB$132,0))</f>
        <v/>
      </c>
      <c r="AC113" s="318" t="str">
        <f ca="1">IF(OR($A113="",TYPE(VLOOKUP($A113,Centrum!$D$3:$M$130,10,0))&gt;3),"",VLOOKUP(VLOOKUP($A113,Centrum!$D$3:$M$130,10,0),Centrum!$A$3:$CB$130,AC$132,0))</f>
        <v/>
      </c>
      <c r="AD113" s="318" t="str">
        <f ca="1">IF(OR($A113="",TYPE(VLOOKUP($A113,Centrum!$D$3:$M$130,10,0))&gt;3),"",VLOOKUP(VLOOKUP($A113,Centrum!$D$3:$M$130,10,0),Centrum!$A$3:$CB$130,AD$132,0))</f>
        <v/>
      </c>
      <c r="AK113" s="318" t="str">
        <f ca="1">IF(OR($A113="",TYPE(VLOOKUP($A113,Centrum!$D$3:$M$130,10,0))&gt;3),"",VLOOKUP(VLOOKUP($A113,Centrum!$D$3:$M$130,10,0),Centrum!$A$3:$CB$130,AK$132,0))</f>
        <v/>
      </c>
      <c r="AL113" s="318" t="str">
        <f ca="1">IF(OR($A113="",TYPE(VLOOKUP($A113,Centrum!$D$3:$M$130,10,0))&gt;3),"",VLOOKUP(VLOOKUP($A113,Centrum!$D$3:$M$130,10,0),Centrum!$A$3:$CB$130,AL$132,0))</f>
        <v/>
      </c>
      <c r="AM113" s="318" t="str">
        <f ca="1">IF(OR($A113="",TYPE(VLOOKUP($A113,Centrum!$D$3:$M$130,10,0))&gt;3),"",VLOOKUP(VLOOKUP($A113,Centrum!$D$3:$M$130,10,0),Centrum!$A$3:$CB$130,AM$132,0))</f>
        <v/>
      </c>
      <c r="AT113" s="318" t="str">
        <f ca="1">IF(OR(OR($A113="",TYPE(VLOOKUP($A113,Centrum!$D$3:$M$130,10,0))&gt;3),$A$1&lt;4),"",VLOOKUP(VLOOKUP($A113,Centrum!$D$3:$M$130,10,0),Centrum!$A$3:$CB$130,AT$132,0))</f>
        <v/>
      </c>
      <c r="AU113" s="318" t="str">
        <f ca="1">IF(OR(OR($A113="",TYPE(VLOOKUP($A113,Centrum!$D$3:$M$130,10,0))&gt;3),$A$1&lt;4),"",VLOOKUP(VLOOKUP($A113,Centrum!$D$3:$M$130,10,0),Centrum!$A$3:$CB$130,AU$132,0))</f>
        <v/>
      </c>
      <c r="AV113" s="318" t="str">
        <f ca="1">IF(OR(OR($A113="",TYPE(VLOOKUP($A113,Centrum!$D$3:$M$130,10,0))&gt;3),$A$1&lt;4),"",VLOOKUP(VLOOKUP($A113,Centrum!$D$3:$M$130,10,0),Centrum!$A$3:$CB$130,AV$132,0))</f>
        <v/>
      </c>
      <c r="BC113" s="318" t="str">
        <f ca="1">IF(OR(OR($A113="",TYPE(VLOOKUP($A113,Centrum!$D$3:$M$130,10,0))&gt;3),$A$1&lt;5),"",VLOOKUP(VLOOKUP($A113,Centrum!$D$3:$M$130,10,0),Centrum!$A$3:$CB$130,BC$132,0))</f>
        <v/>
      </c>
      <c r="BD113" s="318" t="str">
        <f ca="1">IF(OR(OR($A113="",TYPE(VLOOKUP($A113,Centrum!$D$3:$M$130,10,0))&gt;3),$A$1&lt;5),"",VLOOKUP(VLOOKUP($A113,Centrum!$D$3:$M$130,10,0),Centrum!$A$3:$CB$130,BD$132,0))</f>
        <v/>
      </c>
      <c r="BE113" s="318" t="str">
        <f ca="1">IF(OR(OR($A113="",TYPE(VLOOKUP($A113,Centrum!$D$3:$M$130,10,0))&gt;3),$A$1&lt;5),"",VLOOKUP(VLOOKUP($A113,Centrum!$D$3:$M$130,10,0),Centrum!$A$3:$CB$130,BE$132,0))</f>
        <v/>
      </c>
      <c r="BL113" s="318" t="str">
        <f ca="1">IF(OR(OR($A113="",TYPE(VLOOKUP($A113,Centrum!$D$3:$M$130,10,0))&gt;3),$A$1&lt;6),"",VLOOKUP(VLOOKUP($A113,Centrum!$D$3:$M$130,10,0),Centrum!$A$3:$CB$130,BL$132,0))</f>
        <v/>
      </c>
      <c r="BM113" s="318" t="str">
        <f ca="1">IF(OR(OR($A113="",TYPE(VLOOKUP($A113,Centrum!$D$3:$M$130,10,0))&gt;3),$A$1&lt;6),"",VLOOKUP(VLOOKUP($A113,Centrum!$D$3:$M$130,10,0),Centrum!$A$3:$CB$130,BM$132,0))</f>
        <v/>
      </c>
      <c r="BN113" s="318" t="str">
        <f ca="1">IF(OR(OR($A113="",TYPE(VLOOKUP($A113,Centrum!$D$3:$M$130,10,0))&gt;3),$A$1&lt;6),"",VLOOKUP(VLOOKUP($A113,Centrum!$D$3:$M$130,10,0),Centrum!$A$3:$CB$130,BN$132,0))</f>
        <v/>
      </c>
    </row>
    <row r="114" spans="1:66" x14ac:dyDescent="0.4">
      <c r="A114" s="318" t="str">
        <f ca="1">Centrum!A114</f>
        <v/>
      </c>
      <c r="B114" s="421" t="str">
        <f ca="1">IF(OR($A114="",TYPE(VLOOKUP($A114,Centrum!$D$3:$M$130,10,0))&gt;3),"",VLOOKUP(VLOOKUP(A114,Centrum!$D$3:$M$130,10,0),Centrum!$A$3:$CB$130,B$132,0))</f>
        <v/>
      </c>
      <c r="C114" s="318" t="str">
        <f ca="1">IF(OR($A114="",TYPE(VLOOKUP($A114,Centrum!$D$3:$M$130,10,0))&gt;3),"",VLOOKUP($A114,Centrum!$D$3:$M$130,10,0))</f>
        <v/>
      </c>
      <c r="E114" s="318" t="str">
        <f ca="1">IF(OR($A114="",TYPE(VLOOKUP($A114,Centrum!$D$3:$M$130,10,0))&gt;3),"",VLOOKUP(VLOOKUP($A114,Centrum!$D$3:$M$130,10,0),Centrum!$A$3:$CB$130,E$132,0))</f>
        <v/>
      </c>
      <c r="F114" s="318" t="str">
        <f ca="1">IF(OR($A114="",TYPE(VLOOKUP($A114,Centrum!$D$3:$M$130,10,0))&gt;3),"",VLOOKUP(VLOOKUP($A114,Centrum!$D$3:$M$130,10,0),Centrum!$A$3:$CB$130,F$132,0))</f>
        <v/>
      </c>
      <c r="G114" s="318" t="str">
        <f ca="1">IF(OR($A114="",TYPE(VLOOKUP($A114,Centrum!$D$3:$M$130,10,0))&gt;3),"",VLOOKUP(VLOOKUP($A114,Centrum!$D$3:$M$130,10,0),Centrum!$A$3:$CB$130,G$132,0))</f>
        <v/>
      </c>
      <c r="H114" s="318" t="str">
        <f ca="1">IF($A114="","",VLOOKUP(VLOOKUP($A114,Centrum!$D$3:$M$130,10,0),Centrum!$A$3:$CB$130,H$132,0))</f>
        <v/>
      </c>
      <c r="I114" s="318" t="str">
        <f ca="1">IF($A114="","",VLOOKUP(VLOOKUP($A114,Centrum!$D$3:$M$130,10,0),Centrum!$A$3:$CB$130,I$132,0))</f>
        <v/>
      </c>
      <c r="J114" s="318" t="str">
        <f ca="1">IF(OR($A114="",TYPE(VLOOKUP($A114,Centrum!$D$3:$M$130,10,0))&gt;3),"",VLOOKUP(VLOOKUP($A114,Centrum!$D$3:$M$130,10,0),Centrum!$A$3:$CB$130,J$132,0))</f>
        <v/>
      </c>
      <c r="L114" s="318" t="str">
        <f ca="1">IF(OR($A114="",TYPE(VLOOKUP($A114,Centrum!$D$3:$M$130,10,0))&gt;3),"",VLOOKUP(VLOOKUP($A114,Centrum!$D$3:$M$130,10,0),Centrum!$A$3:$CB$130,L$132,0))</f>
        <v/>
      </c>
      <c r="M114" s="318" t="str">
        <f ca="1">IF(OR($A114="",TYPE(VLOOKUP($A114,Centrum!$D$3:$M$130,10,0))&gt;3),"",VLOOKUP(VLOOKUP($A114,Centrum!$D$3:$M$130,10,0),Centrum!$A$3:$CB$130,M$132,0))</f>
        <v/>
      </c>
      <c r="N114" s="318" t="str">
        <f ca="1">IF(OR($A114="",TYPE(VLOOKUP($A114,Centrum!$D$3:$M$130,10,0))&gt;3),"",VLOOKUP(VLOOKUP($A114,Centrum!$D$3:$M$130,10,0),Centrum!$A$3:$CB$130,N$132,0))</f>
        <v/>
      </c>
      <c r="O114" s="318" t="str">
        <f ca="1">IF(OR($A114="",TYPE(VLOOKUP($A114,Centrum!$D$3:$M$130,10,0))&gt;3),"",VLOOKUP(VLOOKUP($A114,Centrum!$D$3:$M$130,10,0),Centrum!$A$3:$CB$130,O$132,0))</f>
        <v/>
      </c>
      <c r="P114" s="318" t="str">
        <f ca="1">IF(OR($A114="",TYPE(VLOOKUP($A114,Centrum!$D$3:$M$130,10,0))&gt;3),"",VLOOKUP(VLOOKUP($A114,Centrum!$D$3:$M$130,10,0),Centrum!$A$3:$CB$130,P$132,0))</f>
        <v/>
      </c>
      <c r="Q114" s="318" t="str">
        <f ca="1">IF(OR($A114="",TYPE(VLOOKUP($A114,Centrum!$D$3:$M$130,10,0))&gt;3),"",VLOOKUP(VLOOKUP($A114,Centrum!$D$3:$M$130,10,0),Centrum!$A$3:$CB$130,Q$132,0))</f>
        <v/>
      </c>
      <c r="S114" s="318" t="str">
        <f ca="1">IF(OR($A114="",TYPE(VLOOKUP($A114,Centrum!$D$3:$M$130,10,0))&gt;3),"",VLOOKUP(VLOOKUP($A114,Centrum!$D$3:$M$130,10,0),Centrum!$A$3:$CB$130,S$132,0))</f>
        <v/>
      </c>
      <c r="T114" s="318" t="str">
        <f ca="1">IF(OR($A114="",TYPE(VLOOKUP($A114,Centrum!$D$3:$M$130,10,0))&gt;3),"",VLOOKUP(VLOOKUP($A114,Centrum!$D$3:$M$130,10,0),Centrum!$A$3:$CB$130,T$132,0))</f>
        <v/>
      </c>
      <c r="U114" s="318" t="str">
        <f ca="1">IF(OR($A114="",TYPE(VLOOKUP($A114,Centrum!$D$3:$M$130,10,0))&gt;3),"",VLOOKUP(VLOOKUP($A114,Centrum!$D$3:$M$130,10,0),Centrum!$A$3:$CB$130,U$132,0))</f>
        <v/>
      </c>
      <c r="AB114" s="318" t="str">
        <f ca="1">IF(OR($A114="",TYPE(VLOOKUP($A114,Centrum!$D$3:$M$130,10,0))&gt;3),"",VLOOKUP(VLOOKUP($A114,Centrum!$D$3:$M$130,10,0),Centrum!$A$3:$CB$130,AB$132,0))</f>
        <v/>
      </c>
      <c r="AC114" s="318" t="str">
        <f ca="1">IF(OR($A114="",TYPE(VLOOKUP($A114,Centrum!$D$3:$M$130,10,0))&gt;3),"",VLOOKUP(VLOOKUP($A114,Centrum!$D$3:$M$130,10,0),Centrum!$A$3:$CB$130,AC$132,0))</f>
        <v/>
      </c>
      <c r="AD114" s="318" t="str">
        <f ca="1">IF(OR($A114="",TYPE(VLOOKUP($A114,Centrum!$D$3:$M$130,10,0))&gt;3),"",VLOOKUP(VLOOKUP($A114,Centrum!$D$3:$M$130,10,0),Centrum!$A$3:$CB$130,AD$132,0))</f>
        <v/>
      </c>
      <c r="AK114" s="318" t="str">
        <f ca="1">IF(OR($A114="",TYPE(VLOOKUP($A114,Centrum!$D$3:$M$130,10,0))&gt;3),"",VLOOKUP(VLOOKUP($A114,Centrum!$D$3:$M$130,10,0),Centrum!$A$3:$CB$130,AK$132,0))</f>
        <v/>
      </c>
      <c r="AL114" s="318" t="str">
        <f ca="1">IF(OR($A114="",TYPE(VLOOKUP($A114,Centrum!$D$3:$M$130,10,0))&gt;3),"",VLOOKUP(VLOOKUP($A114,Centrum!$D$3:$M$130,10,0),Centrum!$A$3:$CB$130,AL$132,0))</f>
        <v/>
      </c>
      <c r="AM114" s="318" t="str">
        <f ca="1">IF(OR($A114="",TYPE(VLOOKUP($A114,Centrum!$D$3:$M$130,10,0))&gt;3),"",VLOOKUP(VLOOKUP($A114,Centrum!$D$3:$M$130,10,0),Centrum!$A$3:$CB$130,AM$132,0))</f>
        <v/>
      </c>
      <c r="AT114" s="318" t="str">
        <f ca="1">IF(OR(OR($A114="",TYPE(VLOOKUP($A114,Centrum!$D$3:$M$130,10,0))&gt;3),$A$1&lt;4),"",VLOOKUP(VLOOKUP($A114,Centrum!$D$3:$M$130,10,0),Centrum!$A$3:$CB$130,AT$132,0))</f>
        <v/>
      </c>
      <c r="AU114" s="318" t="str">
        <f ca="1">IF(OR(OR($A114="",TYPE(VLOOKUP($A114,Centrum!$D$3:$M$130,10,0))&gt;3),$A$1&lt;4),"",VLOOKUP(VLOOKUP($A114,Centrum!$D$3:$M$130,10,0),Centrum!$A$3:$CB$130,AU$132,0))</f>
        <v/>
      </c>
      <c r="AV114" s="318" t="str">
        <f ca="1">IF(OR(OR($A114="",TYPE(VLOOKUP($A114,Centrum!$D$3:$M$130,10,0))&gt;3),$A$1&lt;4),"",VLOOKUP(VLOOKUP($A114,Centrum!$D$3:$M$130,10,0),Centrum!$A$3:$CB$130,AV$132,0))</f>
        <v/>
      </c>
      <c r="BC114" s="318" t="str">
        <f ca="1">IF(OR(OR($A114="",TYPE(VLOOKUP($A114,Centrum!$D$3:$M$130,10,0))&gt;3),$A$1&lt;5),"",VLOOKUP(VLOOKUP($A114,Centrum!$D$3:$M$130,10,0),Centrum!$A$3:$CB$130,BC$132,0))</f>
        <v/>
      </c>
      <c r="BD114" s="318" t="str">
        <f ca="1">IF(OR(OR($A114="",TYPE(VLOOKUP($A114,Centrum!$D$3:$M$130,10,0))&gt;3),$A$1&lt;5),"",VLOOKUP(VLOOKUP($A114,Centrum!$D$3:$M$130,10,0),Centrum!$A$3:$CB$130,BD$132,0))</f>
        <v/>
      </c>
      <c r="BE114" s="318" t="str">
        <f ca="1">IF(OR(OR($A114="",TYPE(VLOOKUP($A114,Centrum!$D$3:$M$130,10,0))&gt;3),$A$1&lt;5),"",VLOOKUP(VLOOKUP($A114,Centrum!$D$3:$M$130,10,0),Centrum!$A$3:$CB$130,BE$132,0))</f>
        <v/>
      </c>
      <c r="BL114" s="318" t="str">
        <f ca="1">IF(OR(OR($A114="",TYPE(VLOOKUP($A114,Centrum!$D$3:$M$130,10,0))&gt;3),$A$1&lt;6),"",VLOOKUP(VLOOKUP($A114,Centrum!$D$3:$M$130,10,0),Centrum!$A$3:$CB$130,BL$132,0))</f>
        <v/>
      </c>
      <c r="BM114" s="318" t="str">
        <f ca="1">IF(OR(OR($A114="",TYPE(VLOOKUP($A114,Centrum!$D$3:$M$130,10,0))&gt;3),$A$1&lt;6),"",VLOOKUP(VLOOKUP($A114,Centrum!$D$3:$M$130,10,0),Centrum!$A$3:$CB$130,BM$132,0))</f>
        <v/>
      </c>
      <c r="BN114" s="318" t="str">
        <f ca="1">IF(OR(OR($A114="",TYPE(VLOOKUP($A114,Centrum!$D$3:$M$130,10,0))&gt;3),$A$1&lt;6),"",VLOOKUP(VLOOKUP($A114,Centrum!$D$3:$M$130,10,0),Centrum!$A$3:$CB$130,BN$132,0))</f>
        <v/>
      </c>
    </row>
    <row r="115" spans="1:66" x14ac:dyDescent="0.4">
      <c r="A115" s="318" t="str">
        <f ca="1">Centrum!A115</f>
        <v/>
      </c>
      <c r="B115" s="421" t="str">
        <f ca="1">IF(OR($A115="",TYPE(VLOOKUP($A115,Centrum!$D$3:$M$130,10,0))&gt;3),"",VLOOKUP(VLOOKUP(A115,Centrum!$D$3:$M$130,10,0),Centrum!$A$3:$CB$130,B$132,0))</f>
        <v/>
      </c>
      <c r="C115" s="318" t="str">
        <f ca="1">IF(OR($A115="",TYPE(VLOOKUP($A115,Centrum!$D$3:$M$130,10,0))&gt;3),"",VLOOKUP($A115,Centrum!$D$3:$M$130,10,0))</f>
        <v/>
      </c>
      <c r="E115" s="318" t="str">
        <f ca="1">IF(OR($A115="",TYPE(VLOOKUP($A115,Centrum!$D$3:$M$130,10,0))&gt;3),"",VLOOKUP(VLOOKUP($A115,Centrum!$D$3:$M$130,10,0),Centrum!$A$3:$CB$130,E$132,0))</f>
        <v/>
      </c>
      <c r="F115" s="318" t="str">
        <f ca="1">IF(OR($A115="",TYPE(VLOOKUP($A115,Centrum!$D$3:$M$130,10,0))&gt;3),"",VLOOKUP(VLOOKUP($A115,Centrum!$D$3:$M$130,10,0),Centrum!$A$3:$CB$130,F$132,0))</f>
        <v/>
      </c>
      <c r="G115" s="318" t="str">
        <f ca="1">IF(OR($A115="",TYPE(VLOOKUP($A115,Centrum!$D$3:$M$130,10,0))&gt;3),"",VLOOKUP(VLOOKUP($A115,Centrum!$D$3:$M$130,10,0),Centrum!$A$3:$CB$130,G$132,0))</f>
        <v/>
      </c>
      <c r="H115" s="318" t="str">
        <f ca="1">IF($A115="","",VLOOKUP(VLOOKUP($A115,Centrum!$D$3:$M$130,10,0),Centrum!$A$3:$CB$130,H$132,0))</f>
        <v/>
      </c>
      <c r="I115" s="318" t="str">
        <f ca="1">IF($A115="","",VLOOKUP(VLOOKUP($A115,Centrum!$D$3:$M$130,10,0),Centrum!$A$3:$CB$130,I$132,0))</f>
        <v/>
      </c>
      <c r="J115" s="318" t="str">
        <f ca="1">IF(OR($A115="",TYPE(VLOOKUP($A115,Centrum!$D$3:$M$130,10,0))&gt;3),"",VLOOKUP(VLOOKUP($A115,Centrum!$D$3:$M$130,10,0),Centrum!$A$3:$CB$130,J$132,0))</f>
        <v/>
      </c>
      <c r="L115" s="318" t="str">
        <f ca="1">IF(OR($A115="",TYPE(VLOOKUP($A115,Centrum!$D$3:$M$130,10,0))&gt;3),"",VLOOKUP(VLOOKUP($A115,Centrum!$D$3:$M$130,10,0),Centrum!$A$3:$CB$130,L$132,0))</f>
        <v/>
      </c>
      <c r="M115" s="318" t="str">
        <f ca="1">IF(OR($A115="",TYPE(VLOOKUP($A115,Centrum!$D$3:$M$130,10,0))&gt;3),"",VLOOKUP(VLOOKUP($A115,Centrum!$D$3:$M$130,10,0),Centrum!$A$3:$CB$130,M$132,0))</f>
        <v/>
      </c>
      <c r="N115" s="318" t="str">
        <f ca="1">IF(OR($A115="",TYPE(VLOOKUP($A115,Centrum!$D$3:$M$130,10,0))&gt;3),"",VLOOKUP(VLOOKUP($A115,Centrum!$D$3:$M$130,10,0),Centrum!$A$3:$CB$130,N$132,0))</f>
        <v/>
      </c>
      <c r="O115" s="318" t="str">
        <f ca="1">IF(OR($A115="",TYPE(VLOOKUP($A115,Centrum!$D$3:$M$130,10,0))&gt;3),"",VLOOKUP(VLOOKUP($A115,Centrum!$D$3:$M$130,10,0),Centrum!$A$3:$CB$130,O$132,0))</f>
        <v/>
      </c>
      <c r="P115" s="318" t="str">
        <f ca="1">IF(OR($A115="",TYPE(VLOOKUP($A115,Centrum!$D$3:$M$130,10,0))&gt;3),"",VLOOKUP(VLOOKUP($A115,Centrum!$D$3:$M$130,10,0),Centrum!$A$3:$CB$130,P$132,0))</f>
        <v/>
      </c>
      <c r="Q115" s="318" t="str">
        <f ca="1">IF(OR($A115="",TYPE(VLOOKUP($A115,Centrum!$D$3:$M$130,10,0))&gt;3),"",VLOOKUP(VLOOKUP($A115,Centrum!$D$3:$M$130,10,0),Centrum!$A$3:$CB$130,Q$132,0))</f>
        <v/>
      </c>
      <c r="S115" s="318" t="str">
        <f ca="1">IF(OR($A115="",TYPE(VLOOKUP($A115,Centrum!$D$3:$M$130,10,0))&gt;3),"",VLOOKUP(VLOOKUP($A115,Centrum!$D$3:$M$130,10,0),Centrum!$A$3:$CB$130,S$132,0))</f>
        <v/>
      </c>
      <c r="T115" s="318" t="str">
        <f ca="1">IF(OR($A115="",TYPE(VLOOKUP($A115,Centrum!$D$3:$M$130,10,0))&gt;3),"",VLOOKUP(VLOOKUP($A115,Centrum!$D$3:$M$130,10,0),Centrum!$A$3:$CB$130,T$132,0))</f>
        <v/>
      </c>
      <c r="U115" s="318" t="str">
        <f ca="1">IF(OR($A115="",TYPE(VLOOKUP($A115,Centrum!$D$3:$M$130,10,0))&gt;3),"",VLOOKUP(VLOOKUP($A115,Centrum!$D$3:$M$130,10,0),Centrum!$A$3:$CB$130,U$132,0))</f>
        <v/>
      </c>
      <c r="AB115" s="318" t="str">
        <f ca="1">IF(OR($A115="",TYPE(VLOOKUP($A115,Centrum!$D$3:$M$130,10,0))&gt;3),"",VLOOKUP(VLOOKUP($A115,Centrum!$D$3:$M$130,10,0),Centrum!$A$3:$CB$130,AB$132,0))</f>
        <v/>
      </c>
      <c r="AC115" s="318" t="str">
        <f ca="1">IF(OR($A115="",TYPE(VLOOKUP($A115,Centrum!$D$3:$M$130,10,0))&gt;3),"",VLOOKUP(VLOOKUP($A115,Centrum!$D$3:$M$130,10,0),Centrum!$A$3:$CB$130,AC$132,0))</f>
        <v/>
      </c>
      <c r="AD115" s="318" t="str">
        <f ca="1">IF(OR($A115="",TYPE(VLOOKUP($A115,Centrum!$D$3:$M$130,10,0))&gt;3),"",VLOOKUP(VLOOKUP($A115,Centrum!$D$3:$M$130,10,0),Centrum!$A$3:$CB$130,AD$132,0))</f>
        <v/>
      </c>
      <c r="AK115" s="318" t="str">
        <f ca="1">IF(OR($A115="",TYPE(VLOOKUP($A115,Centrum!$D$3:$M$130,10,0))&gt;3),"",VLOOKUP(VLOOKUP($A115,Centrum!$D$3:$M$130,10,0),Centrum!$A$3:$CB$130,AK$132,0))</f>
        <v/>
      </c>
      <c r="AL115" s="318" t="str">
        <f ca="1">IF(OR($A115="",TYPE(VLOOKUP($A115,Centrum!$D$3:$M$130,10,0))&gt;3),"",VLOOKUP(VLOOKUP($A115,Centrum!$D$3:$M$130,10,0),Centrum!$A$3:$CB$130,AL$132,0))</f>
        <v/>
      </c>
      <c r="AM115" s="318" t="str">
        <f ca="1">IF(OR($A115="",TYPE(VLOOKUP($A115,Centrum!$D$3:$M$130,10,0))&gt;3),"",VLOOKUP(VLOOKUP($A115,Centrum!$D$3:$M$130,10,0),Centrum!$A$3:$CB$130,AM$132,0))</f>
        <v/>
      </c>
      <c r="AT115" s="318" t="str">
        <f ca="1">IF(OR(OR($A115="",TYPE(VLOOKUP($A115,Centrum!$D$3:$M$130,10,0))&gt;3),$A$1&lt;4),"",VLOOKUP(VLOOKUP($A115,Centrum!$D$3:$M$130,10,0),Centrum!$A$3:$CB$130,AT$132,0))</f>
        <v/>
      </c>
      <c r="AU115" s="318" t="str">
        <f ca="1">IF(OR(OR($A115="",TYPE(VLOOKUP($A115,Centrum!$D$3:$M$130,10,0))&gt;3),$A$1&lt;4),"",VLOOKUP(VLOOKUP($A115,Centrum!$D$3:$M$130,10,0),Centrum!$A$3:$CB$130,AU$132,0))</f>
        <v/>
      </c>
      <c r="AV115" s="318" t="str">
        <f ca="1">IF(OR(OR($A115="",TYPE(VLOOKUP($A115,Centrum!$D$3:$M$130,10,0))&gt;3),$A$1&lt;4),"",VLOOKUP(VLOOKUP($A115,Centrum!$D$3:$M$130,10,0),Centrum!$A$3:$CB$130,AV$132,0))</f>
        <v/>
      </c>
      <c r="BC115" s="318" t="str">
        <f ca="1">IF(OR(OR($A115="",TYPE(VLOOKUP($A115,Centrum!$D$3:$M$130,10,0))&gt;3),$A$1&lt;5),"",VLOOKUP(VLOOKUP($A115,Centrum!$D$3:$M$130,10,0),Centrum!$A$3:$CB$130,BC$132,0))</f>
        <v/>
      </c>
      <c r="BD115" s="318" t="str">
        <f ca="1">IF(OR(OR($A115="",TYPE(VLOOKUP($A115,Centrum!$D$3:$M$130,10,0))&gt;3),$A$1&lt;5),"",VLOOKUP(VLOOKUP($A115,Centrum!$D$3:$M$130,10,0),Centrum!$A$3:$CB$130,BD$132,0))</f>
        <v/>
      </c>
      <c r="BE115" s="318" t="str">
        <f ca="1">IF(OR(OR($A115="",TYPE(VLOOKUP($A115,Centrum!$D$3:$M$130,10,0))&gt;3),$A$1&lt;5),"",VLOOKUP(VLOOKUP($A115,Centrum!$D$3:$M$130,10,0),Centrum!$A$3:$CB$130,BE$132,0))</f>
        <v/>
      </c>
      <c r="BL115" s="318" t="str">
        <f ca="1">IF(OR(OR($A115="",TYPE(VLOOKUP($A115,Centrum!$D$3:$M$130,10,0))&gt;3),$A$1&lt;6),"",VLOOKUP(VLOOKUP($A115,Centrum!$D$3:$M$130,10,0),Centrum!$A$3:$CB$130,BL$132,0))</f>
        <v/>
      </c>
      <c r="BM115" s="318" t="str">
        <f ca="1">IF(OR(OR($A115="",TYPE(VLOOKUP($A115,Centrum!$D$3:$M$130,10,0))&gt;3),$A$1&lt;6),"",VLOOKUP(VLOOKUP($A115,Centrum!$D$3:$M$130,10,0),Centrum!$A$3:$CB$130,BM$132,0))</f>
        <v/>
      </c>
      <c r="BN115" s="318" t="str">
        <f ca="1">IF(OR(OR($A115="",TYPE(VLOOKUP($A115,Centrum!$D$3:$M$130,10,0))&gt;3),$A$1&lt;6),"",VLOOKUP(VLOOKUP($A115,Centrum!$D$3:$M$130,10,0),Centrum!$A$3:$CB$130,BN$132,0))</f>
        <v/>
      </c>
    </row>
    <row r="116" spans="1:66" x14ac:dyDescent="0.4">
      <c r="A116" s="318" t="str">
        <f ca="1">Centrum!A116</f>
        <v/>
      </c>
      <c r="B116" s="421" t="str">
        <f ca="1">IF(OR($A116="",TYPE(VLOOKUP($A116,Centrum!$D$3:$M$130,10,0))&gt;3),"",VLOOKUP(VLOOKUP(A116,Centrum!$D$3:$M$130,10,0),Centrum!$A$3:$CB$130,B$132,0))</f>
        <v/>
      </c>
      <c r="C116" s="318" t="str">
        <f ca="1">IF(OR($A116="",TYPE(VLOOKUP($A116,Centrum!$D$3:$M$130,10,0))&gt;3),"",VLOOKUP($A116,Centrum!$D$3:$M$130,10,0))</f>
        <v/>
      </c>
      <c r="E116" s="318" t="str">
        <f ca="1">IF(OR($A116="",TYPE(VLOOKUP($A116,Centrum!$D$3:$M$130,10,0))&gt;3),"",VLOOKUP(VLOOKUP($A116,Centrum!$D$3:$M$130,10,0),Centrum!$A$3:$CB$130,E$132,0))</f>
        <v/>
      </c>
      <c r="F116" s="318" t="str">
        <f ca="1">IF(OR($A116="",TYPE(VLOOKUP($A116,Centrum!$D$3:$M$130,10,0))&gt;3),"",VLOOKUP(VLOOKUP($A116,Centrum!$D$3:$M$130,10,0),Centrum!$A$3:$CB$130,F$132,0))</f>
        <v/>
      </c>
      <c r="G116" s="318" t="str">
        <f ca="1">IF(OR($A116="",TYPE(VLOOKUP($A116,Centrum!$D$3:$M$130,10,0))&gt;3),"",VLOOKUP(VLOOKUP($A116,Centrum!$D$3:$M$130,10,0),Centrum!$A$3:$CB$130,G$132,0))</f>
        <v/>
      </c>
      <c r="H116" s="318" t="str">
        <f ca="1">IF($A116="","",VLOOKUP(VLOOKUP($A116,Centrum!$D$3:$M$130,10,0),Centrum!$A$3:$CB$130,H$132,0))</f>
        <v/>
      </c>
      <c r="I116" s="318" t="str">
        <f ca="1">IF($A116="","",VLOOKUP(VLOOKUP($A116,Centrum!$D$3:$M$130,10,0),Centrum!$A$3:$CB$130,I$132,0))</f>
        <v/>
      </c>
      <c r="J116" s="318" t="str">
        <f ca="1">IF(OR($A116="",TYPE(VLOOKUP($A116,Centrum!$D$3:$M$130,10,0))&gt;3),"",VLOOKUP(VLOOKUP($A116,Centrum!$D$3:$M$130,10,0),Centrum!$A$3:$CB$130,J$132,0))</f>
        <v/>
      </c>
      <c r="L116" s="318" t="str">
        <f ca="1">IF(OR($A116="",TYPE(VLOOKUP($A116,Centrum!$D$3:$M$130,10,0))&gt;3),"",VLOOKUP(VLOOKUP($A116,Centrum!$D$3:$M$130,10,0),Centrum!$A$3:$CB$130,L$132,0))</f>
        <v/>
      </c>
      <c r="M116" s="318" t="str">
        <f ca="1">IF(OR($A116="",TYPE(VLOOKUP($A116,Centrum!$D$3:$M$130,10,0))&gt;3),"",VLOOKUP(VLOOKUP($A116,Centrum!$D$3:$M$130,10,0),Centrum!$A$3:$CB$130,M$132,0))</f>
        <v/>
      </c>
      <c r="N116" s="318" t="str">
        <f ca="1">IF(OR($A116="",TYPE(VLOOKUP($A116,Centrum!$D$3:$M$130,10,0))&gt;3),"",VLOOKUP(VLOOKUP($A116,Centrum!$D$3:$M$130,10,0),Centrum!$A$3:$CB$130,N$132,0))</f>
        <v/>
      </c>
      <c r="O116" s="318" t="str">
        <f ca="1">IF(OR($A116="",TYPE(VLOOKUP($A116,Centrum!$D$3:$M$130,10,0))&gt;3),"",VLOOKUP(VLOOKUP($A116,Centrum!$D$3:$M$130,10,0),Centrum!$A$3:$CB$130,O$132,0))</f>
        <v/>
      </c>
      <c r="P116" s="318" t="str">
        <f ca="1">IF(OR($A116="",TYPE(VLOOKUP($A116,Centrum!$D$3:$M$130,10,0))&gt;3),"",VLOOKUP(VLOOKUP($A116,Centrum!$D$3:$M$130,10,0),Centrum!$A$3:$CB$130,P$132,0))</f>
        <v/>
      </c>
      <c r="Q116" s="318" t="str">
        <f ca="1">IF(OR($A116="",TYPE(VLOOKUP($A116,Centrum!$D$3:$M$130,10,0))&gt;3),"",VLOOKUP(VLOOKUP($A116,Centrum!$D$3:$M$130,10,0),Centrum!$A$3:$CB$130,Q$132,0))</f>
        <v/>
      </c>
      <c r="S116" s="318" t="str">
        <f ca="1">IF(OR($A116="",TYPE(VLOOKUP($A116,Centrum!$D$3:$M$130,10,0))&gt;3),"",VLOOKUP(VLOOKUP($A116,Centrum!$D$3:$M$130,10,0),Centrum!$A$3:$CB$130,S$132,0))</f>
        <v/>
      </c>
      <c r="T116" s="318" t="str">
        <f ca="1">IF(OR($A116="",TYPE(VLOOKUP($A116,Centrum!$D$3:$M$130,10,0))&gt;3),"",VLOOKUP(VLOOKUP($A116,Centrum!$D$3:$M$130,10,0),Centrum!$A$3:$CB$130,T$132,0))</f>
        <v/>
      </c>
      <c r="U116" s="318" t="str">
        <f ca="1">IF(OR($A116="",TYPE(VLOOKUP($A116,Centrum!$D$3:$M$130,10,0))&gt;3),"",VLOOKUP(VLOOKUP($A116,Centrum!$D$3:$M$130,10,0),Centrum!$A$3:$CB$130,U$132,0))</f>
        <v/>
      </c>
      <c r="AB116" s="318" t="str">
        <f ca="1">IF(OR($A116="",TYPE(VLOOKUP($A116,Centrum!$D$3:$M$130,10,0))&gt;3),"",VLOOKUP(VLOOKUP($A116,Centrum!$D$3:$M$130,10,0),Centrum!$A$3:$CB$130,AB$132,0))</f>
        <v/>
      </c>
      <c r="AC116" s="318" t="str">
        <f ca="1">IF(OR($A116="",TYPE(VLOOKUP($A116,Centrum!$D$3:$M$130,10,0))&gt;3),"",VLOOKUP(VLOOKUP($A116,Centrum!$D$3:$M$130,10,0),Centrum!$A$3:$CB$130,AC$132,0))</f>
        <v/>
      </c>
      <c r="AD116" s="318" t="str">
        <f ca="1">IF(OR($A116="",TYPE(VLOOKUP($A116,Centrum!$D$3:$M$130,10,0))&gt;3),"",VLOOKUP(VLOOKUP($A116,Centrum!$D$3:$M$130,10,0),Centrum!$A$3:$CB$130,AD$132,0))</f>
        <v/>
      </c>
      <c r="AK116" s="318" t="str">
        <f ca="1">IF(OR($A116="",TYPE(VLOOKUP($A116,Centrum!$D$3:$M$130,10,0))&gt;3),"",VLOOKUP(VLOOKUP($A116,Centrum!$D$3:$M$130,10,0),Centrum!$A$3:$CB$130,AK$132,0))</f>
        <v/>
      </c>
      <c r="AL116" s="318" t="str">
        <f ca="1">IF(OR($A116="",TYPE(VLOOKUP($A116,Centrum!$D$3:$M$130,10,0))&gt;3),"",VLOOKUP(VLOOKUP($A116,Centrum!$D$3:$M$130,10,0),Centrum!$A$3:$CB$130,AL$132,0))</f>
        <v/>
      </c>
      <c r="AM116" s="318" t="str">
        <f ca="1">IF(OR($A116="",TYPE(VLOOKUP($A116,Centrum!$D$3:$M$130,10,0))&gt;3),"",VLOOKUP(VLOOKUP($A116,Centrum!$D$3:$M$130,10,0),Centrum!$A$3:$CB$130,AM$132,0))</f>
        <v/>
      </c>
      <c r="AT116" s="318" t="str">
        <f ca="1">IF(OR(OR($A116="",TYPE(VLOOKUP($A116,Centrum!$D$3:$M$130,10,0))&gt;3),$A$1&lt;4),"",VLOOKUP(VLOOKUP($A116,Centrum!$D$3:$M$130,10,0),Centrum!$A$3:$CB$130,AT$132,0))</f>
        <v/>
      </c>
      <c r="AU116" s="318" t="str">
        <f ca="1">IF(OR(OR($A116="",TYPE(VLOOKUP($A116,Centrum!$D$3:$M$130,10,0))&gt;3),$A$1&lt;4),"",VLOOKUP(VLOOKUP($A116,Centrum!$D$3:$M$130,10,0),Centrum!$A$3:$CB$130,AU$132,0))</f>
        <v/>
      </c>
      <c r="AV116" s="318" t="str">
        <f ca="1">IF(OR(OR($A116="",TYPE(VLOOKUP($A116,Centrum!$D$3:$M$130,10,0))&gt;3),$A$1&lt;4),"",VLOOKUP(VLOOKUP($A116,Centrum!$D$3:$M$130,10,0),Centrum!$A$3:$CB$130,AV$132,0))</f>
        <v/>
      </c>
      <c r="BC116" s="318" t="str">
        <f ca="1">IF(OR(OR($A116="",TYPE(VLOOKUP($A116,Centrum!$D$3:$M$130,10,0))&gt;3),$A$1&lt;5),"",VLOOKUP(VLOOKUP($A116,Centrum!$D$3:$M$130,10,0),Centrum!$A$3:$CB$130,BC$132,0))</f>
        <v/>
      </c>
      <c r="BD116" s="318" t="str">
        <f ca="1">IF(OR(OR($A116="",TYPE(VLOOKUP($A116,Centrum!$D$3:$M$130,10,0))&gt;3),$A$1&lt;5),"",VLOOKUP(VLOOKUP($A116,Centrum!$D$3:$M$130,10,0),Centrum!$A$3:$CB$130,BD$132,0))</f>
        <v/>
      </c>
      <c r="BE116" s="318" t="str">
        <f ca="1">IF(OR(OR($A116="",TYPE(VLOOKUP($A116,Centrum!$D$3:$M$130,10,0))&gt;3),$A$1&lt;5),"",VLOOKUP(VLOOKUP($A116,Centrum!$D$3:$M$130,10,0),Centrum!$A$3:$CB$130,BE$132,0))</f>
        <v/>
      </c>
      <c r="BL116" s="318" t="str">
        <f ca="1">IF(OR(OR($A116="",TYPE(VLOOKUP($A116,Centrum!$D$3:$M$130,10,0))&gt;3),$A$1&lt;6),"",VLOOKUP(VLOOKUP($A116,Centrum!$D$3:$M$130,10,0),Centrum!$A$3:$CB$130,BL$132,0))</f>
        <v/>
      </c>
      <c r="BM116" s="318" t="str">
        <f ca="1">IF(OR(OR($A116="",TYPE(VLOOKUP($A116,Centrum!$D$3:$M$130,10,0))&gt;3),$A$1&lt;6),"",VLOOKUP(VLOOKUP($A116,Centrum!$D$3:$M$130,10,0),Centrum!$A$3:$CB$130,BM$132,0))</f>
        <v/>
      </c>
      <c r="BN116" s="318" t="str">
        <f ca="1">IF(OR(OR($A116="",TYPE(VLOOKUP($A116,Centrum!$D$3:$M$130,10,0))&gt;3),$A$1&lt;6),"",VLOOKUP(VLOOKUP($A116,Centrum!$D$3:$M$130,10,0),Centrum!$A$3:$CB$130,BN$132,0))</f>
        <v/>
      </c>
    </row>
    <row r="117" spans="1:66" x14ac:dyDescent="0.4">
      <c r="A117" s="318" t="str">
        <f ca="1">Centrum!A117</f>
        <v/>
      </c>
      <c r="B117" s="421" t="str">
        <f ca="1">IF(OR($A117="",TYPE(VLOOKUP($A117,Centrum!$D$3:$M$130,10,0))&gt;3),"",VLOOKUP(VLOOKUP(A117,Centrum!$D$3:$M$130,10,0),Centrum!$A$3:$CB$130,B$132,0))</f>
        <v/>
      </c>
      <c r="C117" s="318" t="str">
        <f ca="1">IF(OR($A117="",TYPE(VLOOKUP($A117,Centrum!$D$3:$M$130,10,0))&gt;3),"",VLOOKUP($A117,Centrum!$D$3:$M$130,10,0))</f>
        <v/>
      </c>
      <c r="E117" s="318" t="str">
        <f ca="1">IF(OR($A117="",TYPE(VLOOKUP($A117,Centrum!$D$3:$M$130,10,0))&gt;3),"",VLOOKUP(VLOOKUP($A117,Centrum!$D$3:$M$130,10,0),Centrum!$A$3:$CB$130,E$132,0))</f>
        <v/>
      </c>
      <c r="F117" s="318" t="str">
        <f ca="1">IF(OR($A117="",TYPE(VLOOKUP($A117,Centrum!$D$3:$M$130,10,0))&gt;3),"",VLOOKUP(VLOOKUP($A117,Centrum!$D$3:$M$130,10,0),Centrum!$A$3:$CB$130,F$132,0))</f>
        <v/>
      </c>
      <c r="G117" s="318" t="str">
        <f ca="1">IF(OR($A117="",TYPE(VLOOKUP($A117,Centrum!$D$3:$M$130,10,0))&gt;3),"",VLOOKUP(VLOOKUP($A117,Centrum!$D$3:$M$130,10,0),Centrum!$A$3:$CB$130,G$132,0))</f>
        <v/>
      </c>
      <c r="H117" s="318" t="str">
        <f ca="1">IF($A117="","",VLOOKUP(VLOOKUP($A117,Centrum!$D$3:$M$130,10,0),Centrum!$A$3:$CB$130,H$132,0))</f>
        <v/>
      </c>
      <c r="I117" s="318" t="str">
        <f ca="1">IF($A117="","",VLOOKUP(VLOOKUP($A117,Centrum!$D$3:$M$130,10,0),Centrum!$A$3:$CB$130,I$132,0))</f>
        <v/>
      </c>
      <c r="J117" s="318" t="str">
        <f ca="1">IF(OR($A117="",TYPE(VLOOKUP($A117,Centrum!$D$3:$M$130,10,0))&gt;3),"",VLOOKUP(VLOOKUP($A117,Centrum!$D$3:$M$130,10,0),Centrum!$A$3:$CB$130,J$132,0))</f>
        <v/>
      </c>
      <c r="L117" s="318" t="str">
        <f ca="1">IF(OR($A117="",TYPE(VLOOKUP($A117,Centrum!$D$3:$M$130,10,0))&gt;3),"",VLOOKUP(VLOOKUP($A117,Centrum!$D$3:$M$130,10,0),Centrum!$A$3:$CB$130,L$132,0))</f>
        <v/>
      </c>
      <c r="M117" s="318" t="str">
        <f ca="1">IF(OR($A117="",TYPE(VLOOKUP($A117,Centrum!$D$3:$M$130,10,0))&gt;3),"",VLOOKUP(VLOOKUP($A117,Centrum!$D$3:$M$130,10,0),Centrum!$A$3:$CB$130,M$132,0))</f>
        <v/>
      </c>
      <c r="N117" s="318" t="str">
        <f ca="1">IF(OR($A117="",TYPE(VLOOKUP($A117,Centrum!$D$3:$M$130,10,0))&gt;3),"",VLOOKUP(VLOOKUP($A117,Centrum!$D$3:$M$130,10,0),Centrum!$A$3:$CB$130,N$132,0))</f>
        <v/>
      </c>
      <c r="O117" s="318" t="str">
        <f ca="1">IF(OR($A117="",TYPE(VLOOKUP($A117,Centrum!$D$3:$M$130,10,0))&gt;3),"",VLOOKUP(VLOOKUP($A117,Centrum!$D$3:$M$130,10,0),Centrum!$A$3:$CB$130,O$132,0))</f>
        <v/>
      </c>
      <c r="P117" s="318" t="str">
        <f ca="1">IF(OR($A117="",TYPE(VLOOKUP($A117,Centrum!$D$3:$M$130,10,0))&gt;3),"",VLOOKUP(VLOOKUP($A117,Centrum!$D$3:$M$130,10,0),Centrum!$A$3:$CB$130,P$132,0))</f>
        <v/>
      </c>
      <c r="Q117" s="318" t="str">
        <f ca="1">IF(OR($A117="",TYPE(VLOOKUP($A117,Centrum!$D$3:$M$130,10,0))&gt;3),"",VLOOKUP(VLOOKUP($A117,Centrum!$D$3:$M$130,10,0),Centrum!$A$3:$CB$130,Q$132,0))</f>
        <v/>
      </c>
      <c r="S117" s="318" t="str">
        <f ca="1">IF(OR($A117="",TYPE(VLOOKUP($A117,Centrum!$D$3:$M$130,10,0))&gt;3),"",VLOOKUP(VLOOKUP($A117,Centrum!$D$3:$M$130,10,0),Centrum!$A$3:$CB$130,S$132,0))</f>
        <v/>
      </c>
      <c r="T117" s="318" t="str">
        <f ca="1">IF(OR($A117="",TYPE(VLOOKUP($A117,Centrum!$D$3:$M$130,10,0))&gt;3),"",VLOOKUP(VLOOKUP($A117,Centrum!$D$3:$M$130,10,0),Centrum!$A$3:$CB$130,T$132,0))</f>
        <v/>
      </c>
      <c r="U117" s="318" t="str">
        <f ca="1">IF(OR($A117="",TYPE(VLOOKUP($A117,Centrum!$D$3:$M$130,10,0))&gt;3),"",VLOOKUP(VLOOKUP($A117,Centrum!$D$3:$M$130,10,0),Centrum!$A$3:$CB$130,U$132,0))</f>
        <v/>
      </c>
      <c r="AB117" s="318" t="str">
        <f ca="1">IF(OR($A117="",TYPE(VLOOKUP($A117,Centrum!$D$3:$M$130,10,0))&gt;3),"",VLOOKUP(VLOOKUP($A117,Centrum!$D$3:$M$130,10,0),Centrum!$A$3:$CB$130,AB$132,0))</f>
        <v/>
      </c>
      <c r="AC117" s="318" t="str">
        <f ca="1">IF(OR($A117="",TYPE(VLOOKUP($A117,Centrum!$D$3:$M$130,10,0))&gt;3),"",VLOOKUP(VLOOKUP($A117,Centrum!$D$3:$M$130,10,0),Centrum!$A$3:$CB$130,AC$132,0))</f>
        <v/>
      </c>
      <c r="AD117" s="318" t="str">
        <f ca="1">IF(OR($A117="",TYPE(VLOOKUP($A117,Centrum!$D$3:$M$130,10,0))&gt;3),"",VLOOKUP(VLOOKUP($A117,Centrum!$D$3:$M$130,10,0),Centrum!$A$3:$CB$130,AD$132,0))</f>
        <v/>
      </c>
      <c r="AK117" s="318" t="str">
        <f ca="1">IF(OR($A117="",TYPE(VLOOKUP($A117,Centrum!$D$3:$M$130,10,0))&gt;3),"",VLOOKUP(VLOOKUP($A117,Centrum!$D$3:$M$130,10,0),Centrum!$A$3:$CB$130,AK$132,0))</f>
        <v/>
      </c>
      <c r="AL117" s="318" t="str">
        <f ca="1">IF(OR($A117="",TYPE(VLOOKUP($A117,Centrum!$D$3:$M$130,10,0))&gt;3),"",VLOOKUP(VLOOKUP($A117,Centrum!$D$3:$M$130,10,0),Centrum!$A$3:$CB$130,AL$132,0))</f>
        <v/>
      </c>
      <c r="AM117" s="318" t="str">
        <f ca="1">IF(OR($A117="",TYPE(VLOOKUP($A117,Centrum!$D$3:$M$130,10,0))&gt;3),"",VLOOKUP(VLOOKUP($A117,Centrum!$D$3:$M$130,10,0),Centrum!$A$3:$CB$130,AM$132,0))</f>
        <v/>
      </c>
      <c r="AT117" s="318" t="str">
        <f ca="1">IF(OR(OR($A117="",TYPE(VLOOKUP($A117,Centrum!$D$3:$M$130,10,0))&gt;3),$A$1&lt;4),"",VLOOKUP(VLOOKUP($A117,Centrum!$D$3:$M$130,10,0),Centrum!$A$3:$CB$130,AT$132,0))</f>
        <v/>
      </c>
      <c r="AU117" s="318" t="str">
        <f ca="1">IF(OR(OR($A117="",TYPE(VLOOKUP($A117,Centrum!$D$3:$M$130,10,0))&gt;3),$A$1&lt;4),"",VLOOKUP(VLOOKUP($A117,Centrum!$D$3:$M$130,10,0),Centrum!$A$3:$CB$130,AU$132,0))</f>
        <v/>
      </c>
      <c r="AV117" s="318" t="str">
        <f ca="1">IF(OR(OR($A117="",TYPE(VLOOKUP($A117,Centrum!$D$3:$M$130,10,0))&gt;3),$A$1&lt;4),"",VLOOKUP(VLOOKUP($A117,Centrum!$D$3:$M$130,10,0),Centrum!$A$3:$CB$130,AV$132,0))</f>
        <v/>
      </c>
      <c r="BC117" s="318" t="str">
        <f ca="1">IF(OR(OR($A117="",TYPE(VLOOKUP($A117,Centrum!$D$3:$M$130,10,0))&gt;3),$A$1&lt;5),"",VLOOKUP(VLOOKUP($A117,Centrum!$D$3:$M$130,10,0),Centrum!$A$3:$CB$130,BC$132,0))</f>
        <v/>
      </c>
      <c r="BD117" s="318" t="str">
        <f ca="1">IF(OR(OR($A117="",TYPE(VLOOKUP($A117,Centrum!$D$3:$M$130,10,0))&gt;3),$A$1&lt;5),"",VLOOKUP(VLOOKUP($A117,Centrum!$D$3:$M$130,10,0),Centrum!$A$3:$CB$130,BD$132,0))</f>
        <v/>
      </c>
      <c r="BE117" s="318" t="str">
        <f ca="1">IF(OR(OR($A117="",TYPE(VLOOKUP($A117,Centrum!$D$3:$M$130,10,0))&gt;3),$A$1&lt;5),"",VLOOKUP(VLOOKUP($A117,Centrum!$D$3:$M$130,10,0),Centrum!$A$3:$CB$130,BE$132,0))</f>
        <v/>
      </c>
      <c r="BL117" s="318" t="str">
        <f ca="1">IF(OR(OR($A117="",TYPE(VLOOKUP($A117,Centrum!$D$3:$M$130,10,0))&gt;3),$A$1&lt;6),"",VLOOKUP(VLOOKUP($A117,Centrum!$D$3:$M$130,10,0),Centrum!$A$3:$CB$130,BL$132,0))</f>
        <v/>
      </c>
      <c r="BM117" s="318" t="str">
        <f ca="1">IF(OR(OR($A117="",TYPE(VLOOKUP($A117,Centrum!$D$3:$M$130,10,0))&gt;3),$A$1&lt;6),"",VLOOKUP(VLOOKUP($A117,Centrum!$D$3:$M$130,10,0),Centrum!$A$3:$CB$130,BM$132,0))</f>
        <v/>
      </c>
      <c r="BN117" s="318" t="str">
        <f ca="1">IF(OR(OR($A117="",TYPE(VLOOKUP($A117,Centrum!$D$3:$M$130,10,0))&gt;3),$A$1&lt;6),"",VLOOKUP(VLOOKUP($A117,Centrum!$D$3:$M$130,10,0),Centrum!$A$3:$CB$130,BN$132,0))</f>
        <v/>
      </c>
    </row>
    <row r="118" spans="1:66" x14ac:dyDescent="0.4">
      <c r="A118" s="318" t="str">
        <f ca="1">Centrum!A118</f>
        <v/>
      </c>
      <c r="B118" s="421" t="str">
        <f ca="1">IF(OR($A118="",TYPE(VLOOKUP($A118,Centrum!$D$3:$M$130,10,0))&gt;3),"",VLOOKUP(VLOOKUP(A118,Centrum!$D$3:$M$130,10,0),Centrum!$A$3:$CB$130,B$132,0))</f>
        <v/>
      </c>
      <c r="C118" s="318" t="str">
        <f ca="1">IF(OR($A118="",TYPE(VLOOKUP($A118,Centrum!$D$3:$M$130,10,0))&gt;3),"",VLOOKUP($A118,Centrum!$D$3:$M$130,10,0))</f>
        <v/>
      </c>
      <c r="E118" s="318" t="str">
        <f ca="1">IF(OR($A118="",TYPE(VLOOKUP($A118,Centrum!$D$3:$M$130,10,0))&gt;3),"",VLOOKUP(VLOOKUP($A118,Centrum!$D$3:$M$130,10,0),Centrum!$A$3:$CB$130,E$132,0))</f>
        <v/>
      </c>
      <c r="F118" s="318" t="str">
        <f ca="1">IF(OR($A118="",TYPE(VLOOKUP($A118,Centrum!$D$3:$M$130,10,0))&gt;3),"",VLOOKUP(VLOOKUP($A118,Centrum!$D$3:$M$130,10,0),Centrum!$A$3:$CB$130,F$132,0))</f>
        <v/>
      </c>
      <c r="G118" s="318" t="str">
        <f ca="1">IF(OR($A118="",TYPE(VLOOKUP($A118,Centrum!$D$3:$M$130,10,0))&gt;3),"",VLOOKUP(VLOOKUP($A118,Centrum!$D$3:$M$130,10,0),Centrum!$A$3:$CB$130,G$132,0))</f>
        <v/>
      </c>
      <c r="H118" s="318" t="str">
        <f ca="1">IF($A118="","",VLOOKUP(VLOOKUP($A118,Centrum!$D$3:$M$130,10,0),Centrum!$A$3:$CB$130,H$132,0))</f>
        <v/>
      </c>
      <c r="I118" s="318" t="str">
        <f ca="1">IF($A118="","",VLOOKUP(VLOOKUP($A118,Centrum!$D$3:$M$130,10,0),Centrum!$A$3:$CB$130,I$132,0))</f>
        <v/>
      </c>
      <c r="J118" s="318" t="str">
        <f ca="1">IF(OR($A118="",TYPE(VLOOKUP($A118,Centrum!$D$3:$M$130,10,0))&gt;3),"",VLOOKUP(VLOOKUP($A118,Centrum!$D$3:$M$130,10,0),Centrum!$A$3:$CB$130,J$132,0))</f>
        <v/>
      </c>
      <c r="L118" s="318" t="str">
        <f ca="1">IF(OR($A118="",TYPE(VLOOKUP($A118,Centrum!$D$3:$M$130,10,0))&gt;3),"",VLOOKUP(VLOOKUP($A118,Centrum!$D$3:$M$130,10,0),Centrum!$A$3:$CB$130,L$132,0))</f>
        <v/>
      </c>
      <c r="M118" s="318" t="str">
        <f ca="1">IF(OR($A118="",TYPE(VLOOKUP($A118,Centrum!$D$3:$M$130,10,0))&gt;3),"",VLOOKUP(VLOOKUP($A118,Centrum!$D$3:$M$130,10,0),Centrum!$A$3:$CB$130,M$132,0))</f>
        <v/>
      </c>
      <c r="N118" s="318" t="str">
        <f ca="1">IF(OR($A118="",TYPE(VLOOKUP($A118,Centrum!$D$3:$M$130,10,0))&gt;3),"",VLOOKUP(VLOOKUP($A118,Centrum!$D$3:$M$130,10,0),Centrum!$A$3:$CB$130,N$132,0))</f>
        <v/>
      </c>
      <c r="O118" s="318" t="str">
        <f ca="1">IF(OR($A118="",TYPE(VLOOKUP($A118,Centrum!$D$3:$M$130,10,0))&gt;3),"",VLOOKUP(VLOOKUP($A118,Centrum!$D$3:$M$130,10,0),Centrum!$A$3:$CB$130,O$132,0))</f>
        <v/>
      </c>
      <c r="P118" s="318" t="str">
        <f ca="1">IF(OR($A118="",TYPE(VLOOKUP($A118,Centrum!$D$3:$M$130,10,0))&gt;3),"",VLOOKUP(VLOOKUP($A118,Centrum!$D$3:$M$130,10,0),Centrum!$A$3:$CB$130,P$132,0))</f>
        <v/>
      </c>
      <c r="Q118" s="318" t="str">
        <f ca="1">IF(OR($A118="",TYPE(VLOOKUP($A118,Centrum!$D$3:$M$130,10,0))&gt;3),"",VLOOKUP(VLOOKUP($A118,Centrum!$D$3:$M$130,10,0),Centrum!$A$3:$CB$130,Q$132,0))</f>
        <v/>
      </c>
      <c r="S118" s="318" t="str">
        <f ca="1">IF(OR($A118="",TYPE(VLOOKUP($A118,Centrum!$D$3:$M$130,10,0))&gt;3),"",VLOOKUP(VLOOKUP($A118,Centrum!$D$3:$M$130,10,0),Centrum!$A$3:$CB$130,S$132,0))</f>
        <v/>
      </c>
      <c r="T118" s="318" t="str">
        <f ca="1">IF(OR($A118="",TYPE(VLOOKUP($A118,Centrum!$D$3:$M$130,10,0))&gt;3),"",VLOOKUP(VLOOKUP($A118,Centrum!$D$3:$M$130,10,0),Centrum!$A$3:$CB$130,T$132,0))</f>
        <v/>
      </c>
      <c r="U118" s="318" t="str">
        <f ca="1">IF(OR($A118="",TYPE(VLOOKUP($A118,Centrum!$D$3:$M$130,10,0))&gt;3),"",VLOOKUP(VLOOKUP($A118,Centrum!$D$3:$M$130,10,0),Centrum!$A$3:$CB$130,U$132,0))</f>
        <v/>
      </c>
      <c r="AB118" s="318" t="str">
        <f ca="1">IF(OR($A118="",TYPE(VLOOKUP($A118,Centrum!$D$3:$M$130,10,0))&gt;3),"",VLOOKUP(VLOOKUP($A118,Centrum!$D$3:$M$130,10,0),Centrum!$A$3:$CB$130,AB$132,0))</f>
        <v/>
      </c>
      <c r="AC118" s="318" t="str">
        <f ca="1">IF(OR($A118="",TYPE(VLOOKUP($A118,Centrum!$D$3:$M$130,10,0))&gt;3),"",VLOOKUP(VLOOKUP($A118,Centrum!$D$3:$M$130,10,0),Centrum!$A$3:$CB$130,AC$132,0))</f>
        <v/>
      </c>
      <c r="AD118" s="318" t="str">
        <f ca="1">IF(OR($A118="",TYPE(VLOOKUP($A118,Centrum!$D$3:$M$130,10,0))&gt;3),"",VLOOKUP(VLOOKUP($A118,Centrum!$D$3:$M$130,10,0),Centrum!$A$3:$CB$130,AD$132,0))</f>
        <v/>
      </c>
      <c r="AK118" s="318" t="str">
        <f ca="1">IF(OR($A118="",TYPE(VLOOKUP($A118,Centrum!$D$3:$M$130,10,0))&gt;3),"",VLOOKUP(VLOOKUP($A118,Centrum!$D$3:$M$130,10,0),Centrum!$A$3:$CB$130,AK$132,0))</f>
        <v/>
      </c>
      <c r="AL118" s="318" t="str">
        <f ca="1">IF(OR($A118="",TYPE(VLOOKUP($A118,Centrum!$D$3:$M$130,10,0))&gt;3),"",VLOOKUP(VLOOKUP($A118,Centrum!$D$3:$M$130,10,0),Centrum!$A$3:$CB$130,AL$132,0))</f>
        <v/>
      </c>
      <c r="AM118" s="318" t="str">
        <f ca="1">IF(OR($A118="",TYPE(VLOOKUP($A118,Centrum!$D$3:$M$130,10,0))&gt;3),"",VLOOKUP(VLOOKUP($A118,Centrum!$D$3:$M$130,10,0),Centrum!$A$3:$CB$130,AM$132,0))</f>
        <v/>
      </c>
      <c r="AT118" s="318" t="str">
        <f ca="1">IF(OR(OR($A118="",TYPE(VLOOKUP($A118,Centrum!$D$3:$M$130,10,0))&gt;3),$A$1&lt;4),"",VLOOKUP(VLOOKUP($A118,Centrum!$D$3:$M$130,10,0),Centrum!$A$3:$CB$130,AT$132,0))</f>
        <v/>
      </c>
      <c r="AU118" s="318" t="str">
        <f ca="1">IF(OR(OR($A118="",TYPE(VLOOKUP($A118,Centrum!$D$3:$M$130,10,0))&gt;3),$A$1&lt;4),"",VLOOKUP(VLOOKUP($A118,Centrum!$D$3:$M$130,10,0),Centrum!$A$3:$CB$130,AU$132,0))</f>
        <v/>
      </c>
      <c r="AV118" s="318" t="str">
        <f ca="1">IF(OR(OR($A118="",TYPE(VLOOKUP($A118,Centrum!$D$3:$M$130,10,0))&gt;3),$A$1&lt;4),"",VLOOKUP(VLOOKUP($A118,Centrum!$D$3:$M$130,10,0),Centrum!$A$3:$CB$130,AV$132,0))</f>
        <v/>
      </c>
      <c r="BC118" s="318" t="str">
        <f ca="1">IF(OR(OR($A118="",TYPE(VLOOKUP($A118,Centrum!$D$3:$M$130,10,0))&gt;3),$A$1&lt;5),"",VLOOKUP(VLOOKUP($A118,Centrum!$D$3:$M$130,10,0),Centrum!$A$3:$CB$130,BC$132,0))</f>
        <v/>
      </c>
      <c r="BD118" s="318" t="str">
        <f ca="1">IF(OR(OR($A118="",TYPE(VLOOKUP($A118,Centrum!$D$3:$M$130,10,0))&gt;3),$A$1&lt;5),"",VLOOKUP(VLOOKUP($A118,Centrum!$D$3:$M$130,10,0),Centrum!$A$3:$CB$130,BD$132,0))</f>
        <v/>
      </c>
      <c r="BE118" s="318" t="str">
        <f ca="1">IF(OR(OR($A118="",TYPE(VLOOKUP($A118,Centrum!$D$3:$M$130,10,0))&gt;3),$A$1&lt;5),"",VLOOKUP(VLOOKUP($A118,Centrum!$D$3:$M$130,10,0),Centrum!$A$3:$CB$130,BE$132,0))</f>
        <v/>
      </c>
      <c r="BL118" s="318" t="str">
        <f ca="1">IF(OR(OR($A118="",TYPE(VLOOKUP($A118,Centrum!$D$3:$M$130,10,0))&gt;3),$A$1&lt;6),"",VLOOKUP(VLOOKUP($A118,Centrum!$D$3:$M$130,10,0),Centrum!$A$3:$CB$130,BL$132,0))</f>
        <v/>
      </c>
      <c r="BM118" s="318" t="str">
        <f ca="1">IF(OR(OR($A118="",TYPE(VLOOKUP($A118,Centrum!$D$3:$M$130,10,0))&gt;3),$A$1&lt;6),"",VLOOKUP(VLOOKUP($A118,Centrum!$D$3:$M$130,10,0),Centrum!$A$3:$CB$130,BM$132,0))</f>
        <v/>
      </c>
      <c r="BN118" s="318" t="str">
        <f ca="1">IF(OR(OR($A118="",TYPE(VLOOKUP($A118,Centrum!$D$3:$M$130,10,0))&gt;3),$A$1&lt;6),"",VLOOKUP(VLOOKUP($A118,Centrum!$D$3:$M$130,10,0),Centrum!$A$3:$CB$130,BN$132,0))</f>
        <v/>
      </c>
    </row>
    <row r="119" spans="1:66" x14ac:dyDescent="0.4">
      <c r="A119" s="318" t="str">
        <f ca="1">Centrum!A119</f>
        <v/>
      </c>
      <c r="B119" s="421" t="str">
        <f ca="1">IF(OR($A119="",TYPE(VLOOKUP($A119,Centrum!$D$3:$M$130,10,0))&gt;3),"",VLOOKUP(VLOOKUP(A119,Centrum!$D$3:$M$130,10,0),Centrum!$A$3:$CB$130,B$132,0))</f>
        <v/>
      </c>
      <c r="C119" s="318" t="str">
        <f ca="1">IF(OR($A119="",TYPE(VLOOKUP($A119,Centrum!$D$3:$M$130,10,0))&gt;3),"",VLOOKUP($A119,Centrum!$D$3:$M$130,10,0))</f>
        <v/>
      </c>
      <c r="E119" s="318" t="str">
        <f ca="1">IF(OR($A119="",TYPE(VLOOKUP($A119,Centrum!$D$3:$M$130,10,0))&gt;3),"",VLOOKUP(VLOOKUP($A119,Centrum!$D$3:$M$130,10,0),Centrum!$A$3:$CB$130,E$132,0))</f>
        <v/>
      </c>
      <c r="F119" s="318" t="str">
        <f ca="1">IF(OR($A119="",TYPE(VLOOKUP($A119,Centrum!$D$3:$M$130,10,0))&gt;3),"",VLOOKUP(VLOOKUP($A119,Centrum!$D$3:$M$130,10,0),Centrum!$A$3:$CB$130,F$132,0))</f>
        <v/>
      </c>
      <c r="G119" s="318" t="str">
        <f ca="1">IF(OR($A119="",TYPE(VLOOKUP($A119,Centrum!$D$3:$M$130,10,0))&gt;3),"",VLOOKUP(VLOOKUP($A119,Centrum!$D$3:$M$130,10,0),Centrum!$A$3:$CB$130,G$132,0))</f>
        <v/>
      </c>
      <c r="H119" s="318" t="str">
        <f ca="1">IF($A119="","",VLOOKUP(VLOOKUP($A119,Centrum!$D$3:$M$130,10,0),Centrum!$A$3:$CB$130,H$132,0))</f>
        <v/>
      </c>
      <c r="I119" s="318" t="str">
        <f ca="1">IF($A119="","",VLOOKUP(VLOOKUP($A119,Centrum!$D$3:$M$130,10,0),Centrum!$A$3:$CB$130,I$132,0))</f>
        <v/>
      </c>
      <c r="J119" s="318" t="str">
        <f ca="1">IF(OR($A119="",TYPE(VLOOKUP($A119,Centrum!$D$3:$M$130,10,0))&gt;3),"",VLOOKUP(VLOOKUP($A119,Centrum!$D$3:$M$130,10,0),Centrum!$A$3:$CB$130,J$132,0))</f>
        <v/>
      </c>
      <c r="L119" s="318" t="str">
        <f ca="1">IF(OR($A119="",TYPE(VLOOKUP($A119,Centrum!$D$3:$M$130,10,0))&gt;3),"",VLOOKUP(VLOOKUP($A119,Centrum!$D$3:$M$130,10,0),Centrum!$A$3:$CB$130,L$132,0))</f>
        <v/>
      </c>
      <c r="M119" s="318" t="str">
        <f ca="1">IF(OR($A119="",TYPE(VLOOKUP($A119,Centrum!$D$3:$M$130,10,0))&gt;3),"",VLOOKUP(VLOOKUP($A119,Centrum!$D$3:$M$130,10,0),Centrum!$A$3:$CB$130,M$132,0))</f>
        <v/>
      </c>
      <c r="N119" s="318" t="str">
        <f ca="1">IF(OR($A119="",TYPE(VLOOKUP($A119,Centrum!$D$3:$M$130,10,0))&gt;3),"",VLOOKUP(VLOOKUP($A119,Centrum!$D$3:$M$130,10,0),Centrum!$A$3:$CB$130,N$132,0))</f>
        <v/>
      </c>
      <c r="O119" s="318" t="str">
        <f ca="1">IF(OR($A119="",TYPE(VLOOKUP($A119,Centrum!$D$3:$M$130,10,0))&gt;3),"",VLOOKUP(VLOOKUP($A119,Centrum!$D$3:$M$130,10,0),Centrum!$A$3:$CB$130,O$132,0))</f>
        <v/>
      </c>
      <c r="P119" s="318" t="str">
        <f ca="1">IF(OR($A119="",TYPE(VLOOKUP($A119,Centrum!$D$3:$M$130,10,0))&gt;3),"",VLOOKUP(VLOOKUP($A119,Centrum!$D$3:$M$130,10,0),Centrum!$A$3:$CB$130,P$132,0))</f>
        <v/>
      </c>
      <c r="Q119" s="318" t="str">
        <f ca="1">IF(OR($A119="",TYPE(VLOOKUP($A119,Centrum!$D$3:$M$130,10,0))&gt;3),"",VLOOKUP(VLOOKUP($A119,Centrum!$D$3:$M$130,10,0),Centrum!$A$3:$CB$130,Q$132,0))</f>
        <v/>
      </c>
      <c r="S119" s="318" t="str">
        <f ca="1">IF(OR($A119="",TYPE(VLOOKUP($A119,Centrum!$D$3:$M$130,10,0))&gt;3),"",VLOOKUP(VLOOKUP($A119,Centrum!$D$3:$M$130,10,0),Centrum!$A$3:$CB$130,S$132,0))</f>
        <v/>
      </c>
      <c r="T119" s="318" t="str">
        <f ca="1">IF(OR($A119="",TYPE(VLOOKUP($A119,Centrum!$D$3:$M$130,10,0))&gt;3),"",VLOOKUP(VLOOKUP($A119,Centrum!$D$3:$M$130,10,0),Centrum!$A$3:$CB$130,T$132,0))</f>
        <v/>
      </c>
      <c r="U119" s="318" t="str">
        <f ca="1">IF(OR($A119="",TYPE(VLOOKUP($A119,Centrum!$D$3:$M$130,10,0))&gt;3),"",VLOOKUP(VLOOKUP($A119,Centrum!$D$3:$M$130,10,0),Centrum!$A$3:$CB$130,U$132,0))</f>
        <v/>
      </c>
      <c r="AB119" s="318" t="str">
        <f ca="1">IF(OR($A119="",TYPE(VLOOKUP($A119,Centrum!$D$3:$M$130,10,0))&gt;3),"",VLOOKUP(VLOOKUP($A119,Centrum!$D$3:$M$130,10,0),Centrum!$A$3:$CB$130,AB$132,0))</f>
        <v/>
      </c>
      <c r="AC119" s="318" t="str">
        <f ca="1">IF(OR($A119="",TYPE(VLOOKUP($A119,Centrum!$D$3:$M$130,10,0))&gt;3),"",VLOOKUP(VLOOKUP($A119,Centrum!$D$3:$M$130,10,0),Centrum!$A$3:$CB$130,AC$132,0))</f>
        <v/>
      </c>
      <c r="AD119" s="318" t="str">
        <f ca="1">IF(OR($A119="",TYPE(VLOOKUP($A119,Centrum!$D$3:$M$130,10,0))&gt;3),"",VLOOKUP(VLOOKUP($A119,Centrum!$D$3:$M$130,10,0),Centrum!$A$3:$CB$130,AD$132,0))</f>
        <v/>
      </c>
      <c r="AK119" s="318" t="str">
        <f ca="1">IF(OR($A119="",TYPE(VLOOKUP($A119,Centrum!$D$3:$M$130,10,0))&gt;3),"",VLOOKUP(VLOOKUP($A119,Centrum!$D$3:$M$130,10,0),Centrum!$A$3:$CB$130,AK$132,0))</f>
        <v/>
      </c>
      <c r="AL119" s="318" t="str">
        <f ca="1">IF(OR($A119="",TYPE(VLOOKUP($A119,Centrum!$D$3:$M$130,10,0))&gt;3),"",VLOOKUP(VLOOKUP($A119,Centrum!$D$3:$M$130,10,0),Centrum!$A$3:$CB$130,AL$132,0))</f>
        <v/>
      </c>
      <c r="AM119" s="318" t="str">
        <f ca="1">IF(OR($A119="",TYPE(VLOOKUP($A119,Centrum!$D$3:$M$130,10,0))&gt;3),"",VLOOKUP(VLOOKUP($A119,Centrum!$D$3:$M$130,10,0),Centrum!$A$3:$CB$130,AM$132,0))</f>
        <v/>
      </c>
      <c r="AT119" s="318" t="str">
        <f ca="1">IF(OR(OR($A119="",TYPE(VLOOKUP($A119,Centrum!$D$3:$M$130,10,0))&gt;3),$A$1&lt;4),"",VLOOKUP(VLOOKUP($A119,Centrum!$D$3:$M$130,10,0),Centrum!$A$3:$CB$130,AT$132,0))</f>
        <v/>
      </c>
      <c r="AU119" s="318" t="str">
        <f ca="1">IF(OR(OR($A119="",TYPE(VLOOKUP($A119,Centrum!$D$3:$M$130,10,0))&gt;3),$A$1&lt;4),"",VLOOKUP(VLOOKUP($A119,Centrum!$D$3:$M$130,10,0),Centrum!$A$3:$CB$130,AU$132,0))</f>
        <v/>
      </c>
      <c r="AV119" s="318" t="str">
        <f ca="1">IF(OR(OR($A119="",TYPE(VLOOKUP($A119,Centrum!$D$3:$M$130,10,0))&gt;3),$A$1&lt;4),"",VLOOKUP(VLOOKUP($A119,Centrum!$D$3:$M$130,10,0),Centrum!$A$3:$CB$130,AV$132,0))</f>
        <v/>
      </c>
      <c r="BC119" s="318" t="str">
        <f ca="1">IF(OR(OR($A119="",TYPE(VLOOKUP($A119,Centrum!$D$3:$M$130,10,0))&gt;3),$A$1&lt;5),"",VLOOKUP(VLOOKUP($A119,Centrum!$D$3:$M$130,10,0),Centrum!$A$3:$CB$130,BC$132,0))</f>
        <v/>
      </c>
      <c r="BD119" s="318" t="str">
        <f ca="1">IF(OR(OR($A119="",TYPE(VLOOKUP($A119,Centrum!$D$3:$M$130,10,0))&gt;3),$A$1&lt;5),"",VLOOKUP(VLOOKUP($A119,Centrum!$D$3:$M$130,10,0),Centrum!$A$3:$CB$130,BD$132,0))</f>
        <v/>
      </c>
      <c r="BE119" s="318" t="str">
        <f ca="1">IF(OR(OR($A119="",TYPE(VLOOKUP($A119,Centrum!$D$3:$M$130,10,0))&gt;3),$A$1&lt;5),"",VLOOKUP(VLOOKUP($A119,Centrum!$D$3:$M$130,10,0),Centrum!$A$3:$CB$130,BE$132,0))</f>
        <v/>
      </c>
      <c r="BL119" s="318" t="str">
        <f ca="1">IF(OR(OR($A119="",TYPE(VLOOKUP($A119,Centrum!$D$3:$M$130,10,0))&gt;3),$A$1&lt;6),"",VLOOKUP(VLOOKUP($A119,Centrum!$D$3:$M$130,10,0),Centrum!$A$3:$CB$130,BL$132,0))</f>
        <v/>
      </c>
      <c r="BM119" s="318" t="str">
        <f ca="1">IF(OR(OR($A119="",TYPE(VLOOKUP($A119,Centrum!$D$3:$M$130,10,0))&gt;3),$A$1&lt;6),"",VLOOKUP(VLOOKUP($A119,Centrum!$D$3:$M$130,10,0),Centrum!$A$3:$CB$130,BM$132,0))</f>
        <v/>
      </c>
      <c r="BN119" s="318" t="str">
        <f ca="1">IF(OR(OR($A119="",TYPE(VLOOKUP($A119,Centrum!$D$3:$M$130,10,0))&gt;3),$A$1&lt;6),"",VLOOKUP(VLOOKUP($A119,Centrum!$D$3:$M$130,10,0),Centrum!$A$3:$CB$130,BN$132,0))</f>
        <v/>
      </c>
    </row>
    <row r="120" spans="1:66" x14ac:dyDescent="0.4">
      <c r="A120" s="318" t="str">
        <f ca="1">Centrum!A120</f>
        <v/>
      </c>
      <c r="B120" s="421" t="str">
        <f ca="1">IF(OR($A120="",TYPE(VLOOKUP($A120,Centrum!$D$3:$M$130,10,0))&gt;3),"",VLOOKUP(VLOOKUP(A120,Centrum!$D$3:$M$130,10,0),Centrum!$A$3:$CB$130,B$132,0))</f>
        <v/>
      </c>
      <c r="C120" s="318" t="str">
        <f ca="1">IF(OR($A120="",TYPE(VLOOKUP($A120,Centrum!$D$3:$M$130,10,0))&gt;3),"",VLOOKUP($A120,Centrum!$D$3:$M$130,10,0))</f>
        <v/>
      </c>
      <c r="E120" s="318" t="str">
        <f ca="1">IF(OR($A120="",TYPE(VLOOKUP($A120,Centrum!$D$3:$M$130,10,0))&gt;3),"",VLOOKUP(VLOOKUP($A120,Centrum!$D$3:$M$130,10,0),Centrum!$A$3:$CB$130,E$132,0))</f>
        <v/>
      </c>
      <c r="F120" s="318" t="str">
        <f ca="1">IF(OR($A120="",TYPE(VLOOKUP($A120,Centrum!$D$3:$M$130,10,0))&gt;3),"",VLOOKUP(VLOOKUP($A120,Centrum!$D$3:$M$130,10,0),Centrum!$A$3:$CB$130,F$132,0))</f>
        <v/>
      </c>
      <c r="G120" s="318" t="str">
        <f ca="1">IF(OR($A120="",TYPE(VLOOKUP($A120,Centrum!$D$3:$M$130,10,0))&gt;3),"",VLOOKUP(VLOOKUP($A120,Centrum!$D$3:$M$130,10,0),Centrum!$A$3:$CB$130,G$132,0))</f>
        <v/>
      </c>
      <c r="H120" s="318" t="str">
        <f ca="1">IF($A120="","",VLOOKUP(VLOOKUP($A120,Centrum!$D$3:$M$130,10,0),Centrum!$A$3:$CB$130,H$132,0))</f>
        <v/>
      </c>
      <c r="I120" s="318" t="str">
        <f ca="1">IF($A120="","",VLOOKUP(VLOOKUP($A120,Centrum!$D$3:$M$130,10,0),Centrum!$A$3:$CB$130,I$132,0))</f>
        <v/>
      </c>
      <c r="J120" s="318" t="str">
        <f ca="1">IF(OR($A120="",TYPE(VLOOKUP($A120,Centrum!$D$3:$M$130,10,0))&gt;3),"",VLOOKUP(VLOOKUP($A120,Centrum!$D$3:$M$130,10,0),Centrum!$A$3:$CB$130,J$132,0))</f>
        <v/>
      </c>
      <c r="L120" s="318" t="str">
        <f ca="1">IF(OR($A120="",TYPE(VLOOKUP($A120,Centrum!$D$3:$M$130,10,0))&gt;3),"",VLOOKUP(VLOOKUP($A120,Centrum!$D$3:$M$130,10,0),Centrum!$A$3:$CB$130,L$132,0))</f>
        <v/>
      </c>
      <c r="M120" s="318" t="str">
        <f ca="1">IF(OR($A120="",TYPE(VLOOKUP($A120,Centrum!$D$3:$M$130,10,0))&gt;3),"",VLOOKUP(VLOOKUP($A120,Centrum!$D$3:$M$130,10,0),Centrum!$A$3:$CB$130,M$132,0))</f>
        <v/>
      </c>
      <c r="N120" s="318" t="str">
        <f ca="1">IF(OR($A120="",TYPE(VLOOKUP($A120,Centrum!$D$3:$M$130,10,0))&gt;3),"",VLOOKUP(VLOOKUP($A120,Centrum!$D$3:$M$130,10,0),Centrum!$A$3:$CB$130,N$132,0))</f>
        <v/>
      </c>
      <c r="O120" s="318" t="str">
        <f ca="1">IF(OR($A120="",TYPE(VLOOKUP($A120,Centrum!$D$3:$M$130,10,0))&gt;3),"",VLOOKUP(VLOOKUP($A120,Centrum!$D$3:$M$130,10,0),Centrum!$A$3:$CB$130,O$132,0))</f>
        <v/>
      </c>
      <c r="P120" s="318" t="str">
        <f ca="1">IF(OR($A120="",TYPE(VLOOKUP($A120,Centrum!$D$3:$M$130,10,0))&gt;3),"",VLOOKUP(VLOOKUP($A120,Centrum!$D$3:$M$130,10,0),Centrum!$A$3:$CB$130,P$132,0))</f>
        <v/>
      </c>
      <c r="Q120" s="318" t="str">
        <f ca="1">IF(OR($A120="",TYPE(VLOOKUP($A120,Centrum!$D$3:$M$130,10,0))&gt;3),"",VLOOKUP(VLOOKUP($A120,Centrum!$D$3:$M$130,10,0),Centrum!$A$3:$CB$130,Q$132,0))</f>
        <v/>
      </c>
      <c r="S120" s="318" t="str">
        <f ca="1">IF(OR($A120="",TYPE(VLOOKUP($A120,Centrum!$D$3:$M$130,10,0))&gt;3),"",VLOOKUP(VLOOKUP($A120,Centrum!$D$3:$M$130,10,0),Centrum!$A$3:$CB$130,S$132,0))</f>
        <v/>
      </c>
      <c r="T120" s="318" t="str">
        <f ca="1">IF(OR($A120="",TYPE(VLOOKUP($A120,Centrum!$D$3:$M$130,10,0))&gt;3),"",VLOOKUP(VLOOKUP($A120,Centrum!$D$3:$M$130,10,0),Centrum!$A$3:$CB$130,T$132,0))</f>
        <v/>
      </c>
      <c r="U120" s="318" t="str">
        <f ca="1">IF(OR($A120="",TYPE(VLOOKUP($A120,Centrum!$D$3:$M$130,10,0))&gt;3),"",VLOOKUP(VLOOKUP($A120,Centrum!$D$3:$M$130,10,0),Centrum!$A$3:$CB$130,U$132,0))</f>
        <v/>
      </c>
      <c r="AB120" s="318" t="str">
        <f ca="1">IF(OR($A120="",TYPE(VLOOKUP($A120,Centrum!$D$3:$M$130,10,0))&gt;3),"",VLOOKUP(VLOOKUP($A120,Centrum!$D$3:$M$130,10,0),Centrum!$A$3:$CB$130,AB$132,0))</f>
        <v/>
      </c>
      <c r="AC120" s="318" t="str">
        <f ca="1">IF(OR($A120="",TYPE(VLOOKUP($A120,Centrum!$D$3:$M$130,10,0))&gt;3),"",VLOOKUP(VLOOKUP($A120,Centrum!$D$3:$M$130,10,0),Centrum!$A$3:$CB$130,AC$132,0))</f>
        <v/>
      </c>
      <c r="AD120" s="318" t="str">
        <f ca="1">IF(OR($A120="",TYPE(VLOOKUP($A120,Centrum!$D$3:$M$130,10,0))&gt;3),"",VLOOKUP(VLOOKUP($A120,Centrum!$D$3:$M$130,10,0),Centrum!$A$3:$CB$130,AD$132,0))</f>
        <v/>
      </c>
      <c r="AK120" s="318" t="str">
        <f ca="1">IF(OR($A120="",TYPE(VLOOKUP($A120,Centrum!$D$3:$M$130,10,0))&gt;3),"",VLOOKUP(VLOOKUP($A120,Centrum!$D$3:$M$130,10,0),Centrum!$A$3:$CB$130,AK$132,0))</f>
        <v/>
      </c>
      <c r="AL120" s="318" t="str">
        <f ca="1">IF(OR($A120="",TYPE(VLOOKUP($A120,Centrum!$D$3:$M$130,10,0))&gt;3),"",VLOOKUP(VLOOKUP($A120,Centrum!$D$3:$M$130,10,0),Centrum!$A$3:$CB$130,AL$132,0))</f>
        <v/>
      </c>
      <c r="AM120" s="318" t="str">
        <f ca="1">IF(OR($A120="",TYPE(VLOOKUP($A120,Centrum!$D$3:$M$130,10,0))&gt;3),"",VLOOKUP(VLOOKUP($A120,Centrum!$D$3:$M$130,10,0),Centrum!$A$3:$CB$130,AM$132,0))</f>
        <v/>
      </c>
      <c r="AT120" s="318" t="str">
        <f ca="1">IF(OR(OR($A120="",TYPE(VLOOKUP($A120,Centrum!$D$3:$M$130,10,0))&gt;3),$A$1&lt;4),"",VLOOKUP(VLOOKUP($A120,Centrum!$D$3:$M$130,10,0),Centrum!$A$3:$CB$130,AT$132,0))</f>
        <v/>
      </c>
      <c r="AU120" s="318" t="str">
        <f ca="1">IF(OR(OR($A120="",TYPE(VLOOKUP($A120,Centrum!$D$3:$M$130,10,0))&gt;3),$A$1&lt;4),"",VLOOKUP(VLOOKUP($A120,Centrum!$D$3:$M$130,10,0),Centrum!$A$3:$CB$130,AU$132,0))</f>
        <v/>
      </c>
      <c r="AV120" s="318" t="str">
        <f ca="1">IF(OR(OR($A120="",TYPE(VLOOKUP($A120,Centrum!$D$3:$M$130,10,0))&gt;3),$A$1&lt;4),"",VLOOKUP(VLOOKUP($A120,Centrum!$D$3:$M$130,10,0),Centrum!$A$3:$CB$130,AV$132,0))</f>
        <v/>
      </c>
      <c r="BC120" s="318" t="str">
        <f ca="1">IF(OR(OR($A120="",TYPE(VLOOKUP($A120,Centrum!$D$3:$M$130,10,0))&gt;3),$A$1&lt;5),"",VLOOKUP(VLOOKUP($A120,Centrum!$D$3:$M$130,10,0),Centrum!$A$3:$CB$130,BC$132,0))</f>
        <v/>
      </c>
      <c r="BD120" s="318" t="str">
        <f ca="1">IF(OR(OR($A120="",TYPE(VLOOKUP($A120,Centrum!$D$3:$M$130,10,0))&gt;3),$A$1&lt;5),"",VLOOKUP(VLOOKUP($A120,Centrum!$D$3:$M$130,10,0),Centrum!$A$3:$CB$130,BD$132,0))</f>
        <v/>
      </c>
      <c r="BE120" s="318" t="str">
        <f ca="1">IF(OR(OR($A120="",TYPE(VLOOKUP($A120,Centrum!$D$3:$M$130,10,0))&gt;3),$A$1&lt;5),"",VLOOKUP(VLOOKUP($A120,Centrum!$D$3:$M$130,10,0),Centrum!$A$3:$CB$130,BE$132,0))</f>
        <v/>
      </c>
      <c r="BL120" s="318" t="str">
        <f ca="1">IF(OR(OR($A120="",TYPE(VLOOKUP($A120,Centrum!$D$3:$M$130,10,0))&gt;3),$A$1&lt;6),"",VLOOKUP(VLOOKUP($A120,Centrum!$D$3:$M$130,10,0),Centrum!$A$3:$CB$130,BL$132,0))</f>
        <v/>
      </c>
      <c r="BM120" s="318" t="str">
        <f ca="1">IF(OR(OR($A120="",TYPE(VLOOKUP($A120,Centrum!$D$3:$M$130,10,0))&gt;3),$A$1&lt;6),"",VLOOKUP(VLOOKUP($A120,Centrum!$D$3:$M$130,10,0),Centrum!$A$3:$CB$130,BM$132,0))</f>
        <v/>
      </c>
      <c r="BN120" s="318" t="str">
        <f ca="1">IF(OR(OR($A120="",TYPE(VLOOKUP($A120,Centrum!$D$3:$M$130,10,0))&gt;3),$A$1&lt;6),"",VLOOKUP(VLOOKUP($A120,Centrum!$D$3:$M$130,10,0),Centrum!$A$3:$CB$130,BN$132,0))</f>
        <v/>
      </c>
    </row>
    <row r="121" spans="1:66" x14ac:dyDescent="0.4">
      <c r="A121" s="318" t="str">
        <f ca="1">Centrum!A121</f>
        <v/>
      </c>
      <c r="B121" s="421" t="str">
        <f ca="1">IF(OR($A121="",TYPE(VLOOKUP($A121,Centrum!$D$3:$M$130,10,0))&gt;3),"",VLOOKUP(VLOOKUP(A121,Centrum!$D$3:$M$130,10,0),Centrum!$A$3:$CB$130,B$132,0))</f>
        <v/>
      </c>
      <c r="C121" s="318" t="str">
        <f ca="1">IF(OR($A121="",TYPE(VLOOKUP($A121,Centrum!$D$3:$M$130,10,0))&gt;3),"",VLOOKUP($A121,Centrum!$D$3:$M$130,10,0))</f>
        <v/>
      </c>
      <c r="E121" s="318" t="str">
        <f ca="1">IF(OR($A121="",TYPE(VLOOKUP($A121,Centrum!$D$3:$M$130,10,0))&gt;3),"",VLOOKUP(VLOOKUP($A121,Centrum!$D$3:$M$130,10,0),Centrum!$A$3:$CB$130,E$132,0))</f>
        <v/>
      </c>
      <c r="F121" s="318" t="str">
        <f ca="1">IF(OR($A121="",TYPE(VLOOKUP($A121,Centrum!$D$3:$M$130,10,0))&gt;3),"",VLOOKUP(VLOOKUP($A121,Centrum!$D$3:$M$130,10,0),Centrum!$A$3:$CB$130,F$132,0))</f>
        <v/>
      </c>
      <c r="G121" s="318" t="str">
        <f ca="1">IF(OR($A121="",TYPE(VLOOKUP($A121,Centrum!$D$3:$M$130,10,0))&gt;3),"",VLOOKUP(VLOOKUP($A121,Centrum!$D$3:$M$130,10,0),Centrum!$A$3:$CB$130,G$132,0))</f>
        <v/>
      </c>
      <c r="H121" s="318" t="str">
        <f ca="1">IF($A121="","",VLOOKUP(VLOOKUP($A121,Centrum!$D$3:$M$130,10,0),Centrum!$A$3:$CB$130,H$132,0))</f>
        <v/>
      </c>
      <c r="I121" s="318" t="str">
        <f ca="1">IF($A121="","",VLOOKUP(VLOOKUP($A121,Centrum!$D$3:$M$130,10,0),Centrum!$A$3:$CB$130,I$132,0))</f>
        <v/>
      </c>
      <c r="J121" s="318" t="str">
        <f ca="1">IF(OR($A121="",TYPE(VLOOKUP($A121,Centrum!$D$3:$M$130,10,0))&gt;3),"",VLOOKUP(VLOOKUP($A121,Centrum!$D$3:$M$130,10,0),Centrum!$A$3:$CB$130,J$132,0))</f>
        <v/>
      </c>
      <c r="L121" s="318" t="str">
        <f ca="1">IF(OR($A121="",TYPE(VLOOKUP($A121,Centrum!$D$3:$M$130,10,0))&gt;3),"",VLOOKUP(VLOOKUP($A121,Centrum!$D$3:$M$130,10,0),Centrum!$A$3:$CB$130,L$132,0))</f>
        <v/>
      </c>
      <c r="M121" s="318" t="str">
        <f ca="1">IF(OR($A121="",TYPE(VLOOKUP($A121,Centrum!$D$3:$M$130,10,0))&gt;3),"",VLOOKUP(VLOOKUP($A121,Centrum!$D$3:$M$130,10,0),Centrum!$A$3:$CB$130,M$132,0))</f>
        <v/>
      </c>
      <c r="N121" s="318" t="str">
        <f ca="1">IF(OR($A121="",TYPE(VLOOKUP($A121,Centrum!$D$3:$M$130,10,0))&gt;3),"",VLOOKUP(VLOOKUP($A121,Centrum!$D$3:$M$130,10,0),Centrum!$A$3:$CB$130,N$132,0))</f>
        <v/>
      </c>
      <c r="O121" s="318" t="str">
        <f ca="1">IF(OR($A121="",TYPE(VLOOKUP($A121,Centrum!$D$3:$M$130,10,0))&gt;3),"",VLOOKUP(VLOOKUP($A121,Centrum!$D$3:$M$130,10,0),Centrum!$A$3:$CB$130,O$132,0))</f>
        <v/>
      </c>
      <c r="P121" s="318" t="str">
        <f ca="1">IF(OR($A121="",TYPE(VLOOKUP($A121,Centrum!$D$3:$M$130,10,0))&gt;3),"",VLOOKUP(VLOOKUP($A121,Centrum!$D$3:$M$130,10,0),Centrum!$A$3:$CB$130,P$132,0))</f>
        <v/>
      </c>
      <c r="Q121" s="318" t="str">
        <f ca="1">IF(OR($A121="",TYPE(VLOOKUP($A121,Centrum!$D$3:$M$130,10,0))&gt;3),"",VLOOKUP(VLOOKUP($A121,Centrum!$D$3:$M$130,10,0),Centrum!$A$3:$CB$130,Q$132,0))</f>
        <v/>
      </c>
      <c r="S121" s="318" t="str">
        <f ca="1">IF(OR($A121="",TYPE(VLOOKUP($A121,Centrum!$D$3:$M$130,10,0))&gt;3),"",VLOOKUP(VLOOKUP($A121,Centrum!$D$3:$M$130,10,0),Centrum!$A$3:$CB$130,S$132,0))</f>
        <v/>
      </c>
      <c r="T121" s="318" t="str">
        <f ca="1">IF(OR($A121="",TYPE(VLOOKUP($A121,Centrum!$D$3:$M$130,10,0))&gt;3),"",VLOOKUP(VLOOKUP($A121,Centrum!$D$3:$M$130,10,0),Centrum!$A$3:$CB$130,T$132,0))</f>
        <v/>
      </c>
      <c r="U121" s="318" t="str">
        <f ca="1">IF(OR($A121="",TYPE(VLOOKUP($A121,Centrum!$D$3:$M$130,10,0))&gt;3),"",VLOOKUP(VLOOKUP($A121,Centrum!$D$3:$M$130,10,0),Centrum!$A$3:$CB$130,U$132,0))</f>
        <v/>
      </c>
      <c r="AB121" s="318" t="str">
        <f ca="1">IF(OR($A121="",TYPE(VLOOKUP($A121,Centrum!$D$3:$M$130,10,0))&gt;3),"",VLOOKUP(VLOOKUP($A121,Centrum!$D$3:$M$130,10,0),Centrum!$A$3:$CB$130,AB$132,0))</f>
        <v/>
      </c>
      <c r="AC121" s="318" t="str">
        <f ca="1">IF(OR($A121="",TYPE(VLOOKUP($A121,Centrum!$D$3:$M$130,10,0))&gt;3),"",VLOOKUP(VLOOKUP($A121,Centrum!$D$3:$M$130,10,0),Centrum!$A$3:$CB$130,AC$132,0))</f>
        <v/>
      </c>
      <c r="AD121" s="318" t="str">
        <f ca="1">IF(OR($A121="",TYPE(VLOOKUP($A121,Centrum!$D$3:$M$130,10,0))&gt;3),"",VLOOKUP(VLOOKUP($A121,Centrum!$D$3:$M$130,10,0),Centrum!$A$3:$CB$130,AD$132,0))</f>
        <v/>
      </c>
      <c r="AK121" s="318" t="str">
        <f ca="1">IF(OR($A121="",TYPE(VLOOKUP($A121,Centrum!$D$3:$M$130,10,0))&gt;3),"",VLOOKUP(VLOOKUP($A121,Centrum!$D$3:$M$130,10,0),Centrum!$A$3:$CB$130,AK$132,0))</f>
        <v/>
      </c>
      <c r="AL121" s="318" t="str">
        <f ca="1">IF(OR($A121="",TYPE(VLOOKUP($A121,Centrum!$D$3:$M$130,10,0))&gt;3),"",VLOOKUP(VLOOKUP($A121,Centrum!$D$3:$M$130,10,0),Centrum!$A$3:$CB$130,AL$132,0))</f>
        <v/>
      </c>
      <c r="AM121" s="318" t="str">
        <f ca="1">IF(OR($A121="",TYPE(VLOOKUP($A121,Centrum!$D$3:$M$130,10,0))&gt;3),"",VLOOKUP(VLOOKUP($A121,Centrum!$D$3:$M$130,10,0),Centrum!$A$3:$CB$130,AM$132,0))</f>
        <v/>
      </c>
      <c r="AT121" s="318" t="str">
        <f ca="1">IF(OR(OR($A121="",TYPE(VLOOKUP($A121,Centrum!$D$3:$M$130,10,0))&gt;3),$A$1&lt;4),"",VLOOKUP(VLOOKUP($A121,Centrum!$D$3:$M$130,10,0),Centrum!$A$3:$CB$130,AT$132,0))</f>
        <v/>
      </c>
      <c r="AU121" s="318" t="str">
        <f ca="1">IF(OR(OR($A121="",TYPE(VLOOKUP($A121,Centrum!$D$3:$M$130,10,0))&gt;3),$A$1&lt;4),"",VLOOKUP(VLOOKUP($A121,Centrum!$D$3:$M$130,10,0),Centrum!$A$3:$CB$130,AU$132,0))</f>
        <v/>
      </c>
      <c r="AV121" s="318" t="str">
        <f ca="1">IF(OR(OR($A121="",TYPE(VLOOKUP($A121,Centrum!$D$3:$M$130,10,0))&gt;3),$A$1&lt;4),"",VLOOKUP(VLOOKUP($A121,Centrum!$D$3:$M$130,10,0),Centrum!$A$3:$CB$130,AV$132,0))</f>
        <v/>
      </c>
      <c r="BC121" s="318" t="str">
        <f ca="1">IF(OR(OR($A121="",TYPE(VLOOKUP($A121,Centrum!$D$3:$M$130,10,0))&gt;3),$A$1&lt;5),"",VLOOKUP(VLOOKUP($A121,Centrum!$D$3:$M$130,10,0),Centrum!$A$3:$CB$130,BC$132,0))</f>
        <v/>
      </c>
      <c r="BD121" s="318" t="str">
        <f ca="1">IF(OR(OR($A121="",TYPE(VLOOKUP($A121,Centrum!$D$3:$M$130,10,0))&gt;3),$A$1&lt;5),"",VLOOKUP(VLOOKUP($A121,Centrum!$D$3:$M$130,10,0),Centrum!$A$3:$CB$130,BD$132,0))</f>
        <v/>
      </c>
      <c r="BE121" s="318" t="str">
        <f ca="1">IF(OR(OR($A121="",TYPE(VLOOKUP($A121,Centrum!$D$3:$M$130,10,0))&gt;3),$A$1&lt;5),"",VLOOKUP(VLOOKUP($A121,Centrum!$D$3:$M$130,10,0),Centrum!$A$3:$CB$130,BE$132,0))</f>
        <v/>
      </c>
      <c r="BL121" s="318" t="str">
        <f ca="1">IF(OR(OR($A121="",TYPE(VLOOKUP($A121,Centrum!$D$3:$M$130,10,0))&gt;3),$A$1&lt;6),"",VLOOKUP(VLOOKUP($A121,Centrum!$D$3:$M$130,10,0),Centrum!$A$3:$CB$130,BL$132,0))</f>
        <v/>
      </c>
      <c r="BM121" s="318" t="str">
        <f ca="1">IF(OR(OR($A121="",TYPE(VLOOKUP($A121,Centrum!$D$3:$M$130,10,0))&gt;3),$A$1&lt;6),"",VLOOKUP(VLOOKUP($A121,Centrum!$D$3:$M$130,10,0),Centrum!$A$3:$CB$130,BM$132,0))</f>
        <v/>
      </c>
      <c r="BN121" s="318" t="str">
        <f ca="1">IF(OR(OR($A121="",TYPE(VLOOKUP($A121,Centrum!$D$3:$M$130,10,0))&gt;3),$A$1&lt;6),"",VLOOKUP(VLOOKUP($A121,Centrum!$D$3:$M$130,10,0),Centrum!$A$3:$CB$130,BN$132,0))</f>
        <v/>
      </c>
    </row>
    <row r="122" spans="1:66" x14ac:dyDescent="0.4">
      <c r="A122" s="318" t="str">
        <f ca="1">Centrum!A122</f>
        <v/>
      </c>
      <c r="B122" s="421" t="str">
        <f ca="1">IF(OR($A122="",TYPE(VLOOKUP($A122,Centrum!$D$3:$M$130,10,0))&gt;3),"",VLOOKUP(VLOOKUP(A122,Centrum!$D$3:$M$130,10,0),Centrum!$A$3:$CB$130,B$132,0))</f>
        <v/>
      </c>
      <c r="C122" s="318" t="str">
        <f ca="1">IF(OR($A122="",TYPE(VLOOKUP($A122,Centrum!$D$3:$M$130,10,0))&gt;3),"",VLOOKUP($A122,Centrum!$D$3:$M$130,10,0))</f>
        <v/>
      </c>
      <c r="E122" s="318" t="str">
        <f ca="1">IF(OR($A122="",TYPE(VLOOKUP($A122,Centrum!$D$3:$M$130,10,0))&gt;3),"",VLOOKUP(VLOOKUP($A122,Centrum!$D$3:$M$130,10,0),Centrum!$A$3:$CB$130,E$132,0))</f>
        <v/>
      </c>
      <c r="F122" s="318" t="str">
        <f ca="1">IF(OR($A122="",TYPE(VLOOKUP($A122,Centrum!$D$3:$M$130,10,0))&gt;3),"",VLOOKUP(VLOOKUP($A122,Centrum!$D$3:$M$130,10,0),Centrum!$A$3:$CB$130,F$132,0))</f>
        <v/>
      </c>
      <c r="G122" s="318" t="str">
        <f ca="1">IF(OR($A122="",TYPE(VLOOKUP($A122,Centrum!$D$3:$M$130,10,0))&gt;3),"",VLOOKUP(VLOOKUP($A122,Centrum!$D$3:$M$130,10,0),Centrum!$A$3:$CB$130,G$132,0))</f>
        <v/>
      </c>
      <c r="H122" s="318" t="str">
        <f ca="1">IF($A122="","",VLOOKUP(VLOOKUP($A122,Centrum!$D$3:$M$130,10,0),Centrum!$A$3:$CB$130,H$132,0))</f>
        <v/>
      </c>
      <c r="I122" s="318" t="str">
        <f ca="1">IF($A122="","",VLOOKUP(VLOOKUP($A122,Centrum!$D$3:$M$130,10,0),Centrum!$A$3:$CB$130,I$132,0))</f>
        <v/>
      </c>
      <c r="J122" s="318" t="str">
        <f ca="1">IF(OR($A122="",TYPE(VLOOKUP($A122,Centrum!$D$3:$M$130,10,0))&gt;3),"",VLOOKUP(VLOOKUP($A122,Centrum!$D$3:$M$130,10,0),Centrum!$A$3:$CB$130,J$132,0))</f>
        <v/>
      </c>
      <c r="L122" s="318" t="str">
        <f ca="1">IF(OR($A122="",TYPE(VLOOKUP($A122,Centrum!$D$3:$M$130,10,0))&gt;3),"",VLOOKUP(VLOOKUP($A122,Centrum!$D$3:$M$130,10,0),Centrum!$A$3:$CB$130,L$132,0))</f>
        <v/>
      </c>
      <c r="M122" s="318" t="str">
        <f ca="1">IF(OR($A122="",TYPE(VLOOKUP($A122,Centrum!$D$3:$M$130,10,0))&gt;3),"",VLOOKUP(VLOOKUP($A122,Centrum!$D$3:$M$130,10,0),Centrum!$A$3:$CB$130,M$132,0))</f>
        <v/>
      </c>
      <c r="N122" s="318" t="str">
        <f ca="1">IF(OR($A122="",TYPE(VLOOKUP($A122,Centrum!$D$3:$M$130,10,0))&gt;3),"",VLOOKUP(VLOOKUP($A122,Centrum!$D$3:$M$130,10,0),Centrum!$A$3:$CB$130,N$132,0))</f>
        <v/>
      </c>
      <c r="O122" s="318" t="str">
        <f ca="1">IF(OR($A122="",TYPE(VLOOKUP($A122,Centrum!$D$3:$M$130,10,0))&gt;3),"",VLOOKUP(VLOOKUP($A122,Centrum!$D$3:$M$130,10,0),Centrum!$A$3:$CB$130,O$132,0))</f>
        <v/>
      </c>
      <c r="P122" s="318" t="str">
        <f ca="1">IF(OR($A122="",TYPE(VLOOKUP($A122,Centrum!$D$3:$M$130,10,0))&gt;3),"",VLOOKUP(VLOOKUP($A122,Centrum!$D$3:$M$130,10,0),Centrum!$A$3:$CB$130,P$132,0))</f>
        <v/>
      </c>
      <c r="Q122" s="318" t="str">
        <f ca="1">IF(OR($A122="",TYPE(VLOOKUP($A122,Centrum!$D$3:$M$130,10,0))&gt;3),"",VLOOKUP(VLOOKUP($A122,Centrum!$D$3:$M$130,10,0),Centrum!$A$3:$CB$130,Q$132,0))</f>
        <v/>
      </c>
      <c r="S122" s="318" t="str">
        <f ca="1">IF(OR($A122="",TYPE(VLOOKUP($A122,Centrum!$D$3:$M$130,10,0))&gt;3),"",VLOOKUP(VLOOKUP($A122,Centrum!$D$3:$M$130,10,0),Centrum!$A$3:$CB$130,S$132,0))</f>
        <v/>
      </c>
      <c r="T122" s="318" t="str">
        <f ca="1">IF(OR($A122="",TYPE(VLOOKUP($A122,Centrum!$D$3:$M$130,10,0))&gt;3),"",VLOOKUP(VLOOKUP($A122,Centrum!$D$3:$M$130,10,0),Centrum!$A$3:$CB$130,T$132,0))</f>
        <v/>
      </c>
      <c r="U122" s="318" t="str">
        <f ca="1">IF(OR($A122="",TYPE(VLOOKUP($A122,Centrum!$D$3:$M$130,10,0))&gt;3),"",VLOOKUP(VLOOKUP($A122,Centrum!$D$3:$M$130,10,0),Centrum!$A$3:$CB$130,U$132,0))</f>
        <v/>
      </c>
      <c r="AB122" s="318" t="str">
        <f ca="1">IF(OR($A122="",TYPE(VLOOKUP($A122,Centrum!$D$3:$M$130,10,0))&gt;3),"",VLOOKUP(VLOOKUP($A122,Centrum!$D$3:$M$130,10,0),Centrum!$A$3:$CB$130,AB$132,0))</f>
        <v/>
      </c>
      <c r="AC122" s="318" t="str">
        <f ca="1">IF(OR($A122="",TYPE(VLOOKUP($A122,Centrum!$D$3:$M$130,10,0))&gt;3),"",VLOOKUP(VLOOKUP($A122,Centrum!$D$3:$M$130,10,0),Centrum!$A$3:$CB$130,AC$132,0))</f>
        <v/>
      </c>
      <c r="AD122" s="318" t="str">
        <f ca="1">IF(OR($A122="",TYPE(VLOOKUP($A122,Centrum!$D$3:$M$130,10,0))&gt;3),"",VLOOKUP(VLOOKUP($A122,Centrum!$D$3:$M$130,10,0),Centrum!$A$3:$CB$130,AD$132,0))</f>
        <v/>
      </c>
      <c r="AK122" s="318" t="str">
        <f ca="1">IF(OR($A122="",TYPE(VLOOKUP($A122,Centrum!$D$3:$M$130,10,0))&gt;3),"",VLOOKUP(VLOOKUP($A122,Centrum!$D$3:$M$130,10,0),Centrum!$A$3:$CB$130,AK$132,0))</f>
        <v/>
      </c>
      <c r="AL122" s="318" t="str">
        <f ca="1">IF(OR($A122="",TYPE(VLOOKUP($A122,Centrum!$D$3:$M$130,10,0))&gt;3),"",VLOOKUP(VLOOKUP($A122,Centrum!$D$3:$M$130,10,0),Centrum!$A$3:$CB$130,AL$132,0))</f>
        <v/>
      </c>
      <c r="AM122" s="318" t="str">
        <f ca="1">IF(OR($A122="",TYPE(VLOOKUP($A122,Centrum!$D$3:$M$130,10,0))&gt;3),"",VLOOKUP(VLOOKUP($A122,Centrum!$D$3:$M$130,10,0),Centrum!$A$3:$CB$130,AM$132,0))</f>
        <v/>
      </c>
      <c r="AT122" s="318" t="str">
        <f ca="1">IF(OR(OR($A122="",TYPE(VLOOKUP($A122,Centrum!$D$3:$M$130,10,0))&gt;3),$A$1&lt;4),"",VLOOKUP(VLOOKUP($A122,Centrum!$D$3:$M$130,10,0),Centrum!$A$3:$CB$130,AT$132,0))</f>
        <v/>
      </c>
      <c r="AU122" s="318" t="str">
        <f ca="1">IF(OR(OR($A122="",TYPE(VLOOKUP($A122,Centrum!$D$3:$M$130,10,0))&gt;3),$A$1&lt;4),"",VLOOKUP(VLOOKUP($A122,Centrum!$D$3:$M$130,10,0),Centrum!$A$3:$CB$130,AU$132,0))</f>
        <v/>
      </c>
      <c r="AV122" s="318" t="str">
        <f ca="1">IF(OR(OR($A122="",TYPE(VLOOKUP($A122,Centrum!$D$3:$M$130,10,0))&gt;3),$A$1&lt;4),"",VLOOKUP(VLOOKUP($A122,Centrum!$D$3:$M$130,10,0),Centrum!$A$3:$CB$130,AV$132,0))</f>
        <v/>
      </c>
      <c r="BC122" s="318" t="str">
        <f ca="1">IF(OR(OR($A122="",TYPE(VLOOKUP($A122,Centrum!$D$3:$M$130,10,0))&gt;3),$A$1&lt;5),"",VLOOKUP(VLOOKUP($A122,Centrum!$D$3:$M$130,10,0),Centrum!$A$3:$CB$130,BC$132,0))</f>
        <v/>
      </c>
      <c r="BD122" s="318" t="str">
        <f ca="1">IF(OR(OR($A122="",TYPE(VLOOKUP($A122,Centrum!$D$3:$M$130,10,0))&gt;3),$A$1&lt;5),"",VLOOKUP(VLOOKUP($A122,Centrum!$D$3:$M$130,10,0),Centrum!$A$3:$CB$130,BD$132,0))</f>
        <v/>
      </c>
      <c r="BE122" s="318" t="str">
        <f ca="1">IF(OR(OR($A122="",TYPE(VLOOKUP($A122,Centrum!$D$3:$M$130,10,0))&gt;3),$A$1&lt;5),"",VLOOKUP(VLOOKUP($A122,Centrum!$D$3:$M$130,10,0),Centrum!$A$3:$CB$130,BE$132,0))</f>
        <v/>
      </c>
      <c r="BL122" s="318" t="str">
        <f ca="1">IF(OR(OR($A122="",TYPE(VLOOKUP($A122,Centrum!$D$3:$M$130,10,0))&gt;3),$A$1&lt;6),"",VLOOKUP(VLOOKUP($A122,Centrum!$D$3:$M$130,10,0),Centrum!$A$3:$CB$130,BL$132,0))</f>
        <v/>
      </c>
      <c r="BM122" s="318" t="str">
        <f ca="1">IF(OR(OR($A122="",TYPE(VLOOKUP($A122,Centrum!$D$3:$M$130,10,0))&gt;3),$A$1&lt;6),"",VLOOKUP(VLOOKUP($A122,Centrum!$D$3:$M$130,10,0),Centrum!$A$3:$CB$130,BM$132,0))</f>
        <v/>
      </c>
      <c r="BN122" s="318" t="str">
        <f ca="1">IF(OR(OR($A122="",TYPE(VLOOKUP($A122,Centrum!$D$3:$M$130,10,0))&gt;3),$A$1&lt;6),"",VLOOKUP(VLOOKUP($A122,Centrum!$D$3:$M$130,10,0),Centrum!$A$3:$CB$130,BN$132,0))</f>
        <v/>
      </c>
    </row>
    <row r="123" spans="1:66" x14ac:dyDescent="0.4">
      <c r="A123" s="318" t="str">
        <f ca="1">Centrum!A123</f>
        <v/>
      </c>
      <c r="B123" s="421" t="str">
        <f ca="1">IF(OR($A123="",TYPE(VLOOKUP($A123,Centrum!$D$3:$M$130,10,0))&gt;3),"",VLOOKUP(VLOOKUP(A123,Centrum!$D$3:$M$130,10,0),Centrum!$A$3:$CB$130,B$132,0))</f>
        <v/>
      </c>
      <c r="C123" s="318" t="str">
        <f ca="1">IF(OR($A123="",TYPE(VLOOKUP($A123,Centrum!$D$3:$M$130,10,0))&gt;3),"",VLOOKUP($A123,Centrum!$D$3:$M$130,10,0))</f>
        <v/>
      </c>
      <c r="E123" s="318" t="str">
        <f ca="1">IF(OR($A123="",TYPE(VLOOKUP($A123,Centrum!$D$3:$M$130,10,0))&gt;3),"",VLOOKUP(VLOOKUP($A123,Centrum!$D$3:$M$130,10,0),Centrum!$A$3:$CB$130,E$132,0))</f>
        <v/>
      </c>
      <c r="F123" s="318" t="str">
        <f ca="1">IF(OR($A123="",TYPE(VLOOKUP($A123,Centrum!$D$3:$M$130,10,0))&gt;3),"",VLOOKUP(VLOOKUP($A123,Centrum!$D$3:$M$130,10,0),Centrum!$A$3:$CB$130,F$132,0))</f>
        <v/>
      </c>
      <c r="G123" s="318" t="str">
        <f ca="1">IF(OR($A123="",TYPE(VLOOKUP($A123,Centrum!$D$3:$M$130,10,0))&gt;3),"",VLOOKUP(VLOOKUP($A123,Centrum!$D$3:$M$130,10,0),Centrum!$A$3:$CB$130,G$132,0))</f>
        <v/>
      </c>
      <c r="H123" s="318" t="str">
        <f ca="1">IF($A123="","",VLOOKUP(VLOOKUP($A123,Centrum!$D$3:$M$130,10,0),Centrum!$A$3:$CB$130,H$132,0))</f>
        <v/>
      </c>
      <c r="I123" s="318" t="str">
        <f ca="1">IF($A123="","",VLOOKUP(VLOOKUP($A123,Centrum!$D$3:$M$130,10,0),Centrum!$A$3:$CB$130,I$132,0))</f>
        <v/>
      </c>
      <c r="J123" s="318" t="str">
        <f ca="1">IF(OR($A123="",TYPE(VLOOKUP($A123,Centrum!$D$3:$M$130,10,0))&gt;3),"",VLOOKUP(VLOOKUP($A123,Centrum!$D$3:$M$130,10,0),Centrum!$A$3:$CB$130,J$132,0))</f>
        <v/>
      </c>
      <c r="L123" s="318" t="str">
        <f ca="1">IF(OR($A123="",TYPE(VLOOKUP($A123,Centrum!$D$3:$M$130,10,0))&gt;3),"",VLOOKUP(VLOOKUP($A123,Centrum!$D$3:$M$130,10,0),Centrum!$A$3:$CB$130,L$132,0))</f>
        <v/>
      </c>
      <c r="M123" s="318" t="str">
        <f ca="1">IF(OR($A123="",TYPE(VLOOKUP($A123,Centrum!$D$3:$M$130,10,0))&gt;3),"",VLOOKUP(VLOOKUP($A123,Centrum!$D$3:$M$130,10,0),Centrum!$A$3:$CB$130,M$132,0))</f>
        <v/>
      </c>
      <c r="N123" s="318" t="str">
        <f ca="1">IF(OR($A123="",TYPE(VLOOKUP($A123,Centrum!$D$3:$M$130,10,0))&gt;3),"",VLOOKUP(VLOOKUP($A123,Centrum!$D$3:$M$130,10,0),Centrum!$A$3:$CB$130,N$132,0))</f>
        <v/>
      </c>
      <c r="O123" s="318" t="str">
        <f ca="1">IF(OR($A123="",TYPE(VLOOKUP($A123,Centrum!$D$3:$M$130,10,0))&gt;3),"",VLOOKUP(VLOOKUP($A123,Centrum!$D$3:$M$130,10,0),Centrum!$A$3:$CB$130,O$132,0))</f>
        <v/>
      </c>
      <c r="P123" s="318" t="str">
        <f ca="1">IF(OR($A123="",TYPE(VLOOKUP($A123,Centrum!$D$3:$M$130,10,0))&gt;3),"",VLOOKUP(VLOOKUP($A123,Centrum!$D$3:$M$130,10,0),Centrum!$A$3:$CB$130,P$132,0))</f>
        <v/>
      </c>
      <c r="Q123" s="318" t="str">
        <f ca="1">IF(OR($A123="",TYPE(VLOOKUP($A123,Centrum!$D$3:$M$130,10,0))&gt;3),"",VLOOKUP(VLOOKUP($A123,Centrum!$D$3:$M$130,10,0),Centrum!$A$3:$CB$130,Q$132,0))</f>
        <v/>
      </c>
      <c r="S123" s="318" t="str">
        <f ca="1">IF(OR($A123="",TYPE(VLOOKUP($A123,Centrum!$D$3:$M$130,10,0))&gt;3),"",VLOOKUP(VLOOKUP($A123,Centrum!$D$3:$M$130,10,0),Centrum!$A$3:$CB$130,S$132,0))</f>
        <v/>
      </c>
      <c r="T123" s="318" t="str">
        <f ca="1">IF(OR($A123="",TYPE(VLOOKUP($A123,Centrum!$D$3:$M$130,10,0))&gt;3),"",VLOOKUP(VLOOKUP($A123,Centrum!$D$3:$M$130,10,0),Centrum!$A$3:$CB$130,T$132,0))</f>
        <v/>
      </c>
      <c r="U123" s="318" t="str">
        <f ca="1">IF(OR($A123="",TYPE(VLOOKUP($A123,Centrum!$D$3:$M$130,10,0))&gt;3),"",VLOOKUP(VLOOKUP($A123,Centrum!$D$3:$M$130,10,0),Centrum!$A$3:$CB$130,U$132,0))</f>
        <v/>
      </c>
      <c r="AB123" s="318" t="str">
        <f ca="1">IF(OR($A123="",TYPE(VLOOKUP($A123,Centrum!$D$3:$M$130,10,0))&gt;3),"",VLOOKUP(VLOOKUP($A123,Centrum!$D$3:$M$130,10,0),Centrum!$A$3:$CB$130,AB$132,0))</f>
        <v/>
      </c>
      <c r="AC123" s="318" t="str">
        <f ca="1">IF(OR($A123="",TYPE(VLOOKUP($A123,Centrum!$D$3:$M$130,10,0))&gt;3),"",VLOOKUP(VLOOKUP($A123,Centrum!$D$3:$M$130,10,0),Centrum!$A$3:$CB$130,AC$132,0))</f>
        <v/>
      </c>
      <c r="AD123" s="318" t="str">
        <f ca="1">IF(OR($A123="",TYPE(VLOOKUP($A123,Centrum!$D$3:$M$130,10,0))&gt;3),"",VLOOKUP(VLOOKUP($A123,Centrum!$D$3:$M$130,10,0),Centrum!$A$3:$CB$130,AD$132,0))</f>
        <v/>
      </c>
      <c r="AK123" s="318" t="str">
        <f ca="1">IF(OR($A123="",TYPE(VLOOKUP($A123,Centrum!$D$3:$M$130,10,0))&gt;3),"",VLOOKUP(VLOOKUP($A123,Centrum!$D$3:$M$130,10,0),Centrum!$A$3:$CB$130,AK$132,0))</f>
        <v/>
      </c>
      <c r="AL123" s="318" t="str">
        <f ca="1">IF(OR($A123="",TYPE(VLOOKUP($A123,Centrum!$D$3:$M$130,10,0))&gt;3),"",VLOOKUP(VLOOKUP($A123,Centrum!$D$3:$M$130,10,0),Centrum!$A$3:$CB$130,AL$132,0))</f>
        <v/>
      </c>
      <c r="AM123" s="318" t="str">
        <f ca="1">IF(OR($A123="",TYPE(VLOOKUP($A123,Centrum!$D$3:$M$130,10,0))&gt;3),"",VLOOKUP(VLOOKUP($A123,Centrum!$D$3:$M$130,10,0),Centrum!$A$3:$CB$130,AM$132,0))</f>
        <v/>
      </c>
      <c r="AT123" s="318" t="str">
        <f ca="1">IF(OR(OR($A123="",TYPE(VLOOKUP($A123,Centrum!$D$3:$M$130,10,0))&gt;3),$A$1&lt;4),"",VLOOKUP(VLOOKUP($A123,Centrum!$D$3:$M$130,10,0),Centrum!$A$3:$CB$130,AT$132,0))</f>
        <v/>
      </c>
      <c r="AU123" s="318" t="str">
        <f ca="1">IF(OR(OR($A123="",TYPE(VLOOKUP($A123,Centrum!$D$3:$M$130,10,0))&gt;3),$A$1&lt;4),"",VLOOKUP(VLOOKUP($A123,Centrum!$D$3:$M$130,10,0),Centrum!$A$3:$CB$130,AU$132,0))</f>
        <v/>
      </c>
      <c r="AV123" s="318" t="str">
        <f ca="1">IF(OR(OR($A123="",TYPE(VLOOKUP($A123,Centrum!$D$3:$M$130,10,0))&gt;3),$A$1&lt;4),"",VLOOKUP(VLOOKUP($A123,Centrum!$D$3:$M$130,10,0),Centrum!$A$3:$CB$130,AV$132,0))</f>
        <v/>
      </c>
      <c r="BC123" s="318" t="str">
        <f ca="1">IF(OR(OR($A123="",TYPE(VLOOKUP($A123,Centrum!$D$3:$M$130,10,0))&gt;3),$A$1&lt;5),"",VLOOKUP(VLOOKUP($A123,Centrum!$D$3:$M$130,10,0),Centrum!$A$3:$CB$130,BC$132,0))</f>
        <v/>
      </c>
      <c r="BD123" s="318" t="str">
        <f ca="1">IF(OR(OR($A123="",TYPE(VLOOKUP($A123,Centrum!$D$3:$M$130,10,0))&gt;3),$A$1&lt;5),"",VLOOKUP(VLOOKUP($A123,Centrum!$D$3:$M$130,10,0),Centrum!$A$3:$CB$130,BD$132,0))</f>
        <v/>
      </c>
      <c r="BE123" s="318" t="str">
        <f ca="1">IF(OR(OR($A123="",TYPE(VLOOKUP($A123,Centrum!$D$3:$M$130,10,0))&gt;3),$A$1&lt;5),"",VLOOKUP(VLOOKUP($A123,Centrum!$D$3:$M$130,10,0),Centrum!$A$3:$CB$130,BE$132,0))</f>
        <v/>
      </c>
      <c r="BL123" s="318" t="str">
        <f ca="1">IF(OR(OR($A123="",TYPE(VLOOKUP($A123,Centrum!$D$3:$M$130,10,0))&gt;3),$A$1&lt;6),"",VLOOKUP(VLOOKUP($A123,Centrum!$D$3:$M$130,10,0),Centrum!$A$3:$CB$130,BL$132,0))</f>
        <v/>
      </c>
      <c r="BM123" s="318" t="str">
        <f ca="1">IF(OR(OR($A123="",TYPE(VLOOKUP($A123,Centrum!$D$3:$M$130,10,0))&gt;3),$A$1&lt;6),"",VLOOKUP(VLOOKUP($A123,Centrum!$D$3:$M$130,10,0),Centrum!$A$3:$CB$130,BM$132,0))</f>
        <v/>
      </c>
      <c r="BN123" s="318" t="str">
        <f ca="1">IF(OR(OR($A123="",TYPE(VLOOKUP($A123,Centrum!$D$3:$M$130,10,0))&gt;3),$A$1&lt;6),"",VLOOKUP(VLOOKUP($A123,Centrum!$D$3:$M$130,10,0),Centrum!$A$3:$CB$130,BN$132,0))</f>
        <v/>
      </c>
    </row>
    <row r="124" spans="1:66" x14ac:dyDescent="0.4">
      <c r="A124" s="318" t="str">
        <f ca="1">Centrum!A124</f>
        <v/>
      </c>
      <c r="B124" s="421" t="str">
        <f ca="1">IF(OR($A124="",TYPE(VLOOKUP($A124,Centrum!$D$3:$M$130,10,0))&gt;3),"",VLOOKUP(VLOOKUP(A124,Centrum!$D$3:$M$130,10,0),Centrum!$A$3:$CB$130,B$132,0))</f>
        <v/>
      </c>
      <c r="C124" s="318" t="str">
        <f ca="1">IF(OR($A124="",TYPE(VLOOKUP($A124,Centrum!$D$3:$M$130,10,0))&gt;3),"",VLOOKUP($A124,Centrum!$D$3:$M$130,10,0))</f>
        <v/>
      </c>
      <c r="E124" s="318" t="str">
        <f ca="1">IF(OR($A124="",TYPE(VLOOKUP($A124,Centrum!$D$3:$M$130,10,0))&gt;3),"",VLOOKUP(VLOOKUP($A124,Centrum!$D$3:$M$130,10,0),Centrum!$A$3:$CB$130,E$132,0))</f>
        <v/>
      </c>
      <c r="F124" s="318" t="str">
        <f ca="1">IF(OR($A124="",TYPE(VLOOKUP($A124,Centrum!$D$3:$M$130,10,0))&gt;3),"",VLOOKUP(VLOOKUP($A124,Centrum!$D$3:$M$130,10,0),Centrum!$A$3:$CB$130,F$132,0))</f>
        <v/>
      </c>
      <c r="G124" s="318" t="str">
        <f ca="1">IF(OR($A124="",TYPE(VLOOKUP($A124,Centrum!$D$3:$M$130,10,0))&gt;3),"",VLOOKUP(VLOOKUP($A124,Centrum!$D$3:$M$130,10,0),Centrum!$A$3:$CB$130,G$132,0))</f>
        <v/>
      </c>
      <c r="H124" s="318" t="str">
        <f ca="1">IF($A124="","",VLOOKUP(VLOOKUP($A124,Centrum!$D$3:$M$130,10,0),Centrum!$A$3:$CB$130,H$132,0))</f>
        <v/>
      </c>
      <c r="I124" s="318" t="str">
        <f ca="1">IF($A124="","",VLOOKUP(VLOOKUP($A124,Centrum!$D$3:$M$130,10,0),Centrum!$A$3:$CB$130,I$132,0))</f>
        <v/>
      </c>
      <c r="J124" s="318" t="str">
        <f ca="1">IF(OR($A124="",TYPE(VLOOKUP($A124,Centrum!$D$3:$M$130,10,0))&gt;3),"",VLOOKUP(VLOOKUP($A124,Centrum!$D$3:$M$130,10,0),Centrum!$A$3:$CB$130,J$132,0))</f>
        <v/>
      </c>
      <c r="L124" s="318" t="str">
        <f ca="1">IF(OR($A124="",TYPE(VLOOKUP($A124,Centrum!$D$3:$M$130,10,0))&gt;3),"",VLOOKUP(VLOOKUP($A124,Centrum!$D$3:$M$130,10,0),Centrum!$A$3:$CB$130,L$132,0))</f>
        <v/>
      </c>
      <c r="M124" s="318" t="str">
        <f ca="1">IF(OR($A124="",TYPE(VLOOKUP($A124,Centrum!$D$3:$M$130,10,0))&gt;3),"",VLOOKUP(VLOOKUP($A124,Centrum!$D$3:$M$130,10,0),Centrum!$A$3:$CB$130,M$132,0))</f>
        <v/>
      </c>
      <c r="N124" s="318" t="str">
        <f ca="1">IF(OR($A124="",TYPE(VLOOKUP($A124,Centrum!$D$3:$M$130,10,0))&gt;3),"",VLOOKUP(VLOOKUP($A124,Centrum!$D$3:$M$130,10,0),Centrum!$A$3:$CB$130,N$132,0))</f>
        <v/>
      </c>
      <c r="O124" s="318" t="str">
        <f ca="1">IF(OR($A124="",TYPE(VLOOKUP($A124,Centrum!$D$3:$M$130,10,0))&gt;3),"",VLOOKUP(VLOOKUP($A124,Centrum!$D$3:$M$130,10,0),Centrum!$A$3:$CB$130,O$132,0))</f>
        <v/>
      </c>
      <c r="P124" s="318" t="str">
        <f ca="1">IF(OR($A124="",TYPE(VLOOKUP($A124,Centrum!$D$3:$M$130,10,0))&gt;3),"",VLOOKUP(VLOOKUP($A124,Centrum!$D$3:$M$130,10,0),Centrum!$A$3:$CB$130,P$132,0))</f>
        <v/>
      </c>
      <c r="Q124" s="318" t="str">
        <f ca="1">IF(OR($A124="",TYPE(VLOOKUP($A124,Centrum!$D$3:$M$130,10,0))&gt;3),"",VLOOKUP(VLOOKUP($A124,Centrum!$D$3:$M$130,10,0),Centrum!$A$3:$CB$130,Q$132,0))</f>
        <v/>
      </c>
      <c r="S124" s="318" t="str">
        <f ca="1">IF(OR($A124="",TYPE(VLOOKUP($A124,Centrum!$D$3:$M$130,10,0))&gt;3),"",VLOOKUP(VLOOKUP($A124,Centrum!$D$3:$M$130,10,0),Centrum!$A$3:$CB$130,S$132,0))</f>
        <v/>
      </c>
      <c r="T124" s="318" t="str">
        <f ca="1">IF(OR($A124="",TYPE(VLOOKUP($A124,Centrum!$D$3:$M$130,10,0))&gt;3),"",VLOOKUP(VLOOKUP($A124,Centrum!$D$3:$M$130,10,0),Centrum!$A$3:$CB$130,T$132,0))</f>
        <v/>
      </c>
      <c r="U124" s="318" t="str">
        <f ca="1">IF(OR($A124="",TYPE(VLOOKUP($A124,Centrum!$D$3:$M$130,10,0))&gt;3),"",VLOOKUP(VLOOKUP($A124,Centrum!$D$3:$M$130,10,0),Centrum!$A$3:$CB$130,U$132,0))</f>
        <v/>
      </c>
      <c r="AB124" s="318" t="str">
        <f ca="1">IF(OR($A124="",TYPE(VLOOKUP($A124,Centrum!$D$3:$M$130,10,0))&gt;3),"",VLOOKUP(VLOOKUP($A124,Centrum!$D$3:$M$130,10,0),Centrum!$A$3:$CB$130,AB$132,0))</f>
        <v/>
      </c>
      <c r="AC124" s="318" t="str">
        <f ca="1">IF(OR($A124="",TYPE(VLOOKUP($A124,Centrum!$D$3:$M$130,10,0))&gt;3),"",VLOOKUP(VLOOKUP($A124,Centrum!$D$3:$M$130,10,0),Centrum!$A$3:$CB$130,AC$132,0))</f>
        <v/>
      </c>
      <c r="AD124" s="318" t="str">
        <f ca="1">IF(OR($A124="",TYPE(VLOOKUP($A124,Centrum!$D$3:$M$130,10,0))&gt;3),"",VLOOKUP(VLOOKUP($A124,Centrum!$D$3:$M$130,10,0),Centrum!$A$3:$CB$130,AD$132,0))</f>
        <v/>
      </c>
      <c r="AK124" s="318" t="str">
        <f ca="1">IF(OR($A124="",TYPE(VLOOKUP($A124,Centrum!$D$3:$M$130,10,0))&gt;3),"",VLOOKUP(VLOOKUP($A124,Centrum!$D$3:$M$130,10,0),Centrum!$A$3:$CB$130,AK$132,0))</f>
        <v/>
      </c>
      <c r="AL124" s="318" t="str">
        <f ca="1">IF(OR($A124="",TYPE(VLOOKUP($A124,Centrum!$D$3:$M$130,10,0))&gt;3),"",VLOOKUP(VLOOKUP($A124,Centrum!$D$3:$M$130,10,0),Centrum!$A$3:$CB$130,AL$132,0))</f>
        <v/>
      </c>
      <c r="AM124" s="318" t="str">
        <f ca="1">IF(OR($A124="",TYPE(VLOOKUP($A124,Centrum!$D$3:$M$130,10,0))&gt;3),"",VLOOKUP(VLOOKUP($A124,Centrum!$D$3:$M$130,10,0),Centrum!$A$3:$CB$130,AM$132,0))</f>
        <v/>
      </c>
      <c r="AT124" s="318" t="str">
        <f ca="1">IF(OR(OR($A124="",TYPE(VLOOKUP($A124,Centrum!$D$3:$M$130,10,0))&gt;3),$A$1&lt;4),"",VLOOKUP(VLOOKUP($A124,Centrum!$D$3:$M$130,10,0),Centrum!$A$3:$CB$130,AT$132,0))</f>
        <v/>
      </c>
      <c r="AU124" s="318" t="str">
        <f ca="1">IF(OR(OR($A124="",TYPE(VLOOKUP($A124,Centrum!$D$3:$M$130,10,0))&gt;3),$A$1&lt;4),"",VLOOKUP(VLOOKUP($A124,Centrum!$D$3:$M$130,10,0),Centrum!$A$3:$CB$130,AU$132,0))</f>
        <v/>
      </c>
      <c r="AV124" s="318" t="str">
        <f ca="1">IF(OR(OR($A124="",TYPE(VLOOKUP($A124,Centrum!$D$3:$M$130,10,0))&gt;3),$A$1&lt;4),"",VLOOKUP(VLOOKUP($A124,Centrum!$D$3:$M$130,10,0),Centrum!$A$3:$CB$130,AV$132,0))</f>
        <v/>
      </c>
      <c r="BC124" s="318" t="str">
        <f ca="1">IF(OR(OR($A124="",TYPE(VLOOKUP($A124,Centrum!$D$3:$M$130,10,0))&gt;3),$A$1&lt;5),"",VLOOKUP(VLOOKUP($A124,Centrum!$D$3:$M$130,10,0),Centrum!$A$3:$CB$130,BC$132,0))</f>
        <v/>
      </c>
      <c r="BD124" s="318" t="str">
        <f ca="1">IF(OR(OR($A124="",TYPE(VLOOKUP($A124,Centrum!$D$3:$M$130,10,0))&gt;3),$A$1&lt;5),"",VLOOKUP(VLOOKUP($A124,Centrum!$D$3:$M$130,10,0),Centrum!$A$3:$CB$130,BD$132,0))</f>
        <v/>
      </c>
      <c r="BE124" s="318" t="str">
        <f ca="1">IF(OR(OR($A124="",TYPE(VLOOKUP($A124,Centrum!$D$3:$M$130,10,0))&gt;3),$A$1&lt;5),"",VLOOKUP(VLOOKUP($A124,Centrum!$D$3:$M$130,10,0),Centrum!$A$3:$CB$130,BE$132,0))</f>
        <v/>
      </c>
      <c r="BL124" s="318" t="str">
        <f ca="1">IF(OR(OR($A124="",TYPE(VLOOKUP($A124,Centrum!$D$3:$M$130,10,0))&gt;3),$A$1&lt;6),"",VLOOKUP(VLOOKUP($A124,Centrum!$D$3:$M$130,10,0),Centrum!$A$3:$CB$130,BL$132,0))</f>
        <v/>
      </c>
      <c r="BM124" s="318" t="str">
        <f ca="1">IF(OR(OR($A124="",TYPE(VLOOKUP($A124,Centrum!$D$3:$M$130,10,0))&gt;3),$A$1&lt;6),"",VLOOKUP(VLOOKUP($A124,Centrum!$D$3:$M$130,10,0),Centrum!$A$3:$CB$130,BM$132,0))</f>
        <v/>
      </c>
      <c r="BN124" s="318" t="str">
        <f ca="1">IF(OR(OR($A124="",TYPE(VLOOKUP($A124,Centrum!$D$3:$M$130,10,0))&gt;3),$A$1&lt;6),"",VLOOKUP(VLOOKUP($A124,Centrum!$D$3:$M$130,10,0),Centrum!$A$3:$CB$130,BN$132,0))</f>
        <v/>
      </c>
    </row>
    <row r="125" spans="1:66" x14ac:dyDescent="0.4">
      <c r="A125" s="318" t="str">
        <f ca="1">Centrum!A125</f>
        <v/>
      </c>
      <c r="B125" s="421" t="str">
        <f ca="1">IF(OR($A125="",TYPE(VLOOKUP($A125,Centrum!$D$3:$M$130,10,0))&gt;3),"",VLOOKUP(VLOOKUP(A125,Centrum!$D$3:$M$130,10,0),Centrum!$A$3:$CB$130,B$132,0))</f>
        <v/>
      </c>
      <c r="C125" s="318" t="str">
        <f ca="1">IF(OR($A125="",TYPE(VLOOKUP($A125,Centrum!$D$3:$M$130,10,0))&gt;3),"",VLOOKUP($A125,Centrum!$D$3:$M$130,10,0))</f>
        <v/>
      </c>
      <c r="E125" s="318" t="str">
        <f ca="1">IF(OR($A125="",TYPE(VLOOKUP($A125,Centrum!$D$3:$M$130,10,0))&gt;3),"",VLOOKUP(VLOOKUP($A125,Centrum!$D$3:$M$130,10,0),Centrum!$A$3:$CB$130,E$132,0))</f>
        <v/>
      </c>
      <c r="F125" s="318" t="str">
        <f ca="1">IF(OR($A125="",TYPE(VLOOKUP($A125,Centrum!$D$3:$M$130,10,0))&gt;3),"",VLOOKUP(VLOOKUP($A125,Centrum!$D$3:$M$130,10,0),Centrum!$A$3:$CB$130,F$132,0))</f>
        <v/>
      </c>
      <c r="G125" s="318" t="str">
        <f ca="1">IF(OR($A125="",TYPE(VLOOKUP($A125,Centrum!$D$3:$M$130,10,0))&gt;3),"",VLOOKUP(VLOOKUP($A125,Centrum!$D$3:$M$130,10,0),Centrum!$A$3:$CB$130,G$132,0))</f>
        <v/>
      </c>
      <c r="H125" s="318" t="str">
        <f ca="1">IF($A125="","",VLOOKUP(VLOOKUP($A125,Centrum!$D$3:$M$130,10,0),Centrum!$A$3:$CB$130,H$132,0))</f>
        <v/>
      </c>
      <c r="I125" s="318" t="str">
        <f ca="1">IF($A125="","",VLOOKUP(VLOOKUP($A125,Centrum!$D$3:$M$130,10,0),Centrum!$A$3:$CB$130,I$132,0))</f>
        <v/>
      </c>
      <c r="J125" s="318" t="str">
        <f ca="1">IF(OR($A125="",TYPE(VLOOKUP($A125,Centrum!$D$3:$M$130,10,0))&gt;3),"",VLOOKUP(VLOOKUP($A125,Centrum!$D$3:$M$130,10,0),Centrum!$A$3:$CB$130,J$132,0))</f>
        <v/>
      </c>
      <c r="L125" s="318" t="str">
        <f ca="1">IF(OR($A125="",TYPE(VLOOKUP($A125,Centrum!$D$3:$M$130,10,0))&gt;3),"",VLOOKUP(VLOOKUP($A125,Centrum!$D$3:$M$130,10,0),Centrum!$A$3:$CB$130,L$132,0))</f>
        <v/>
      </c>
      <c r="M125" s="318" t="str">
        <f ca="1">IF(OR($A125="",TYPE(VLOOKUP($A125,Centrum!$D$3:$M$130,10,0))&gt;3),"",VLOOKUP(VLOOKUP($A125,Centrum!$D$3:$M$130,10,0),Centrum!$A$3:$CB$130,M$132,0))</f>
        <v/>
      </c>
      <c r="N125" s="318" t="str">
        <f ca="1">IF(OR($A125="",TYPE(VLOOKUP($A125,Centrum!$D$3:$M$130,10,0))&gt;3),"",VLOOKUP(VLOOKUP($A125,Centrum!$D$3:$M$130,10,0),Centrum!$A$3:$CB$130,N$132,0))</f>
        <v/>
      </c>
      <c r="O125" s="318" t="str">
        <f ca="1">IF(OR($A125="",TYPE(VLOOKUP($A125,Centrum!$D$3:$M$130,10,0))&gt;3),"",VLOOKUP(VLOOKUP($A125,Centrum!$D$3:$M$130,10,0),Centrum!$A$3:$CB$130,O$132,0))</f>
        <v/>
      </c>
      <c r="P125" s="318" t="str">
        <f ca="1">IF(OR($A125="",TYPE(VLOOKUP($A125,Centrum!$D$3:$M$130,10,0))&gt;3),"",VLOOKUP(VLOOKUP($A125,Centrum!$D$3:$M$130,10,0),Centrum!$A$3:$CB$130,P$132,0))</f>
        <v/>
      </c>
      <c r="Q125" s="318" t="str">
        <f ca="1">IF(OR($A125="",TYPE(VLOOKUP($A125,Centrum!$D$3:$M$130,10,0))&gt;3),"",VLOOKUP(VLOOKUP($A125,Centrum!$D$3:$M$130,10,0),Centrum!$A$3:$CB$130,Q$132,0))</f>
        <v/>
      </c>
      <c r="S125" s="318" t="str">
        <f ca="1">IF(OR($A125="",TYPE(VLOOKUP($A125,Centrum!$D$3:$M$130,10,0))&gt;3),"",VLOOKUP(VLOOKUP($A125,Centrum!$D$3:$M$130,10,0),Centrum!$A$3:$CB$130,S$132,0))</f>
        <v/>
      </c>
      <c r="T125" s="318" t="str">
        <f ca="1">IF(OR($A125="",TYPE(VLOOKUP($A125,Centrum!$D$3:$M$130,10,0))&gt;3),"",VLOOKUP(VLOOKUP($A125,Centrum!$D$3:$M$130,10,0),Centrum!$A$3:$CB$130,T$132,0))</f>
        <v/>
      </c>
      <c r="U125" s="318" t="str">
        <f ca="1">IF(OR($A125="",TYPE(VLOOKUP($A125,Centrum!$D$3:$M$130,10,0))&gt;3),"",VLOOKUP(VLOOKUP($A125,Centrum!$D$3:$M$130,10,0),Centrum!$A$3:$CB$130,U$132,0))</f>
        <v/>
      </c>
      <c r="AB125" s="318" t="str">
        <f ca="1">IF(OR($A125="",TYPE(VLOOKUP($A125,Centrum!$D$3:$M$130,10,0))&gt;3),"",VLOOKUP(VLOOKUP($A125,Centrum!$D$3:$M$130,10,0),Centrum!$A$3:$CB$130,AB$132,0))</f>
        <v/>
      </c>
      <c r="AC125" s="318" t="str">
        <f ca="1">IF(OR($A125="",TYPE(VLOOKUP($A125,Centrum!$D$3:$M$130,10,0))&gt;3),"",VLOOKUP(VLOOKUP($A125,Centrum!$D$3:$M$130,10,0),Centrum!$A$3:$CB$130,AC$132,0))</f>
        <v/>
      </c>
      <c r="AD125" s="318" t="str">
        <f ca="1">IF(OR($A125="",TYPE(VLOOKUP($A125,Centrum!$D$3:$M$130,10,0))&gt;3),"",VLOOKUP(VLOOKUP($A125,Centrum!$D$3:$M$130,10,0),Centrum!$A$3:$CB$130,AD$132,0))</f>
        <v/>
      </c>
      <c r="AK125" s="318" t="str">
        <f ca="1">IF(OR($A125="",TYPE(VLOOKUP($A125,Centrum!$D$3:$M$130,10,0))&gt;3),"",VLOOKUP(VLOOKUP($A125,Centrum!$D$3:$M$130,10,0),Centrum!$A$3:$CB$130,AK$132,0))</f>
        <v/>
      </c>
      <c r="AL125" s="318" t="str">
        <f ca="1">IF(OR($A125="",TYPE(VLOOKUP($A125,Centrum!$D$3:$M$130,10,0))&gt;3),"",VLOOKUP(VLOOKUP($A125,Centrum!$D$3:$M$130,10,0),Centrum!$A$3:$CB$130,AL$132,0))</f>
        <v/>
      </c>
      <c r="AM125" s="318" t="str">
        <f ca="1">IF(OR($A125="",TYPE(VLOOKUP($A125,Centrum!$D$3:$M$130,10,0))&gt;3),"",VLOOKUP(VLOOKUP($A125,Centrum!$D$3:$M$130,10,0),Centrum!$A$3:$CB$130,AM$132,0))</f>
        <v/>
      </c>
      <c r="AT125" s="318" t="str">
        <f ca="1">IF(OR(OR($A125="",TYPE(VLOOKUP($A125,Centrum!$D$3:$M$130,10,0))&gt;3),$A$1&lt;4),"",VLOOKUP(VLOOKUP($A125,Centrum!$D$3:$M$130,10,0),Centrum!$A$3:$CB$130,AT$132,0))</f>
        <v/>
      </c>
      <c r="AU125" s="318" t="str">
        <f ca="1">IF(OR(OR($A125="",TYPE(VLOOKUP($A125,Centrum!$D$3:$M$130,10,0))&gt;3),$A$1&lt;4),"",VLOOKUP(VLOOKUP($A125,Centrum!$D$3:$M$130,10,0),Centrum!$A$3:$CB$130,AU$132,0))</f>
        <v/>
      </c>
      <c r="AV125" s="318" t="str">
        <f ca="1">IF(OR(OR($A125="",TYPE(VLOOKUP($A125,Centrum!$D$3:$M$130,10,0))&gt;3),$A$1&lt;4),"",VLOOKUP(VLOOKUP($A125,Centrum!$D$3:$M$130,10,0),Centrum!$A$3:$CB$130,AV$132,0))</f>
        <v/>
      </c>
      <c r="BC125" s="318" t="str">
        <f ca="1">IF(OR(OR($A125="",TYPE(VLOOKUP($A125,Centrum!$D$3:$M$130,10,0))&gt;3),$A$1&lt;5),"",VLOOKUP(VLOOKUP($A125,Centrum!$D$3:$M$130,10,0),Centrum!$A$3:$CB$130,BC$132,0))</f>
        <v/>
      </c>
      <c r="BD125" s="318" t="str">
        <f ca="1">IF(OR(OR($A125="",TYPE(VLOOKUP($A125,Centrum!$D$3:$M$130,10,0))&gt;3),$A$1&lt;5),"",VLOOKUP(VLOOKUP($A125,Centrum!$D$3:$M$130,10,0),Centrum!$A$3:$CB$130,BD$132,0))</f>
        <v/>
      </c>
      <c r="BE125" s="318" t="str">
        <f ca="1">IF(OR(OR($A125="",TYPE(VLOOKUP($A125,Centrum!$D$3:$M$130,10,0))&gt;3),$A$1&lt;5),"",VLOOKUP(VLOOKUP($A125,Centrum!$D$3:$M$130,10,0),Centrum!$A$3:$CB$130,BE$132,0))</f>
        <v/>
      </c>
      <c r="BL125" s="318" t="str">
        <f ca="1">IF(OR(OR($A125="",TYPE(VLOOKUP($A125,Centrum!$D$3:$M$130,10,0))&gt;3),$A$1&lt;6),"",VLOOKUP(VLOOKUP($A125,Centrum!$D$3:$M$130,10,0),Centrum!$A$3:$CB$130,BL$132,0))</f>
        <v/>
      </c>
      <c r="BM125" s="318" t="str">
        <f ca="1">IF(OR(OR($A125="",TYPE(VLOOKUP($A125,Centrum!$D$3:$M$130,10,0))&gt;3),$A$1&lt;6),"",VLOOKUP(VLOOKUP($A125,Centrum!$D$3:$M$130,10,0),Centrum!$A$3:$CB$130,BM$132,0))</f>
        <v/>
      </c>
      <c r="BN125" s="318" t="str">
        <f ca="1">IF(OR(OR($A125="",TYPE(VLOOKUP($A125,Centrum!$D$3:$M$130,10,0))&gt;3),$A$1&lt;6),"",VLOOKUP(VLOOKUP($A125,Centrum!$D$3:$M$130,10,0),Centrum!$A$3:$CB$130,BN$132,0))</f>
        <v/>
      </c>
    </row>
    <row r="126" spans="1:66" x14ac:dyDescent="0.4">
      <c r="A126" s="318" t="str">
        <f ca="1">Centrum!A126</f>
        <v/>
      </c>
      <c r="B126" s="421" t="str">
        <f ca="1">IF(OR($A126="",TYPE(VLOOKUP($A126,Centrum!$D$3:$M$130,10,0))&gt;3),"",VLOOKUP(VLOOKUP(A126,Centrum!$D$3:$M$130,10,0),Centrum!$A$3:$CB$130,B$132,0))</f>
        <v/>
      </c>
      <c r="C126" s="318" t="str">
        <f ca="1">IF(OR($A126="",TYPE(VLOOKUP($A126,Centrum!$D$3:$M$130,10,0))&gt;3),"",VLOOKUP($A126,Centrum!$D$3:$M$130,10,0))</f>
        <v/>
      </c>
      <c r="E126" s="318" t="str">
        <f ca="1">IF(OR($A126="",TYPE(VLOOKUP($A126,Centrum!$D$3:$M$130,10,0))&gt;3),"",VLOOKUP(VLOOKUP($A126,Centrum!$D$3:$M$130,10,0),Centrum!$A$3:$CB$130,E$132,0))</f>
        <v/>
      </c>
      <c r="F126" s="318" t="str">
        <f ca="1">IF(OR($A126="",TYPE(VLOOKUP($A126,Centrum!$D$3:$M$130,10,0))&gt;3),"",VLOOKUP(VLOOKUP($A126,Centrum!$D$3:$M$130,10,0),Centrum!$A$3:$CB$130,F$132,0))</f>
        <v/>
      </c>
      <c r="G126" s="318" t="str">
        <f ca="1">IF(OR($A126="",TYPE(VLOOKUP($A126,Centrum!$D$3:$M$130,10,0))&gt;3),"",VLOOKUP(VLOOKUP($A126,Centrum!$D$3:$M$130,10,0),Centrum!$A$3:$CB$130,G$132,0))</f>
        <v/>
      </c>
      <c r="H126" s="318" t="str">
        <f ca="1">IF($A126="","",VLOOKUP(VLOOKUP($A126,Centrum!$D$3:$M$130,10,0),Centrum!$A$3:$CB$130,H$132,0))</f>
        <v/>
      </c>
      <c r="I126" s="318" t="str">
        <f ca="1">IF($A126="","",VLOOKUP(VLOOKUP($A126,Centrum!$D$3:$M$130,10,0),Centrum!$A$3:$CB$130,I$132,0))</f>
        <v/>
      </c>
      <c r="J126" s="318" t="str">
        <f ca="1">IF(OR($A126="",TYPE(VLOOKUP($A126,Centrum!$D$3:$M$130,10,0))&gt;3),"",VLOOKUP(VLOOKUP($A126,Centrum!$D$3:$M$130,10,0),Centrum!$A$3:$CB$130,J$132,0))</f>
        <v/>
      </c>
      <c r="L126" s="318" t="str">
        <f ca="1">IF(OR($A126="",TYPE(VLOOKUP($A126,Centrum!$D$3:$M$130,10,0))&gt;3),"",VLOOKUP(VLOOKUP($A126,Centrum!$D$3:$M$130,10,0),Centrum!$A$3:$CB$130,L$132,0))</f>
        <v/>
      </c>
      <c r="M126" s="318" t="str">
        <f ca="1">IF(OR($A126="",TYPE(VLOOKUP($A126,Centrum!$D$3:$M$130,10,0))&gt;3),"",VLOOKUP(VLOOKUP($A126,Centrum!$D$3:$M$130,10,0),Centrum!$A$3:$CB$130,M$132,0))</f>
        <v/>
      </c>
      <c r="N126" s="318" t="str">
        <f ca="1">IF(OR($A126="",TYPE(VLOOKUP($A126,Centrum!$D$3:$M$130,10,0))&gt;3),"",VLOOKUP(VLOOKUP($A126,Centrum!$D$3:$M$130,10,0),Centrum!$A$3:$CB$130,N$132,0))</f>
        <v/>
      </c>
      <c r="O126" s="318" t="str">
        <f ca="1">IF(OR($A126="",TYPE(VLOOKUP($A126,Centrum!$D$3:$M$130,10,0))&gt;3),"",VLOOKUP(VLOOKUP($A126,Centrum!$D$3:$M$130,10,0),Centrum!$A$3:$CB$130,O$132,0))</f>
        <v/>
      </c>
      <c r="P126" s="318" t="str">
        <f ca="1">IF(OR($A126="",TYPE(VLOOKUP($A126,Centrum!$D$3:$M$130,10,0))&gt;3),"",VLOOKUP(VLOOKUP($A126,Centrum!$D$3:$M$130,10,0),Centrum!$A$3:$CB$130,P$132,0))</f>
        <v/>
      </c>
      <c r="Q126" s="318" t="str">
        <f ca="1">IF(OR($A126="",TYPE(VLOOKUP($A126,Centrum!$D$3:$M$130,10,0))&gt;3),"",VLOOKUP(VLOOKUP($A126,Centrum!$D$3:$M$130,10,0),Centrum!$A$3:$CB$130,Q$132,0))</f>
        <v/>
      </c>
      <c r="S126" s="318" t="str">
        <f ca="1">IF(OR($A126="",TYPE(VLOOKUP($A126,Centrum!$D$3:$M$130,10,0))&gt;3),"",VLOOKUP(VLOOKUP($A126,Centrum!$D$3:$M$130,10,0),Centrum!$A$3:$CB$130,S$132,0))</f>
        <v/>
      </c>
      <c r="T126" s="318" t="str">
        <f ca="1">IF(OR($A126="",TYPE(VLOOKUP($A126,Centrum!$D$3:$M$130,10,0))&gt;3),"",VLOOKUP(VLOOKUP($A126,Centrum!$D$3:$M$130,10,0),Centrum!$A$3:$CB$130,T$132,0))</f>
        <v/>
      </c>
      <c r="U126" s="318" t="str">
        <f ca="1">IF(OR($A126="",TYPE(VLOOKUP($A126,Centrum!$D$3:$M$130,10,0))&gt;3),"",VLOOKUP(VLOOKUP($A126,Centrum!$D$3:$M$130,10,0),Centrum!$A$3:$CB$130,U$132,0))</f>
        <v/>
      </c>
      <c r="AB126" s="318" t="str">
        <f ca="1">IF(OR($A126="",TYPE(VLOOKUP($A126,Centrum!$D$3:$M$130,10,0))&gt;3),"",VLOOKUP(VLOOKUP($A126,Centrum!$D$3:$M$130,10,0),Centrum!$A$3:$CB$130,AB$132,0))</f>
        <v/>
      </c>
      <c r="AC126" s="318" t="str">
        <f ca="1">IF(OR($A126="",TYPE(VLOOKUP($A126,Centrum!$D$3:$M$130,10,0))&gt;3),"",VLOOKUP(VLOOKUP($A126,Centrum!$D$3:$M$130,10,0),Centrum!$A$3:$CB$130,AC$132,0))</f>
        <v/>
      </c>
      <c r="AD126" s="318" t="str">
        <f ca="1">IF(OR($A126="",TYPE(VLOOKUP($A126,Centrum!$D$3:$M$130,10,0))&gt;3),"",VLOOKUP(VLOOKUP($A126,Centrum!$D$3:$M$130,10,0),Centrum!$A$3:$CB$130,AD$132,0))</f>
        <v/>
      </c>
      <c r="AK126" s="318" t="str">
        <f ca="1">IF(OR($A126="",TYPE(VLOOKUP($A126,Centrum!$D$3:$M$130,10,0))&gt;3),"",VLOOKUP(VLOOKUP($A126,Centrum!$D$3:$M$130,10,0),Centrum!$A$3:$CB$130,AK$132,0))</f>
        <v/>
      </c>
      <c r="AL126" s="318" t="str">
        <f ca="1">IF(OR($A126="",TYPE(VLOOKUP($A126,Centrum!$D$3:$M$130,10,0))&gt;3),"",VLOOKUP(VLOOKUP($A126,Centrum!$D$3:$M$130,10,0),Centrum!$A$3:$CB$130,AL$132,0))</f>
        <v/>
      </c>
      <c r="AM126" s="318" t="str">
        <f ca="1">IF(OR($A126="",TYPE(VLOOKUP($A126,Centrum!$D$3:$M$130,10,0))&gt;3),"",VLOOKUP(VLOOKUP($A126,Centrum!$D$3:$M$130,10,0),Centrum!$A$3:$CB$130,AM$132,0))</f>
        <v/>
      </c>
      <c r="AT126" s="318" t="str">
        <f ca="1">IF(OR(OR($A126="",TYPE(VLOOKUP($A126,Centrum!$D$3:$M$130,10,0))&gt;3),$A$1&lt;4),"",VLOOKUP(VLOOKUP($A126,Centrum!$D$3:$M$130,10,0),Centrum!$A$3:$CB$130,AT$132,0))</f>
        <v/>
      </c>
      <c r="AU126" s="318" t="str">
        <f ca="1">IF(OR(OR($A126="",TYPE(VLOOKUP($A126,Centrum!$D$3:$M$130,10,0))&gt;3),$A$1&lt;4),"",VLOOKUP(VLOOKUP($A126,Centrum!$D$3:$M$130,10,0),Centrum!$A$3:$CB$130,AU$132,0))</f>
        <v/>
      </c>
      <c r="AV126" s="318" t="str">
        <f ca="1">IF(OR(OR($A126="",TYPE(VLOOKUP($A126,Centrum!$D$3:$M$130,10,0))&gt;3),$A$1&lt;4),"",VLOOKUP(VLOOKUP($A126,Centrum!$D$3:$M$130,10,0),Centrum!$A$3:$CB$130,AV$132,0))</f>
        <v/>
      </c>
      <c r="BC126" s="318" t="str">
        <f ca="1">IF(OR(OR($A126="",TYPE(VLOOKUP($A126,Centrum!$D$3:$M$130,10,0))&gt;3),$A$1&lt;5),"",VLOOKUP(VLOOKUP($A126,Centrum!$D$3:$M$130,10,0),Centrum!$A$3:$CB$130,BC$132,0))</f>
        <v/>
      </c>
      <c r="BD126" s="318" t="str">
        <f ca="1">IF(OR(OR($A126="",TYPE(VLOOKUP($A126,Centrum!$D$3:$M$130,10,0))&gt;3),$A$1&lt;5),"",VLOOKUP(VLOOKUP($A126,Centrum!$D$3:$M$130,10,0),Centrum!$A$3:$CB$130,BD$132,0))</f>
        <v/>
      </c>
      <c r="BE126" s="318" t="str">
        <f ca="1">IF(OR(OR($A126="",TYPE(VLOOKUP($A126,Centrum!$D$3:$M$130,10,0))&gt;3),$A$1&lt;5),"",VLOOKUP(VLOOKUP($A126,Centrum!$D$3:$M$130,10,0),Centrum!$A$3:$CB$130,BE$132,0))</f>
        <v/>
      </c>
      <c r="BL126" s="318" t="str">
        <f ca="1">IF(OR(OR($A126="",TYPE(VLOOKUP($A126,Centrum!$D$3:$M$130,10,0))&gt;3),$A$1&lt;6),"",VLOOKUP(VLOOKUP($A126,Centrum!$D$3:$M$130,10,0),Centrum!$A$3:$CB$130,BL$132,0))</f>
        <v/>
      </c>
      <c r="BM126" s="318" t="str">
        <f ca="1">IF(OR(OR($A126="",TYPE(VLOOKUP($A126,Centrum!$D$3:$M$130,10,0))&gt;3),$A$1&lt;6),"",VLOOKUP(VLOOKUP($A126,Centrum!$D$3:$M$130,10,0),Centrum!$A$3:$CB$130,BM$132,0))</f>
        <v/>
      </c>
      <c r="BN126" s="318" t="str">
        <f ca="1">IF(OR(OR($A126="",TYPE(VLOOKUP($A126,Centrum!$D$3:$M$130,10,0))&gt;3),$A$1&lt;6),"",VLOOKUP(VLOOKUP($A126,Centrum!$D$3:$M$130,10,0),Centrum!$A$3:$CB$130,BN$132,0))</f>
        <v/>
      </c>
    </row>
    <row r="127" spans="1:66" x14ac:dyDescent="0.4">
      <c r="A127" s="318" t="str">
        <f ca="1">Centrum!A127</f>
        <v/>
      </c>
      <c r="B127" s="421" t="str">
        <f ca="1">IF(OR($A127="",TYPE(VLOOKUP($A127,Centrum!$D$3:$M$130,10,0))&gt;3),"",VLOOKUP(VLOOKUP(A127,Centrum!$D$3:$M$130,10,0),Centrum!$A$3:$CB$130,B$132,0))</f>
        <v/>
      </c>
      <c r="C127" s="318" t="str">
        <f ca="1">IF(OR($A127="",TYPE(VLOOKUP($A127,Centrum!$D$3:$M$130,10,0))&gt;3),"",VLOOKUP($A127,Centrum!$D$3:$M$130,10,0))</f>
        <v/>
      </c>
      <c r="E127" s="318" t="str">
        <f ca="1">IF(OR($A127="",TYPE(VLOOKUP($A127,Centrum!$D$3:$M$130,10,0))&gt;3),"",VLOOKUP(VLOOKUP($A127,Centrum!$D$3:$M$130,10,0),Centrum!$A$3:$CB$130,E$132,0))</f>
        <v/>
      </c>
      <c r="F127" s="318" t="str">
        <f ca="1">IF(OR($A127="",TYPE(VLOOKUP($A127,Centrum!$D$3:$M$130,10,0))&gt;3),"",VLOOKUP(VLOOKUP($A127,Centrum!$D$3:$M$130,10,0),Centrum!$A$3:$CB$130,F$132,0))</f>
        <v/>
      </c>
      <c r="G127" s="318" t="str">
        <f ca="1">IF(OR($A127="",TYPE(VLOOKUP($A127,Centrum!$D$3:$M$130,10,0))&gt;3),"",VLOOKUP(VLOOKUP($A127,Centrum!$D$3:$M$130,10,0),Centrum!$A$3:$CB$130,G$132,0))</f>
        <v/>
      </c>
      <c r="H127" s="318" t="str">
        <f ca="1">IF($A127="","",VLOOKUP(VLOOKUP($A127,Centrum!$D$3:$M$130,10,0),Centrum!$A$3:$CB$130,H$132,0))</f>
        <v/>
      </c>
      <c r="I127" s="318" t="str">
        <f ca="1">IF($A127="","",VLOOKUP(VLOOKUP($A127,Centrum!$D$3:$M$130,10,0),Centrum!$A$3:$CB$130,I$132,0))</f>
        <v/>
      </c>
      <c r="J127" s="318" t="str">
        <f ca="1">IF(OR($A127="",TYPE(VLOOKUP($A127,Centrum!$D$3:$M$130,10,0))&gt;3),"",VLOOKUP(VLOOKUP($A127,Centrum!$D$3:$M$130,10,0),Centrum!$A$3:$CB$130,J$132,0))</f>
        <v/>
      </c>
      <c r="L127" s="318" t="str">
        <f ca="1">IF(OR($A127="",TYPE(VLOOKUP($A127,Centrum!$D$3:$M$130,10,0))&gt;3),"",VLOOKUP(VLOOKUP($A127,Centrum!$D$3:$M$130,10,0),Centrum!$A$3:$CB$130,L$132,0))</f>
        <v/>
      </c>
      <c r="M127" s="318" t="str">
        <f ca="1">IF(OR($A127="",TYPE(VLOOKUP($A127,Centrum!$D$3:$M$130,10,0))&gt;3),"",VLOOKUP(VLOOKUP($A127,Centrum!$D$3:$M$130,10,0),Centrum!$A$3:$CB$130,M$132,0))</f>
        <v/>
      </c>
      <c r="N127" s="318" t="str">
        <f ca="1">IF(OR($A127="",TYPE(VLOOKUP($A127,Centrum!$D$3:$M$130,10,0))&gt;3),"",VLOOKUP(VLOOKUP($A127,Centrum!$D$3:$M$130,10,0),Centrum!$A$3:$CB$130,N$132,0))</f>
        <v/>
      </c>
      <c r="O127" s="318" t="str">
        <f ca="1">IF(OR($A127="",TYPE(VLOOKUP($A127,Centrum!$D$3:$M$130,10,0))&gt;3),"",VLOOKUP(VLOOKUP($A127,Centrum!$D$3:$M$130,10,0),Centrum!$A$3:$CB$130,O$132,0))</f>
        <v/>
      </c>
      <c r="P127" s="318" t="str">
        <f ca="1">IF(OR($A127="",TYPE(VLOOKUP($A127,Centrum!$D$3:$M$130,10,0))&gt;3),"",VLOOKUP(VLOOKUP($A127,Centrum!$D$3:$M$130,10,0),Centrum!$A$3:$CB$130,P$132,0))</f>
        <v/>
      </c>
      <c r="Q127" s="318" t="str">
        <f ca="1">IF(OR($A127="",TYPE(VLOOKUP($A127,Centrum!$D$3:$M$130,10,0))&gt;3),"",VLOOKUP(VLOOKUP($A127,Centrum!$D$3:$M$130,10,0),Centrum!$A$3:$CB$130,Q$132,0))</f>
        <v/>
      </c>
      <c r="S127" s="318" t="str">
        <f ca="1">IF(OR($A127="",TYPE(VLOOKUP($A127,Centrum!$D$3:$M$130,10,0))&gt;3),"",VLOOKUP(VLOOKUP($A127,Centrum!$D$3:$M$130,10,0),Centrum!$A$3:$CB$130,S$132,0))</f>
        <v/>
      </c>
      <c r="T127" s="318" t="str">
        <f ca="1">IF(OR($A127="",TYPE(VLOOKUP($A127,Centrum!$D$3:$M$130,10,0))&gt;3),"",VLOOKUP(VLOOKUP($A127,Centrum!$D$3:$M$130,10,0),Centrum!$A$3:$CB$130,T$132,0))</f>
        <v/>
      </c>
      <c r="U127" s="318" t="str">
        <f ca="1">IF(OR($A127="",TYPE(VLOOKUP($A127,Centrum!$D$3:$M$130,10,0))&gt;3),"",VLOOKUP(VLOOKUP($A127,Centrum!$D$3:$M$130,10,0),Centrum!$A$3:$CB$130,U$132,0))</f>
        <v/>
      </c>
      <c r="AB127" s="318" t="str">
        <f ca="1">IF(OR($A127="",TYPE(VLOOKUP($A127,Centrum!$D$3:$M$130,10,0))&gt;3),"",VLOOKUP(VLOOKUP($A127,Centrum!$D$3:$M$130,10,0),Centrum!$A$3:$CB$130,AB$132,0))</f>
        <v/>
      </c>
      <c r="AC127" s="318" t="str">
        <f ca="1">IF(OR($A127="",TYPE(VLOOKUP($A127,Centrum!$D$3:$M$130,10,0))&gt;3),"",VLOOKUP(VLOOKUP($A127,Centrum!$D$3:$M$130,10,0),Centrum!$A$3:$CB$130,AC$132,0))</f>
        <v/>
      </c>
      <c r="AD127" s="318" t="str">
        <f ca="1">IF(OR($A127="",TYPE(VLOOKUP($A127,Centrum!$D$3:$M$130,10,0))&gt;3),"",VLOOKUP(VLOOKUP($A127,Centrum!$D$3:$M$130,10,0),Centrum!$A$3:$CB$130,AD$132,0))</f>
        <v/>
      </c>
      <c r="AK127" s="318" t="str">
        <f ca="1">IF(OR($A127="",TYPE(VLOOKUP($A127,Centrum!$D$3:$M$130,10,0))&gt;3),"",VLOOKUP(VLOOKUP($A127,Centrum!$D$3:$M$130,10,0),Centrum!$A$3:$CB$130,AK$132,0))</f>
        <v/>
      </c>
      <c r="AL127" s="318" t="str">
        <f ca="1">IF(OR($A127="",TYPE(VLOOKUP($A127,Centrum!$D$3:$M$130,10,0))&gt;3),"",VLOOKUP(VLOOKUP($A127,Centrum!$D$3:$M$130,10,0),Centrum!$A$3:$CB$130,AL$132,0))</f>
        <v/>
      </c>
      <c r="AM127" s="318" t="str">
        <f ca="1">IF(OR($A127="",TYPE(VLOOKUP($A127,Centrum!$D$3:$M$130,10,0))&gt;3),"",VLOOKUP(VLOOKUP($A127,Centrum!$D$3:$M$130,10,0),Centrum!$A$3:$CB$130,AM$132,0))</f>
        <v/>
      </c>
      <c r="AT127" s="318" t="str">
        <f ca="1">IF(OR(OR($A127="",TYPE(VLOOKUP($A127,Centrum!$D$3:$M$130,10,0))&gt;3),$A$1&lt;4),"",VLOOKUP(VLOOKUP($A127,Centrum!$D$3:$M$130,10,0),Centrum!$A$3:$CB$130,AT$132,0))</f>
        <v/>
      </c>
      <c r="AU127" s="318" t="str">
        <f ca="1">IF(OR(OR($A127="",TYPE(VLOOKUP($A127,Centrum!$D$3:$M$130,10,0))&gt;3),$A$1&lt;4),"",VLOOKUP(VLOOKUP($A127,Centrum!$D$3:$M$130,10,0),Centrum!$A$3:$CB$130,AU$132,0))</f>
        <v/>
      </c>
      <c r="AV127" s="318" t="str">
        <f ca="1">IF(OR(OR($A127="",TYPE(VLOOKUP($A127,Centrum!$D$3:$M$130,10,0))&gt;3),$A$1&lt;4),"",VLOOKUP(VLOOKUP($A127,Centrum!$D$3:$M$130,10,0),Centrum!$A$3:$CB$130,AV$132,0))</f>
        <v/>
      </c>
      <c r="BC127" s="318" t="str">
        <f ca="1">IF(OR(OR($A127="",TYPE(VLOOKUP($A127,Centrum!$D$3:$M$130,10,0))&gt;3),$A$1&lt;5),"",VLOOKUP(VLOOKUP($A127,Centrum!$D$3:$M$130,10,0),Centrum!$A$3:$CB$130,BC$132,0))</f>
        <v/>
      </c>
      <c r="BD127" s="318" t="str">
        <f ca="1">IF(OR(OR($A127="",TYPE(VLOOKUP($A127,Centrum!$D$3:$M$130,10,0))&gt;3),$A$1&lt;5),"",VLOOKUP(VLOOKUP($A127,Centrum!$D$3:$M$130,10,0),Centrum!$A$3:$CB$130,BD$132,0))</f>
        <v/>
      </c>
      <c r="BE127" s="318" t="str">
        <f ca="1">IF(OR(OR($A127="",TYPE(VLOOKUP($A127,Centrum!$D$3:$M$130,10,0))&gt;3),$A$1&lt;5),"",VLOOKUP(VLOOKUP($A127,Centrum!$D$3:$M$130,10,0),Centrum!$A$3:$CB$130,BE$132,0))</f>
        <v/>
      </c>
      <c r="BL127" s="318" t="str">
        <f ca="1">IF(OR(OR($A127="",TYPE(VLOOKUP($A127,Centrum!$D$3:$M$130,10,0))&gt;3),$A$1&lt;6),"",VLOOKUP(VLOOKUP($A127,Centrum!$D$3:$M$130,10,0),Centrum!$A$3:$CB$130,BL$132,0))</f>
        <v/>
      </c>
      <c r="BM127" s="318" t="str">
        <f ca="1">IF(OR(OR($A127="",TYPE(VLOOKUP($A127,Centrum!$D$3:$M$130,10,0))&gt;3),$A$1&lt;6),"",VLOOKUP(VLOOKUP($A127,Centrum!$D$3:$M$130,10,0),Centrum!$A$3:$CB$130,BM$132,0))</f>
        <v/>
      </c>
      <c r="BN127" s="318" t="str">
        <f ca="1">IF(OR(OR($A127="",TYPE(VLOOKUP($A127,Centrum!$D$3:$M$130,10,0))&gt;3),$A$1&lt;6),"",VLOOKUP(VLOOKUP($A127,Centrum!$D$3:$M$130,10,0),Centrum!$A$3:$CB$130,BN$132,0))</f>
        <v/>
      </c>
    </row>
    <row r="128" spans="1:66" x14ac:dyDescent="0.4">
      <c r="A128" s="318" t="str">
        <f ca="1">Centrum!A128</f>
        <v/>
      </c>
      <c r="B128" s="421" t="str">
        <f ca="1">IF(OR($A128="",TYPE(VLOOKUP($A128,Centrum!$D$3:$M$130,10,0))&gt;3),"",VLOOKUP(VLOOKUP(A128,Centrum!$D$3:$M$130,10,0),Centrum!$A$3:$CB$130,B$132,0))</f>
        <v/>
      </c>
      <c r="C128" s="318" t="str">
        <f ca="1">IF(OR($A128="",TYPE(VLOOKUP($A128,Centrum!$D$3:$M$130,10,0))&gt;3),"",VLOOKUP($A128,Centrum!$D$3:$M$130,10,0))</f>
        <v/>
      </c>
      <c r="E128" s="318" t="str">
        <f ca="1">IF(OR($A128="",TYPE(VLOOKUP($A128,Centrum!$D$3:$M$130,10,0))&gt;3),"",VLOOKUP(VLOOKUP($A128,Centrum!$D$3:$M$130,10,0),Centrum!$A$3:$CB$130,E$132,0))</f>
        <v/>
      </c>
      <c r="F128" s="318" t="str">
        <f ca="1">IF(OR($A128="",TYPE(VLOOKUP($A128,Centrum!$D$3:$M$130,10,0))&gt;3),"",VLOOKUP(VLOOKUP($A128,Centrum!$D$3:$M$130,10,0),Centrum!$A$3:$CB$130,F$132,0))</f>
        <v/>
      </c>
      <c r="G128" s="318" t="str">
        <f ca="1">IF(OR($A128="",TYPE(VLOOKUP($A128,Centrum!$D$3:$M$130,10,0))&gt;3),"",VLOOKUP(VLOOKUP($A128,Centrum!$D$3:$M$130,10,0),Centrum!$A$3:$CB$130,G$132,0))</f>
        <v/>
      </c>
      <c r="H128" s="318" t="str">
        <f ca="1">IF($A128="","",VLOOKUP(VLOOKUP($A128,Centrum!$D$3:$M$130,10,0),Centrum!$A$3:$CB$130,H$132,0))</f>
        <v/>
      </c>
      <c r="I128" s="318" t="str">
        <f ca="1">IF($A128="","",VLOOKUP(VLOOKUP($A128,Centrum!$D$3:$M$130,10,0),Centrum!$A$3:$CB$130,I$132,0))</f>
        <v/>
      </c>
      <c r="J128" s="318" t="str">
        <f ca="1">IF(OR($A128="",TYPE(VLOOKUP($A128,Centrum!$D$3:$M$130,10,0))&gt;3),"",VLOOKUP(VLOOKUP($A128,Centrum!$D$3:$M$130,10,0),Centrum!$A$3:$CB$130,J$132,0))</f>
        <v/>
      </c>
      <c r="L128" s="318" t="str">
        <f ca="1">IF(OR($A128="",TYPE(VLOOKUP($A128,Centrum!$D$3:$M$130,10,0))&gt;3),"",VLOOKUP(VLOOKUP($A128,Centrum!$D$3:$M$130,10,0),Centrum!$A$3:$CB$130,L$132,0))</f>
        <v/>
      </c>
      <c r="M128" s="318" t="str">
        <f ca="1">IF(OR($A128="",TYPE(VLOOKUP($A128,Centrum!$D$3:$M$130,10,0))&gt;3),"",VLOOKUP(VLOOKUP($A128,Centrum!$D$3:$M$130,10,0),Centrum!$A$3:$CB$130,M$132,0))</f>
        <v/>
      </c>
      <c r="N128" s="318" t="str">
        <f ca="1">IF(OR($A128="",TYPE(VLOOKUP($A128,Centrum!$D$3:$M$130,10,0))&gt;3),"",VLOOKUP(VLOOKUP($A128,Centrum!$D$3:$M$130,10,0),Centrum!$A$3:$CB$130,N$132,0))</f>
        <v/>
      </c>
      <c r="O128" s="318" t="str">
        <f ca="1">IF(OR($A128="",TYPE(VLOOKUP($A128,Centrum!$D$3:$M$130,10,0))&gt;3),"",VLOOKUP(VLOOKUP($A128,Centrum!$D$3:$M$130,10,0),Centrum!$A$3:$CB$130,O$132,0))</f>
        <v/>
      </c>
      <c r="P128" s="318" t="str">
        <f ca="1">IF(OR($A128="",TYPE(VLOOKUP($A128,Centrum!$D$3:$M$130,10,0))&gt;3),"",VLOOKUP(VLOOKUP($A128,Centrum!$D$3:$M$130,10,0),Centrum!$A$3:$CB$130,P$132,0))</f>
        <v/>
      </c>
      <c r="Q128" s="318" t="str">
        <f ca="1">IF(OR($A128="",TYPE(VLOOKUP($A128,Centrum!$D$3:$M$130,10,0))&gt;3),"",VLOOKUP(VLOOKUP($A128,Centrum!$D$3:$M$130,10,0),Centrum!$A$3:$CB$130,Q$132,0))</f>
        <v/>
      </c>
      <c r="S128" s="318" t="str">
        <f ca="1">IF(OR($A128="",TYPE(VLOOKUP($A128,Centrum!$D$3:$M$130,10,0))&gt;3),"",VLOOKUP(VLOOKUP($A128,Centrum!$D$3:$M$130,10,0),Centrum!$A$3:$CB$130,S$132,0))</f>
        <v/>
      </c>
      <c r="T128" s="318" t="str">
        <f ca="1">IF(OR($A128="",TYPE(VLOOKUP($A128,Centrum!$D$3:$M$130,10,0))&gt;3),"",VLOOKUP(VLOOKUP($A128,Centrum!$D$3:$M$130,10,0),Centrum!$A$3:$CB$130,T$132,0))</f>
        <v/>
      </c>
      <c r="U128" s="318" t="str">
        <f ca="1">IF(OR($A128="",TYPE(VLOOKUP($A128,Centrum!$D$3:$M$130,10,0))&gt;3),"",VLOOKUP(VLOOKUP($A128,Centrum!$D$3:$M$130,10,0),Centrum!$A$3:$CB$130,U$132,0))</f>
        <v/>
      </c>
      <c r="AB128" s="318" t="str">
        <f ca="1">IF(OR($A128="",TYPE(VLOOKUP($A128,Centrum!$D$3:$M$130,10,0))&gt;3),"",VLOOKUP(VLOOKUP($A128,Centrum!$D$3:$M$130,10,0),Centrum!$A$3:$CB$130,AB$132,0))</f>
        <v/>
      </c>
      <c r="AC128" s="318" t="str">
        <f ca="1">IF(OR($A128="",TYPE(VLOOKUP($A128,Centrum!$D$3:$M$130,10,0))&gt;3),"",VLOOKUP(VLOOKUP($A128,Centrum!$D$3:$M$130,10,0),Centrum!$A$3:$CB$130,AC$132,0))</f>
        <v/>
      </c>
      <c r="AD128" s="318" t="str">
        <f ca="1">IF(OR($A128="",TYPE(VLOOKUP($A128,Centrum!$D$3:$M$130,10,0))&gt;3),"",VLOOKUP(VLOOKUP($A128,Centrum!$D$3:$M$130,10,0),Centrum!$A$3:$CB$130,AD$132,0))</f>
        <v/>
      </c>
      <c r="AK128" s="318" t="str">
        <f ca="1">IF(OR($A128="",TYPE(VLOOKUP($A128,Centrum!$D$3:$M$130,10,0))&gt;3),"",VLOOKUP(VLOOKUP($A128,Centrum!$D$3:$M$130,10,0),Centrum!$A$3:$CB$130,AK$132,0))</f>
        <v/>
      </c>
      <c r="AL128" s="318" t="str">
        <f ca="1">IF(OR($A128="",TYPE(VLOOKUP($A128,Centrum!$D$3:$M$130,10,0))&gt;3),"",VLOOKUP(VLOOKUP($A128,Centrum!$D$3:$M$130,10,0),Centrum!$A$3:$CB$130,AL$132,0))</f>
        <v/>
      </c>
      <c r="AM128" s="318" t="str">
        <f ca="1">IF(OR($A128="",TYPE(VLOOKUP($A128,Centrum!$D$3:$M$130,10,0))&gt;3),"",VLOOKUP(VLOOKUP($A128,Centrum!$D$3:$M$130,10,0),Centrum!$A$3:$CB$130,AM$132,0))</f>
        <v/>
      </c>
      <c r="AT128" s="318" t="str">
        <f ca="1">IF(OR(OR($A128="",TYPE(VLOOKUP($A128,Centrum!$D$3:$M$130,10,0))&gt;3),$A$1&lt;4),"",VLOOKUP(VLOOKUP($A128,Centrum!$D$3:$M$130,10,0),Centrum!$A$3:$CB$130,AT$132,0))</f>
        <v/>
      </c>
      <c r="AU128" s="318" t="str">
        <f ca="1">IF(OR(OR($A128="",TYPE(VLOOKUP($A128,Centrum!$D$3:$M$130,10,0))&gt;3),$A$1&lt;4),"",VLOOKUP(VLOOKUP($A128,Centrum!$D$3:$M$130,10,0),Centrum!$A$3:$CB$130,AU$132,0))</f>
        <v/>
      </c>
      <c r="AV128" s="318" t="str">
        <f ca="1">IF(OR(OR($A128="",TYPE(VLOOKUP($A128,Centrum!$D$3:$M$130,10,0))&gt;3),$A$1&lt;4),"",VLOOKUP(VLOOKUP($A128,Centrum!$D$3:$M$130,10,0),Centrum!$A$3:$CB$130,AV$132,0))</f>
        <v/>
      </c>
      <c r="BC128" s="318" t="str">
        <f ca="1">IF(OR(OR($A128="",TYPE(VLOOKUP($A128,Centrum!$D$3:$M$130,10,0))&gt;3),$A$1&lt;5),"",VLOOKUP(VLOOKUP($A128,Centrum!$D$3:$M$130,10,0),Centrum!$A$3:$CB$130,BC$132,0))</f>
        <v/>
      </c>
      <c r="BD128" s="318" t="str">
        <f ca="1">IF(OR(OR($A128="",TYPE(VLOOKUP($A128,Centrum!$D$3:$M$130,10,0))&gt;3),$A$1&lt;5),"",VLOOKUP(VLOOKUP($A128,Centrum!$D$3:$M$130,10,0),Centrum!$A$3:$CB$130,BD$132,0))</f>
        <v/>
      </c>
      <c r="BE128" s="318" t="str">
        <f ca="1">IF(OR(OR($A128="",TYPE(VLOOKUP($A128,Centrum!$D$3:$M$130,10,0))&gt;3),$A$1&lt;5),"",VLOOKUP(VLOOKUP($A128,Centrum!$D$3:$M$130,10,0),Centrum!$A$3:$CB$130,BE$132,0))</f>
        <v/>
      </c>
      <c r="BL128" s="318" t="str">
        <f ca="1">IF(OR(OR($A128="",TYPE(VLOOKUP($A128,Centrum!$D$3:$M$130,10,0))&gt;3),$A$1&lt;6),"",VLOOKUP(VLOOKUP($A128,Centrum!$D$3:$M$130,10,0),Centrum!$A$3:$CB$130,BL$132,0))</f>
        <v/>
      </c>
      <c r="BM128" s="318" t="str">
        <f ca="1">IF(OR(OR($A128="",TYPE(VLOOKUP($A128,Centrum!$D$3:$M$130,10,0))&gt;3),$A$1&lt;6),"",VLOOKUP(VLOOKUP($A128,Centrum!$D$3:$M$130,10,0),Centrum!$A$3:$CB$130,BM$132,0))</f>
        <v/>
      </c>
      <c r="BN128" s="318" t="str">
        <f ca="1">IF(OR(OR($A128="",TYPE(VLOOKUP($A128,Centrum!$D$3:$M$130,10,0))&gt;3),$A$1&lt;6),"",VLOOKUP(VLOOKUP($A128,Centrum!$D$3:$M$130,10,0),Centrum!$A$3:$CB$130,BN$132,0))</f>
        <v/>
      </c>
    </row>
    <row r="129" spans="1:66" x14ac:dyDescent="0.4">
      <c r="A129" s="318" t="str">
        <f ca="1">Centrum!A129</f>
        <v/>
      </c>
      <c r="B129" s="421" t="str">
        <f ca="1">IF(OR($A129="",TYPE(VLOOKUP($A129,Centrum!$D$3:$M$130,10,0))&gt;3),"",VLOOKUP(VLOOKUP(A129,Centrum!$D$3:$M$130,10,0),Centrum!$A$3:$CB$130,B$132,0))</f>
        <v/>
      </c>
      <c r="C129" s="318" t="str">
        <f ca="1">IF(OR($A129="",TYPE(VLOOKUP($A129,Centrum!$D$3:$M$130,10,0))&gt;3),"",VLOOKUP($A129,Centrum!$D$3:$M$130,10,0))</f>
        <v/>
      </c>
      <c r="E129" s="318" t="str">
        <f ca="1">IF(OR($A129="",TYPE(VLOOKUP($A129,Centrum!$D$3:$M$130,10,0))&gt;3),"",VLOOKUP(VLOOKUP($A129,Centrum!$D$3:$M$130,10,0),Centrum!$A$3:$CB$130,E$132,0))</f>
        <v/>
      </c>
      <c r="F129" s="318" t="str">
        <f ca="1">IF(OR($A129="",TYPE(VLOOKUP($A129,Centrum!$D$3:$M$130,10,0))&gt;3),"",VLOOKUP(VLOOKUP($A129,Centrum!$D$3:$M$130,10,0),Centrum!$A$3:$CB$130,F$132,0))</f>
        <v/>
      </c>
      <c r="G129" s="318" t="str">
        <f ca="1">IF(OR($A129="",TYPE(VLOOKUP($A129,Centrum!$D$3:$M$130,10,0))&gt;3),"",VLOOKUP(VLOOKUP($A129,Centrum!$D$3:$M$130,10,0),Centrum!$A$3:$CB$130,G$132,0))</f>
        <v/>
      </c>
      <c r="H129" s="318" t="str">
        <f ca="1">IF($A129="","",VLOOKUP(VLOOKUP($A129,Centrum!$D$3:$M$130,10,0),Centrum!$A$3:$CB$130,H$132,0))</f>
        <v/>
      </c>
      <c r="I129" s="318" t="str">
        <f ca="1">IF($A129="","",VLOOKUP(VLOOKUP($A129,Centrum!$D$3:$M$130,10,0),Centrum!$A$3:$CB$130,I$132,0))</f>
        <v/>
      </c>
      <c r="J129" s="318" t="str">
        <f ca="1">IF(OR($A129="",TYPE(VLOOKUP($A129,Centrum!$D$3:$M$130,10,0))&gt;3),"",VLOOKUP(VLOOKUP($A129,Centrum!$D$3:$M$130,10,0),Centrum!$A$3:$CB$130,J$132,0))</f>
        <v/>
      </c>
      <c r="L129" s="318" t="str">
        <f ca="1">IF(OR($A129="",TYPE(VLOOKUP($A129,Centrum!$D$3:$M$130,10,0))&gt;3),"",VLOOKUP(VLOOKUP($A129,Centrum!$D$3:$M$130,10,0),Centrum!$A$3:$CB$130,L$132,0))</f>
        <v/>
      </c>
      <c r="M129" s="318" t="str">
        <f ca="1">IF(OR($A129="",TYPE(VLOOKUP($A129,Centrum!$D$3:$M$130,10,0))&gt;3),"",VLOOKUP(VLOOKUP($A129,Centrum!$D$3:$M$130,10,0),Centrum!$A$3:$CB$130,M$132,0))</f>
        <v/>
      </c>
      <c r="N129" s="318" t="str">
        <f ca="1">IF(OR($A129="",TYPE(VLOOKUP($A129,Centrum!$D$3:$M$130,10,0))&gt;3),"",VLOOKUP(VLOOKUP($A129,Centrum!$D$3:$M$130,10,0),Centrum!$A$3:$CB$130,N$132,0))</f>
        <v/>
      </c>
      <c r="O129" s="318" t="str">
        <f ca="1">IF(OR($A129="",TYPE(VLOOKUP($A129,Centrum!$D$3:$M$130,10,0))&gt;3),"",VLOOKUP(VLOOKUP($A129,Centrum!$D$3:$M$130,10,0),Centrum!$A$3:$CB$130,O$132,0))</f>
        <v/>
      </c>
      <c r="P129" s="318" t="str">
        <f ca="1">IF(OR($A129="",TYPE(VLOOKUP($A129,Centrum!$D$3:$M$130,10,0))&gt;3),"",VLOOKUP(VLOOKUP($A129,Centrum!$D$3:$M$130,10,0),Centrum!$A$3:$CB$130,P$132,0))</f>
        <v/>
      </c>
      <c r="Q129" s="318" t="str">
        <f ca="1">IF(OR($A129="",TYPE(VLOOKUP($A129,Centrum!$D$3:$M$130,10,0))&gt;3),"",VLOOKUP(VLOOKUP($A129,Centrum!$D$3:$M$130,10,0),Centrum!$A$3:$CB$130,Q$132,0))</f>
        <v/>
      </c>
      <c r="S129" s="318" t="str">
        <f ca="1">IF(OR($A129="",TYPE(VLOOKUP($A129,Centrum!$D$3:$M$130,10,0))&gt;3),"",VLOOKUP(VLOOKUP($A129,Centrum!$D$3:$M$130,10,0),Centrum!$A$3:$CB$130,S$132,0))</f>
        <v/>
      </c>
      <c r="T129" s="318" t="str">
        <f ca="1">IF(OR($A129="",TYPE(VLOOKUP($A129,Centrum!$D$3:$M$130,10,0))&gt;3),"",VLOOKUP(VLOOKUP($A129,Centrum!$D$3:$M$130,10,0),Centrum!$A$3:$CB$130,T$132,0))</f>
        <v/>
      </c>
      <c r="U129" s="318" t="str">
        <f ca="1">IF(OR($A129="",TYPE(VLOOKUP($A129,Centrum!$D$3:$M$130,10,0))&gt;3),"",VLOOKUP(VLOOKUP($A129,Centrum!$D$3:$M$130,10,0),Centrum!$A$3:$CB$130,U$132,0))</f>
        <v/>
      </c>
      <c r="AB129" s="318" t="str">
        <f ca="1">IF(OR($A129="",TYPE(VLOOKUP($A129,Centrum!$D$3:$M$130,10,0))&gt;3),"",VLOOKUP(VLOOKUP($A129,Centrum!$D$3:$M$130,10,0),Centrum!$A$3:$CB$130,AB$132,0))</f>
        <v/>
      </c>
      <c r="AC129" s="318" t="str">
        <f ca="1">IF(OR($A129="",TYPE(VLOOKUP($A129,Centrum!$D$3:$M$130,10,0))&gt;3),"",VLOOKUP(VLOOKUP($A129,Centrum!$D$3:$M$130,10,0),Centrum!$A$3:$CB$130,AC$132,0))</f>
        <v/>
      </c>
      <c r="AD129" s="318" t="str">
        <f ca="1">IF(OR($A129="",TYPE(VLOOKUP($A129,Centrum!$D$3:$M$130,10,0))&gt;3),"",VLOOKUP(VLOOKUP($A129,Centrum!$D$3:$M$130,10,0),Centrum!$A$3:$CB$130,AD$132,0))</f>
        <v/>
      </c>
      <c r="AK129" s="318" t="str">
        <f ca="1">IF(OR($A129="",TYPE(VLOOKUP($A129,Centrum!$D$3:$M$130,10,0))&gt;3),"",VLOOKUP(VLOOKUP($A129,Centrum!$D$3:$M$130,10,0),Centrum!$A$3:$CB$130,AK$132,0))</f>
        <v/>
      </c>
      <c r="AL129" s="318" t="str">
        <f ca="1">IF(OR($A129="",TYPE(VLOOKUP($A129,Centrum!$D$3:$M$130,10,0))&gt;3),"",VLOOKUP(VLOOKUP($A129,Centrum!$D$3:$M$130,10,0),Centrum!$A$3:$CB$130,AL$132,0))</f>
        <v/>
      </c>
      <c r="AM129" s="318" t="str">
        <f ca="1">IF(OR($A129="",TYPE(VLOOKUP($A129,Centrum!$D$3:$M$130,10,0))&gt;3),"",VLOOKUP(VLOOKUP($A129,Centrum!$D$3:$M$130,10,0),Centrum!$A$3:$CB$130,AM$132,0))</f>
        <v/>
      </c>
      <c r="AT129" s="318" t="str">
        <f ca="1">IF(OR(OR($A129="",TYPE(VLOOKUP($A129,Centrum!$D$3:$M$130,10,0))&gt;3),$A$1&lt;4),"",VLOOKUP(VLOOKUP($A129,Centrum!$D$3:$M$130,10,0),Centrum!$A$3:$CB$130,AT$132,0))</f>
        <v/>
      </c>
      <c r="AU129" s="318" t="str">
        <f ca="1">IF(OR(OR($A129="",TYPE(VLOOKUP($A129,Centrum!$D$3:$M$130,10,0))&gt;3),$A$1&lt;4),"",VLOOKUP(VLOOKUP($A129,Centrum!$D$3:$M$130,10,0),Centrum!$A$3:$CB$130,AU$132,0))</f>
        <v/>
      </c>
      <c r="AV129" s="318" t="str">
        <f ca="1">IF(OR(OR($A129="",TYPE(VLOOKUP($A129,Centrum!$D$3:$M$130,10,0))&gt;3),$A$1&lt;4),"",VLOOKUP(VLOOKUP($A129,Centrum!$D$3:$M$130,10,0),Centrum!$A$3:$CB$130,AV$132,0))</f>
        <v/>
      </c>
      <c r="BC129" s="318" t="str">
        <f ca="1">IF(OR(OR($A129="",TYPE(VLOOKUP($A129,Centrum!$D$3:$M$130,10,0))&gt;3),$A$1&lt;5),"",VLOOKUP(VLOOKUP($A129,Centrum!$D$3:$M$130,10,0),Centrum!$A$3:$CB$130,BC$132,0))</f>
        <v/>
      </c>
      <c r="BD129" s="318" t="str">
        <f ca="1">IF(OR(OR($A129="",TYPE(VLOOKUP($A129,Centrum!$D$3:$M$130,10,0))&gt;3),$A$1&lt;5),"",VLOOKUP(VLOOKUP($A129,Centrum!$D$3:$M$130,10,0),Centrum!$A$3:$CB$130,BD$132,0))</f>
        <v/>
      </c>
      <c r="BE129" s="318" t="str">
        <f ca="1">IF(OR(OR($A129="",TYPE(VLOOKUP($A129,Centrum!$D$3:$M$130,10,0))&gt;3),$A$1&lt;5),"",VLOOKUP(VLOOKUP($A129,Centrum!$D$3:$M$130,10,0),Centrum!$A$3:$CB$130,BE$132,0))</f>
        <v/>
      </c>
      <c r="BL129" s="318" t="str">
        <f ca="1">IF(OR(OR($A129="",TYPE(VLOOKUP($A129,Centrum!$D$3:$M$130,10,0))&gt;3),$A$1&lt;6),"",VLOOKUP(VLOOKUP($A129,Centrum!$D$3:$M$130,10,0),Centrum!$A$3:$CB$130,BL$132,0))</f>
        <v/>
      </c>
      <c r="BM129" s="318" t="str">
        <f ca="1">IF(OR(OR($A129="",TYPE(VLOOKUP($A129,Centrum!$D$3:$M$130,10,0))&gt;3),$A$1&lt;6),"",VLOOKUP(VLOOKUP($A129,Centrum!$D$3:$M$130,10,0),Centrum!$A$3:$CB$130,BM$132,0))</f>
        <v/>
      </c>
      <c r="BN129" s="318" t="str">
        <f ca="1">IF(OR(OR($A129="",TYPE(VLOOKUP($A129,Centrum!$D$3:$M$130,10,0))&gt;3),$A$1&lt;6),"",VLOOKUP(VLOOKUP($A129,Centrum!$D$3:$M$130,10,0),Centrum!$A$3:$CB$130,BN$132,0))</f>
        <v/>
      </c>
    </row>
    <row r="130" spans="1:66" x14ac:dyDescent="0.4">
      <c r="A130" s="318" t="str">
        <f ca="1">Centrum!A130</f>
        <v/>
      </c>
      <c r="B130" s="421" t="str">
        <f ca="1">IF(OR($A130="",TYPE(VLOOKUP($A130,Centrum!$D$3:$M$130,10,0))&gt;3),"",VLOOKUP(VLOOKUP(A130,Centrum!$D$3:$M$130,10,0),Centrum!$A$3:$CB$130,B$132,0))</f>
        <v/>
      </c>
      <c r="C130" s="318" t="str">
        <f ca="1">IF(OR($A130="",TYPE(VLOOKUP($A130,Centrum!$D$3:$M$130,10,0))&gt;3),"",VLOOKUP($A130,Centrum!$D$3:$M$130,10,0))</f>
        <v/>
      </c>
      <c r="E130" s="318" t="str">
        <f ca="1">IF(OR($A130="",TYPE(VLOOKUP($A130,Centrum!$D$3:$M$130,10,0))&gt;3),"",VLOOKUP(VLOOKUP($A130,Centrum!$D$3:$M$130,10,0),Centrum!$A$3:$CB$130,E$132,0))</f>
        <v/>
      </c>
      <c r="F130" s="318" t="str">
        <f ca="1">IF(OR($A130="",TYPE(VLOOKUP($A130,Centrum!$D$3:$M$130,10,0))&gt;3),"",VLOOKUP(VLOOKUP($A130,Centrum!$D$3:$M$130,10,0),Centrum!$A$3:$CB$130,F$132,0))</f>
        <v/>
      </c>
      <c r="G130" s="318" t="str">
        <f ca="1">IF(OR($A130="",TYPE(VLOOKUP($A130,Centrum!$D$3:$M$130,10,0))&gt;3),"",VLOOKUP(VLOOKUP($A130,Centrum!$D$3:$M$130,10,0),Centrum!$A$3:$CB$130,G$132,0))</f>
        <v/>
      </c>
      <c r="H130" s="318" t="str">
        <f ca="1">IF($A130="","",VLOOKUP(VLOOKUP($A130,Centrum!$D$3:$M$130,10,0),Centrum!$A$3:$CB$130,H$132,0))</f>
        <v/>
      </c>
      <c r="I130" s="318" t="str">
        <f ca="1">IF($A130="","",VLOOKUP(VLOOKUP($A130,Centrum!$D$3:$M$130,10,0),Centrum!$A$3:$CB$130,I$132,0))</f>
        <v/>
      </c>
      <c r="J130" s="318" t="str">
        <f ca="1">IF(OR($A130="",TYPE(VLOOKUP($A130,Centrum!$D$3:$M$130,10,0))&gt;3),"",VLOOKUP(VLOOKUP($A130,Centrum!$D$3:$M$130,10,0),Centrum!$A$3:$CB$130,J$132,0))</f>
        <v/>
      </c>
      <c r="L130" s="318" t="str">
        <f ca="1">IF(OR($A130="",TYPE(VLOOKUP($A130,Centrum!$D$3:$M$130,10,0))&gt;3),"",VLOOKUP(VLOOKUP($A130,Centrum!$D$3:$M$130,10,0),Centrum!$A$3:$CB$130,L$132,0))</f>
        <v/>
      </c>
      <c r="M130" s="318" t="str">
        <f ca="1">IF(OR($A130="",TYPE(VLOOKUP($A130,Centrum!$D$3:$M$130,10,0))&gt;3),"",VLOOKUP(VLOOKUP($A130,Centrum!$D$3:$M$130,10,0),Centrum!$A$3:$CB$130,M$132,0))</f>
        <v/>
      </c>
      <c r="N130" s="318" t="str">
        <f ca="1">IF(OR($A130="",TYPE(VLOOKUP($A130,Centrum!$D$3:$M$130,10,0))&gt;3),"",VLOOKUP(VLOOKUP($A130,Centrum!$D$3:$M$130,10,0),Centrum!$A$3:$CB$130,N$132,0))</f>
        <v/>
      </c>
      <c r="O130" s="318" t="str">
        <f ca="1">IF(OR($A130="",TYPE(VLOOKUP($A130,Centrum!$D$3:$M$130,10,0))&gt;3),"",VLOOKUP(VLOOKUP($A130,Centrum!$D$3:$M$130,10,0),Centrum!$A$3:$CB$130,O$132,0))</f>
        <v/>
      </c>
      <c r="P130" s="318" t="str">
        <f ca="1">IF(OR($A130="",TYPE(VLOOKUP($A130,Centrum!$D$3:$M$130,10,0))&gt;3),"",VLOOKUP(VLOOKUP($A130,Centrum!$D$3:$M$130,10,0),Centrum!$A$3:$CB$130,P$132,0))</f>
        <v/>
      </c>
      <c r="Q130" s="318" t="str">
        <f ca="1">IF(OR($A130="",TYPE(VLOOKUP($A130,Centrum!$D$3:$M$130,10,0))&gt;3),"",VLOOKUP(VLOOKUP($A130,Centrum!$D$3:$M$130,10,0),Centrum!$A$3:$CB$130,Q$132,0))</f>
        <v/>
      </c>
      <c r="S130" s="318" t="str">
        <f ca="1">IF(OR($A130="",TYPE(VLOOKUP($A130,Centrum!$D$3:$M$130,10,0))&gt;3),"",VLOOKUP(VLOOKUP($A130,Centrum!$D$3:$M$130,10,0),Centrum!$A$3:$CB$130,S$132,0))</f>
        <v/>
      </c>
      <c r="T130" s="318" t="str">
        <f ca="1">IF(OR($A130="",TYPE(VLOOKUP($A130,Centrum!$D$3:$M$130,10,0))&gt;3),"",VLOOKUP(VLOOKUP($A130,Centrum!$D$3:$M$130,10,0),Centrum!$A$3:$CB$130,T$132,0))</f>
        <v/>
      </c>
      <c r="U130" s="318" t="str">
        <f ca="1">IF(OR($A130="",TYPE(VLOOKUP($A130,Centrum!$D$3:$M$130,10,0))&gt;3),"",VLOOKUP(VLOOKUP($A130,Centrum!$D$3:$M$130,10,0),Centrum!$A$3:$CB$130,U$132,0))</f>
        <v/>
      </c>
      <c r="AB130" s="318" t="str">
        <f ca="1">IF(OR($A130="",TYPE(VLOOKUP($A130,Centrum!$D$3:$M$130,10,0))&gt;3),"",VLOOKUP(VLOOKUP($A130,Centrum!$D$3:$M$130,10,0),Centrum!$A$3:$CB$130,AB$132,0))</f>
        <v/>
      </c>
      <c r="AC130" s="318" t="str">
        <f ca="1">IF(OR($A130="",TYPE(VLOOKUP($A130,Centrum!$D$3:$M$130,10,0))&gt;3),"",VLOOKUP(VLOOKUP($A130,Centrum!$D$3:$M$130,10,0),Centrum!$A$3:$CB$130,AC$132,0))</f>
        <v/>
      </c>
      <c r="AD130" s="318" t="str">
        <f ca="1">IF(OR($A130="",TYPE(VLOOKUP($A130,Centrum!$D$3:$M$130,10,0))&gt;3),"",VLOOKUP(VLOOKUP($A130,Centrum!$D$3:$M$130,10,0),Centrum!$A$3:$CB$130,AD$132,0))</f>
        <v/>
      </c>
      <c r="AK130" s="318" t="str">
        <f ca="1">IF(OR($A130="",TYPE(VLOOKUP($A130,Centrum!$D$3:$M$130,10,0))&gt;3),"",VLOOKUP(VLOOKUP($A130,Centrum!$D$3:$M$130,10,0),Centrum!$A$3:$CB$130,AK$132,0))</f>
        <v/>
      </c>
      <c r="AL130" s="318" t="str">
        <f ca="1">IF(OR($A130="",TYPE(VLOOKUP($A130,Centrum!$D$3:$M$130,10,0))&gt;3),"",VLOOKUP(VLOOKUP($A130,Centrum!$D$3:$M$130,10,0),Centrum!$A$3:$CB$130,AL$132,0))</f>
        <v/>
      </c>
      <c r="AM130" s="318" t="str">
        <f ca="1">IF(OR($A130="",TYPE(VLOOKUP($A130,Centrum!$D$3:$M$130,10,0))&gt;3),"",VLOOKUP(VLOOKUP($A130,Centrum!$D$3:$M$130,10,0),Centrum!$A$3:$CB$130,AM$132,0))</f>
        <v/>
      </c>
      <c r="AT130" s="318" t="str">
        <f ca="1">IF(OR(OR($A130="",TYPE(VLOOKUP($A130,Centrum!$D$3:$M$130,10,0))&gt;3),$A$1&lt;4),"",VLOOKUP(VLOOKUP($A130,Centrum!$D$3:$M$130,10,0),Centrum!$A$3:$CB$130,AT$132,0))</f>
        <v/>
      </c>
      <c r="AU130" s="318" t="str">
        <f ca="1">IF(OR(OR($A130="",TYPE(VLOOKUP($A130,Centrum!$D$3:$M$130,10,0))&gt;3),$A$1&lt;4),"",VLOOKUP(VLOOKUP($A130,Centrum!$D$3:$M$130,10,0),Centrum!$A$3:$CB$130,AU$132,0))</f>
        <v/>
      </c>
      <c r="AV130" s="318" t="str">
        <f ca="1">IF(OR(OR($A130="",TYPE(VLOOKUP($A130,Centrum!$D$3:$M$130,10,0))&gt;3),$A$1&lt;4),"",VLOOKUP(VLOOKUP($A130,Centrum!$D$3:$M$130,10,0),Centrum!$A$3:$CB$130,AV$132,0))</f>
        <v/>
      </c>
      <c r="BC130" s="318" t="str">
        <f ca="1">IF(OR(OR($A130="",TYPE(VLOOKUP($A130,Centrum!$D$3:$M$130,10,0))&gt;3),$A$1&lt;5),"",VLOOKUP(VLOOKUP($A130,Centrum!$D$3:$M$130,10,0),Centrum!$A$3:$CB$130,BC$132,0))</f>
        <v/>
      </c>
      <c r="BD130" s="318" t="str">
        <f ca="1">IF(OR(OR($A130="",TYPE(VLOOKUP($A130,Centrum!$D$3:$M$130,10,0))&gt;3),$A$1&lt;5),"",VLOOKUP(VLOOKUP($A130,Centrum!$D$3:$M$130,10,0),Centrum!$A$3:$CB$130,BD$132,0))</f>
        <v/>
      </c>
      <c r="BE130" s="318" t="str">
        <f ca="1">IF(OR(OR($A130="",TYPE(VLOOKUP($A130,Centrum!$D$3:$M$130,10,0))&gt;3),$A$1&lt;5),"",VLOOKUP(VLOOKUP($A130,Centrum!$D$3:$M$130,10,0),Centrum!$A$3:$CB$130,BE$132,0))</f>
        <v/>
      </c>
      <c r="BL130" s="318" t="str">
        <f ca="1">IF(OR(OR($A130="",TYPE(VLOOKUP($A130,Centrum!$D$3:$M$130,10,0))&gt;3),$A$1&lt;6),"",VLOOKUP(VLOOKUP($A130,Centrum!$D$3:$M$130,10,0),Centrum!$A$3:$CB$130,BL$132,0))</f>
        <v/>
      </c>
      <c r="BM130" s="318" t="str">
        <f ca="1">IF(OR(OR($A130="",TYPE(VLOOKUP($A130,Centrum!$D$3:$M$130,10,0))&gt;3),$A$1&lt;6),"",VLOOKUP(VLOOKUP($A130,Centrum!$D$3:$M$130,10,0),Centrum!$A$3:$CB$130,BM$132,0))</f>
        <v/>
      </c>
      <c r="BN130" s="318" t="str">
        <f ca="1">IF(OR(OR($A130="",TYPE(VLOOKUP($A130,Centrum!$D$3:$M$130,10,0))&gt;3),$A$1&lt;6),"",VLOOKUP(VLOOKUP($A130,Centrum!$D$3:$M$130,10,0),Centrum!$A$3:$CB$130,BN$132,0))</f>
        <v/>
      </c>
    </row>
    <row r="132" spans="1:66" x14ac:dyDescent="0.4">
      <c r="B132" s="425">
        <v>3</v>
      </c>
      <c r="E132" s="425">
        <v>15</v>
      </c>
      <c r="F132" s="425">
        <v>17</v>
      </c>
      <c r="G132" s="425">
        <v>19</v>
      </c>
      <c r="H132" s="425">
        <v>18</v>
      </c>
      <c r="I132" s="425">
        <v>20</v>
      </c>
      <c r="J132" s="425">
        <v>16</v>
      </c>
      <c r="L132" s="425">
        <v>26</v>
      </c>
      <c r="M132" s="425">
        <v>27</v>
      </c>
      <c r="N132" s="425">
        <v>28</v>
      </c>
      <c r="O132" s="425">
        <v>29</v>
      </c>
      <c r="P132" s="425">
        <v>30</v>
      </c>
      <c r="Q132" s="425">
        <v>31</v>
      </c>
      <c r="S132" s="425">
        <v>33</v>
      </c>
      <c r="T132" s="425">
        <v>34</v>
      </c>
      <c r="U132" s="425">
        <v>35</v>
      </c>
      <c r="AB132" s="425">
        <v>42</v>
      </c>
      <c r="AC132" s="425">
        <v>43</v>
      </c>
      <c r="AD132" s="425">
        <v>44</v>
      </c>
      <c r="AK132" s="425">
        <v>51</v>
      </c>
      <c r="AL132" s="425">
        <v>52</v>
      </c>
      <c r="AM132" s="425">
        <v>53</v>
      </c>
      <c r="AT132" s="425">
        <v>60</v>
      </c>
      <c r="AU132" s="425">
        <v>61</v>
      </c>
      <c r="AV132" s="425">
        <v>62</v>
      </c>
      <c r="BC132" s="425">
        <v>69</v>
      </c>
      <c r="BD132" s="425">
        <v>70</v>
      </c>
      <c r="BE132" s="425">
        <v>71</v>
      </c>
      <c r="BL132" s="425">
        <v>78</v>
      </c>
      <c r="BM132" s="425">
        <v>79</v>
      </c>
      <c r="BN132" s="425">
        <v>80</v>
      </c>
    </row>
  </sheetData>
  <sheetProtection password="CA1B" sheet="1" formatCells="0" formatColumns="0" formatRows="0"/>
  <mergeCells count="8">
    <mergeCell ref="BC1:BH1"/>
    <mergeCell ref="BL1:BQ1"/>
    <mergeCell ref="E1:I1"/>
    <mergeCell ref="L1:P1"/>
    <mergeCell ref="S1:X1"/>
    <mergeCell ref="AB1:AG1"/>
    <mergeCell ref="AK1:AP1"/>
    <mergeCell ref="AT1:AY1"/>
  </mergeCells>
  <phoneticPr fontId="0" type="noConversion"/>
  <conditionalFormatting sqref="Y2 AH2 AQ2 AZ2 BI2">
    <cfRule type="expression" dxfId="107" priority="30" stopIfTrue="1">
      <formula>IF(Y$1=0,FALSE,TRUE)</formula>
    </cfRule>
  </conditionalFormatting>
  <conditionalFormatting sqref="T3:T130 AC3:AC130 AL3:AL130 AU3:AU130 BD3:BD130 BM3:BM130">
    <cfRule type="cellIs" dxfId="106" priority="26" stopIfTrue="1" operator="greaterThan">
      <formula>0</formula>
    </cfRule>
    <cfRule type="cellIs" dxfId="105" priority="27" stopIfTrue="1" operator="equal">
      <formula>0</formula>
    </cfRule>
  </conditionalFormatting>
  <conditionalFormatting sqref="E3:E130">
    <cfRule type="expression" dxfId="104" priority="31" stopIfTrue="1">
      <formula>IF(E3&gt;=$A$1,TRUE,FALSE)</formula>
    </cfRule>
    <cfRule type="cellIs" dxfId="103" priority="32" stopIfTrue="1" operator="equal">
      <formula>0</formula>
    </cfRule>
  </conditionalFormatting>
  <pageMargins left="0.7" right="0.7" top="0.78740157499999996" bottom="0.78740157499999996" header="0.3" footer="0.3"/>
  <pageSetup paperSize="9"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List23">
    <pageSetUpPr fitToPage="1"/>
  </sheetPr>
  <dimension ref="A1:CF132"/>
  <sheetViews>
    <sheetView workbookViewId="0">
      <pane ySplit="2" topLeftCell="A3" activePane="bottomLeft" state="frozen"/>
      <selection pane="bottomLeft" activeCell="V3" sqref="V3:W130"/>
    </sheetView>
  </sheetViews>
  <sheetFormatPr defaultColWidth="9.1640625" defaultRowHeight="12" x14ac:dyDescent="0.4"/>
  <cols>
    <col min="1" max="1" width="9" style="318" customWidth="1"/>
    <col min="2" max="2" width="4" style="319" customWidth="1"/>
    <col min="3" max="3" width="47.75" style="319" customWidth="1"/>
    <col min="4" max="4" width="7" style="319" customWidth="1"/>
    <col min="5" max="5" width="9.1640625" style="319"/>
    <col min="6" max="7" width="10.4140625" style="319" hidden="1" customWidth="1"/>
    <col min="8" max="11" width="9.1640625" style="319" hidden="1" customWidth="1"/>
    <col min="12" max="12" width="3.1640625" style="319" hidden="1" customWidth="1"/>
    <col min="13" max="13" width="3.58203125" style="319" hidden="1" customWidth="1"/>
    <col min="14" max="14" width="3.1640625" style="319" customWidth="1"/>
    <col min="15" max="16" width="5.58203125" style="318" customWidth="1"/>
    <col min="17" max="17" width="6.4140625" style="318" customWidth="1"/>
    <col min="18" max="18" width="6.4140625" style="318" hidden="1" customWidth="1"/>
    <col min="19" max="19" width="6.4140625" style="318" customWidth="1"/>
    <col min="20" max="22" width="5.58203125" style="318" hidden="1" customWidth="1"/>
    <col min="23" max="23" width="14.1640625" style="319" hidden="1" customWidth="1"/>
    <col min="24" max="24" width="5.58203125" style="319" hidden="1" customWidth="1"/>
    <col min="25" max="25" width="3.83203125" style="318" hidden="1" customWidth="1"/>
    <col min="26" max="31" width="5" style="318" customWidth="1"/>
    <col min="32" max="32" width="3.1640625" style="319" customWidth="1"/>
    <col min="33" max="33" width="5.83203125" style="318" customWidth="1"/>
    <col min="34" max="37" width="5.58203125" style="319" customWidth="1"/>
    <col min="38" max="38" width="10.58203125" style="319" customWidth="1"/>
    <col min="39" max="39" width="7.4140625" style="318" customWidth="1"/>
    <col min="40" max="41" width="1.75" style="318" customWidth="1"/>
    <col min="42" max="42" width="5.83203125" style="318" customWidth="1"/>
    <col min="43" max="46" width="5.58203125" style="319" customWidth="1"/>
    <col min="47" max="47" width="10.58203125" style="319" customWidth="1"/>
    <col min="48" max="48" width="7.4140625" style="318" customWidth="1"/>
    <col min="49" max="50" width="1.75" style="318" customWidth="1"/>
    <col min="51" max="51" width="5.83203125" style="318" customWidth="1"/>
    <col min="52" max="55" width="5.58203125" style="319" customWidth="1"/>
    <col min="56" max="56" width="10.58203125" style="319" customWidth="1"/>
    <col min="57" max="57" width="7.4140625" style="318" customWidth="1"/>
    <col min="58" max="59" width="1.75" style="318" customWidth="1"/>
    <col min="60" max="60" width="5.83203125" style="318" customWidth="1"/>
    <col min="61" max="64" width="5.58203125" style="319" customWidth="1"/>
    <col min="65" max="65" width="10.58203125" style="319" customWidth="1"/>
    <col min="66" max="66" width="7.4140625" style="318" customWidth="1"/>
    <col min="67" max="68" width="1.75" style="318" customWidth="1"/>
    <col min="69" max="69" width="5.83203125" style="318" customWidth="1"/>
    <col min="70" max="73" width="5.58203125" style="319" customWidth="1"/>
    <col min="74" max="74" width="10.58203125" style="319" customWidth="1"/>
    <col min="75" max="75" width="7.4140625" style="318" customWidth="1"/>
    <col min="76" max="77" width="1.75" style="318" customWidth="1"/>
    <col min="78" max="78" width="5.83203125" style="318" customWidth="1"/>
    <col min="79" max="82" width="5.58203125" style="319" customWidth="1"/>
    <col min="83" max="83" width="10.58203125" style="319" customWidth="1"/>
    <col min="84" max="84" width="7.4140625" style="318" customWidth="1"/>
    <col min="85" max="16384" width="9.1640625" style="319"/>
  </cols>
  <sheetData>
    <row r="1" spans="1:84" ht="18.899999999999999" thickBot="1" x14ac:dyDescent="0.65">
      <c r="B1" s="318"/>
      <c r="C1" s="393" t="str">
        <f>Start.listina!$K$4</f>
        <v>Turnaj Piráta Morgana</v>
      </c>
      <c r="D1" s="394"/>
      <c r="E1" s="395" t="str">
        <f>Start.listina!$K$3</f>
        <v>28.04.2024</v>
      </c>
      <c r="F1" s="472" t="s">
        <v>1607</v>
      </c>
      <c r="G1" s="473"/>
      <c r="H1" s="473"/>
      <c r="I1" s="473"/>
      <c r="J1" s="473"/>
      <c r="K1" s="473"/>
      <c r="L1" s="396">
        <f>Start.listina!$Y$2</f>
        <v>4</v>
      </c>
      <c r="M1" s="318"/>
      <c r="O1" s="471" t="s">
        <v>1581</v>
      </c>
      <c r="P1" s="471"/>
      <c r="Q1" s="471"/>
      <c r="R1" s="471"/>
      <c r="S1" s="471"/>
      <c r="T1" s="471"/>
      <c r="U1" s="397"/>
      <c r="V1" s="398" t="s">
        <v>1608</v>
      </c>
      <c r="W1" s="397"/>
      <c r="X1" s="399"/>
      <c r="Y1" s="397"/>
      <c r="Z1" s="471" t="s">
        <v>1582</v>
      </c>
      <c r="AA1" s="471"/>
      <c r="AB1" s="471"/>
      <c r="AC1" s="471"/>
      <c r="AD1" s="471"/>
      <c r="AE1" s="400">
        <f ca="1">AV1+BE1+BN1+BW1+CF1</f>
        <v>0</v>
      </c>
      <c r="AG1" s="470" t="s">
        <v>1583</v>
      </c>
      <c r="AH1" s="470"/>
      <c r="AI1" s="470"/>
      <c r="AJ1" s="470"/>
      <c r="AK1" s="470"/>
      <c r="AL1" s="470"/>
      <c r="AM1" s="400"/>
      <c r="AP1" s="470" t="s">
        <v>1584</v>
      </c>
      <c r="AQ1" s="470"/>
      <c r="AR1" s="470"/>
      <c r="AS1" s="470"/>
      <c r="AT1" s="470"/>
      <c r="AU1" s="470"/>
      <c r="AV1" s="400">
        <f ca="1">MAX(AV3:AV130)</f>
        <v>0</v>
      </c>
      <c r="AY1" s="470" t="s">
        <v>1585</v>
      </c>
      <c r="AZ1" s="470"/>
      <c r="BA1" s="470"/>
      <c r="BB1" s="470"/>
      <c r="BC1" s="470"/>
      <c r="BD1" s="470"/>
      <c r="BE1" s="400">
        <f ca="1">MAX(BE3:BE130)</f>
        <v>0</v>
      </c>
      <c r="BH1" s="470" t="s">
        <v>1586</v>
      </c>
      <c r="BI1" s="470"/>
      <c r="BJ1" s="470"/>
      <c r="BK1" s="470"/>
      <c r="BL1" s="470"/>
      <c r="BM1" s="470"/>
      <c r="BN1" s="400">
        <f ca="1">MAX(BN3:BN130)</f>
        <v>0</v>
      </c>
      <c r="BQ1" s="470" t="s">
        <v>1587</v>
      </c>
      <c r="BR1" s="470"/>
      <c r="BS1" s="470"/>
      <c r="BT1" s="470"/>
      <c r="BU1" s="470"/>
      <c r="BV1" s="470"/>
      <c r="BW1" s="400">
        <f ca="1">MAX(BW3:BW130)</f>
        <v>0</v>
      </c>
      <c r="BZ1" s="470" t="s">
        <v>1588</v>
      </c>
      <c r="CA1" s="470"/>
      <c r="CB1" s="470"/>
      <c r="CC1" s="470"/>
      <c r="CD1" s="470"/>
      <c r="CE1" s="470"/>
      <c r="CF1" s="400">
        <f ca="1">MAX(CF3:CF130)</f>
        <v>0</v>
      </c>
    </row>
    <row r="2" spans="1:84" ht="42.65" customHeight="1" thickTop="1" thickBot="1" x14ac:dyDescent="0.45">
      <c r="A2" s="401" t="s">
        <v>1609</v>
      </c>
      <c r="B2" s="401" t="s">
        <v>1610</v>
      </c>
      <c r="C2" s="402" t="s">
        <v>1549</v>
      </c>
      <c r="D2" s="403" t="s">
        <v>1611</v>
      </c>
      <c r="E2" s="404" t="s">
        <v>1545</v>
      </c>
      <c r="F2" s="405" t="s">
        <v>1612</v>
      </c>
      <c r="G2" s="405">
        <v>64</v>
      </c>
      <c r="H2" s="405">
        <v>32</v>
      </c>
      <c r="I2" s="405">
        <v>16</v>
      </c>
      <c r="J2" s="405">
        <v>8</v>
      </c>
      <c r="K2" s="405">
        <v>4</v>
      </c>
      <c r="O2" s="406" t="s">
        <v>1591</v>
      </c>
      <c r="P2" s="407" t="s">
        <v>1596</v>
      </c>
      <c r="Q2" s="407" t="s">
        <v>1613</v>
      </c>
      <c r="R2" s="407" t="s">
        <v>1594</v>
      </c>
      <c r="S2" s="407" t="s">
        <v>1593</v>
      </c>
      <c r="T2" s="408" t="s">
        <v>1595</v>
      </c>
      <c r="U2" s="409" t="s">
        <v>1611</v>
      </c>
      <c r="V2" s="410" t="s">
        <v>1605</v>
      </c>
      <c r="W2" s="411" t="s">
        <v>1606</v>
      </c>
      <c r="X2" s="412" t="s">
        <v>1611</v>
      </c>
      <c r="Y2" s="413"/>
      <c r="Z2" s="414" t="s">
        <v>1597</v>
      </c>
      <c r="AA2" s="415" t="s">
        <v>1598</v>
      </c>
      <c r="AB2" s="415" t="s">
        <v>1599</v>
      </c>
      <c r="AC2" s="415" t="s">
        <v>1600</v>
      </c>
      <c r="AD2" s="415" t="s">
        <v>1601</v>
      </c>
      <c r="AE2" s="416" t="s">
        <v>1602</v>
      </c>
      <c r="AG2" s="417" t="s">
        <v>1603</v>
      </c>
      <c r="AH2" s="417" t="s">
        <v>1604</v>
      </c>
      <c r="AI2" s="418" t="s">
        <v>1596</v>
      </c>
      <c r="AJ2" s="418" t="s">
        <v>1595</v>
      </c>
      <c r="AK2" s="418" t="s">
        <v>1605</v>
      </c>
      <c r="AL2" s="418" t="s">
        <v>1606</v>
      </c>
      <c r="AM2" s="419" t="s">
        <v>1536</v>
      </c>
      <c r="AN2" s="319"/>
      <c r="AO2" s="319"/>
      <c r="AP2" s="417" t="s">
        <v>1603</v>
      </c>
      <c r="AQ2" s="417" t="s">
        <v>1604</v>
      </c>
      <c r="AR2" s="418" t="s">
        <v>1596</v>
      </c>
      <c r="AS2" s="418" t="s">
        <v>1595</v>
      </c>
      <c r="AT2" s="418" t="s">
        <v>1605</v>
      </c>
      <c r="AU2" s="418" t="s">
        <v>1606</v>
      </c>
      <c r="AV2" s="420" t="s">
        <v>1536</v>
      </c>
      <c r="AW2" s="319"/>
      <c r="AX2" s="319"/>
      <c r="AY2" s="417" t="s">
        <v>1603</v>
      </c>
      <c r="AZ2" s="417" t="s">
        <v>1604</v>
      </c>
      <c r="BA2" s="418" t="s">
        <v>1596</v>
      </c>
      <c r="BB2" s="418" t="s">
        <v>1595</v>
      </c>
      <c r="BC2" s="418" t="s">
        <v>1605</v>
      </c>
      <c r="BD2" s="418" t="s">
        <v>1606</v>
      </c>
      <c r="BE2" s="420" t="s">
        <v>1536</v>
      </c>
      <c r="BF2" s="319"/>
      <c r="BG2" s="319"/>
      <c r="BH2" s="417" t="s">
        <v>1603</v>
      </c>
      <c r="BI2" s="417" t="s">
        <v>1604</v>
      </c>
      <c r="BJ2" s="418" t="s">
        <v>1596</v>
      </c>
      <c r="BK2" s="418" t="s">
        <v>1595</v>
      </c>
      <c r="BL2" s="418" t="s">
        <v>1605</v>
      </c>
      <c r="BM2" s="418" t="s">
        <v>1606</v>
      </c>
      <c r="BN2" s="420" t="s">
        <v>1536</v>
      </c>
      <c r="BO2" s="319"/>
      <c r="BP2" s="319"/>
      <c r="BQ2" s="417" t="s">
        <v>1603</v>
      </c>
      <c r="BR2" s="417" t="s">
        <v>1604</v>
      </c>
      <c r="BS2" s="418" t="s">
        <v>1596</v>
      </c>
      <c r="BT2" s="418" t="s">
        <v>1595</v>
      </c>
      <c r="BU2" s="418" t="s">
        <v>1605</v>
      </c>
      <c r="BV2" s="418" t="s">
        <v>1606</v>
      </c>
      <c r="BW2" s="420" t="s">
        <v>1536</v>
      </c>
      <c r="BX2" s="319"/>
      <c r="BY2" s="319"/>
      <c r="BZ2" s="417" t="s">
        <v>1603</v>
      </c>
      <c r="CA2" s="417" t="s">
        <v>1604</v>
      </c>
      <c r="CB2" s="418" t="s">
        <v>1596</v>
      </c>
      <c r="CC2" s="418" t="s">
        <v>1595</v>
      </c>
      <c r="CD2" s="418" t="s">
        <v>1605</v>
      </c>
      <c r="CE2" s="418" t="s">
        <v>1606</v>
      </c>
      <c r="CF2" s="420" t="s">
        <v>1536</v>
      </c>
    </row>
    <row r="3" spans="1:84" ht="12.45" thickTop="1" x14ac:dyDescent="0.4">
      <c r="A3" s="318">
        <f ca="1">IF(OR(Start.listina!H11&gt;Start.listina!$K$7,Start.listina!G11=TRUE),"",Start.listina!H11)</f>
        <v>1</v>
      </c>
      <c r="B3" s="318">
        <f ca="1">IF($A3&gt;Start.listina!$K$7,"",INT(($A3-1)/Start.listina!$O$7)+1)</f>
        <v>1</v>
      </c>
      <c r="C3" s="421" t="str">
        <f ca="1">IF(OR(Start.listina!H11&gt;Start.listina!$K$7,Start.listina!G11=TRUE)," - ",Start.listina!AL11)</f>
        <v>1 PC Sokol Lipník - Vavrovič ml. Petr</v>
      </c>
      <c r="D3" s="318">
        <f ca="1">IF(OR(A3&gt;Start.listina!$K$7,TYPE(VLOOKUP(A3,$V$3:$X$130,3,0))&gt;3),"",VLOOKUP(A3,$V$3:$X$130,3,0))</f>
        <v>2</v>
      </c>
      <c r="E3" s="422">
        <f ca="1">IF(A3&gt;Start.listina!$K$7,"",IF(MIN(F3:K3)&gt;Start.listina!$Y$4,D3,MIN(F3:K3)))</f>
        <v>8</v>
      </c>
      <c r="F3" s="318">
        <f ca="1">IF(TYPE(VLOOKUP(C3,Konečné_pořadí_1_16!$B$2:$D$17,3,0))&lt;4,VLOOKUP(C3,Konečné_pořadí_1_16!$B$2:$D$17,3,0),999)</f>
        <v>999</v>
      </c>
      <c r="G3" s="318">
        <f ca="1">IF(TYPE(VLOOKUP(C3,'KO64'!$D$4:$D$129,1,0))&lt;4,64,999)</f>
        <v>64</v>
      </c>
      <c r="H3" s="318">
        <f ca="1">IF(TYPE(VLOOKUP(C3,'KO32'!$D$4:$D$65,1,0))&lt;4,32,999)</f>
        <v>32</v>
      </c>
      <c r="I3" s="318">
        <f ca="1">IF(TYPE(VLOOKUP(C3,'KO16'!$D$4:$D$33,1,0))&lt;4,16,999)</f>
        <v>16</v>
      </c>
      <c r="J3" s="318">
        <f ca="1">IF(TYPE(VLOOKUP(C3,'KO8'!$D$4:$D$17,1,0))&lt;4,8,999)</f>
        <v>8</v>
      </c>
      <c r="K3" s="318">
        <f ca="1">IF(TYPE(VLOOKUP(C3,'KO4'!$D$4:$D$9,1,0))&lt;4,4,999)</f>
        <v>999</v>
      </c>
      <c r="M3" s="319">
        <v>1</v>
      </c>
      <c r="O3" s="318">
        <f ca="1">AH3+AQ3+AZ3+BI3+BR3+CA3</f>
        <v>4</v>
      </c>
      <c r="P3" s="318">
        <f ca="1">AI3+AR3+BA3+BJ3+BS3+CB3</f>
        <v>33</v>
      </c>
      <c r="Q3" s="318">
        <f t="shared" ref="Q3:Q34" ca="1" si="0">VLOOKUP($Z3,$A$3:$O$131,15,0)+VLOOKUP($AA3,$A$3:$O$131,15,0)+VLOOKUP($AB3,$A$3:$O$131,15,0)+VLOOKUP($AC3,$A$3:$O$131,15,0)+VLOOKUP($AD3,$A$3:$O$131,15,0)+VLOOKUP($AE3,$A$3:$O$131,15,0)</f>
        <v>9</v>
      </c>
      <c r="R3" s="318">
        <f t="shared" ref="R3:R34" ca="1" si="1">IF(AH3=0,0,VLOOKUP($Z3,$A$3:$O$130,15,0))+IF(AQ3=0,0,VLOOKUP($AA3,$A$3:$O$130,15,0))+IF(AZ3=0,0,VLOOKUP($AB3,$A$3:$O$130,15,0))+IF(BI3=0,0,VLOOKUP($AC3,$A$3:$O$130,15,0))+IF(BR3=0,0,VLOOKUP($AD3,$A$3:$O$130,15,0))+IF(CA3=0,0,VLOOKUP($AE3,$A$3:$O$130,15,0))</f>
        <v>9</v>
      </c>
      <c r="S3" s="318">
        <f ca="1">VLOOKUP($Z3,$A$3:$Q$131,17,0)+VLOOKUP($AA3,$A$3:$Q$131,17,0)+VLOOKUP($AB3,$A$3:$Q$131,17,0)+VLOOKUP($AC3,$A$3:$Q$131,17,0)+VLOOKUP($AD3,$A$3:$Q$131,17,0)+VLOOKUP($AE3,$A$3:$Q$131,17,0)</f>
        <v>39</v>
      </c>
      <c r="T3" s="318">
        <f ca="1">AJ3+AS3+BB3+BK3+BT3+CC3</f>
        <v>4</v>
      </c>
      <c r="U3" s="397">
        <f>ROW()-2</f>
        <v>1</v>
      </c>
      <c r="V3" s="397">
        <v>4</v>
      </c>
      <c r="W3" s="423" t="str">
        <f ca="1">IF($V3="","",CONCATENATE(TEXT($O3,"0"),IF(Start.listina!$Y$5="","",TEXT(500+$P3,"0000")),IF(Start.listina!$Y$6="","",CHOOSE(Start.listina!$Y$7,TEXT($Q3,"00"),CONCATENATE(TEXT($Q3,"00"),TEXT($S3,"000")), TEXT($R3,"00"))),TEXT(500+$P3,"0000"),IF(Start.listina!$Y$8="","",TEXT($T3,"0")),TEXT(999999*RAND(),"000000")))</f>
        <v>4090390533050934</v>
      </c>
      <c r="X3" s="399">
        <f>ROW()-2</f>
        <v>1</v>
      </c>
      <c r="Y3" s="397">
        <f t="shared" ref="Y3:Y34" ca="1" si="2">IF(TYPE(VLOOKUP(V3,$A$3:$O$130,15,0))&gt;3,0,VLOOKUP(V3,$A$3:$O$130,15,0))</f>
        <v>4</v>
      </c>
      <c r="Z3" s="318">
        <f ca="1">$AG3</f>
        <v>29</v>
      </c>
      <c r="AA3" s="318">
        <f ca="1">$AP3</f>
        <v>27</v>
      </c>
      <c r="AB3" s="318">
        <f ca="1">$AY3</f>
        <v>49</v>
      </c>
      <c r="AC3" s="318">
        <f ca="1">$BH3</f>
        <v>14</v>
      </c>
      <c r="AD3" s="318">
        <f ca="1">$BQ3</f>
        <v>0</v>
      </c>
      <c r="AE3" s="318">
        <f ca="1">$BZ3</f>
        <v>0</v>
      </c>
      <c r="AG3" s="318">
        <f ca="1">IF(TYPE(VLOOKUP($A3,'1.kolo'!$L$3:$L$66,1,0))&gt;3,VLOOKUP($A3,'1.kolo'!$K$3:$L$66,2,0),VLOOKUP($A3,'1.kolo'!$L$3:$O$66,4,0))</f>
        <v>29</v>
      </c>
      <c r="AH3" s="318">
        <f ca="1">IF(TYPE(VLOOKUP($A3,'1.kolo'!$L$3:$L$66,1,0))&gt;3,VLOOKUP($A3,'1.kolo'!$O$3:$Q$66,2,0),VLOOKUP($A3,'1.kolo'!$L$3:$N$66,2,0))</f>
        <v>1</v>
      </c>
      <c r="AI3" s="318">
        <f ca="1">IF(TYPE(VLOOKUP($A3,'1.kolo'!$L$3:$L$66,1,0))&gt;3,VLOOKUP($A3,'1.kolo'!$O$3:$Q$66,3,0),VLOOKUP($A3,'1.kolo'!$L$3:$N$66,3,0))</f>
        <v>4</v>
      </c>
      <c r="AJ3" s="318">
        <f ca="1">IF(AND(VLOOKUP($AG3,$A$3:$B$130,2,0)=1,AH3=1),1,0)</f>
        <v>1</v>
      </c>
      <c r="AK3" s="318">
        <v>1</v>
      </c>
      <c r="AL3" s="424"/>
      <c r="AP3" s="318">
        <f ca="1">IF(TYPE(VLOOKUP($A3,'2.kolo'!$L$3:$L$66,1,0))&gt;3,IF(TYPE(VLOOKUP($A3,'2.kolo'!$K$3:$L$66,2,0))&gt;3,0,VLOOKUP($A3,'2.kolo'!$K$3:$L$66,2,0)),VLOOKUP($A3,'2.kolo'!$L$3:$O$66,4,0))</f>
        <v>27</v>
      </c>
      <c r="AQ3" s="318">
        <f ca="1">IF(TYPE(VLOOKUP($A3,'2.kolo'!$L$3:$L$66,1,0))&gt;3,IF(TYPE(VLOOKUP($A3,'2.kolo'!$O$3:$Q$66,2,0))&gt;3,0,VLOOKUP($A3,'2.kolo'!$O$3:$Q$66,2,0)),VLOOKUP($A3,'2.kolo'!$L$3:$N$66,2,0))</f>
        <v>1</v>
      </c>
      <c r="AR3" s="318">
        <f ca="1">IF(TYPE(VLOOKUP($A3,'2.kolo'!$L$3:$L$66,1,0))&gt;3,IF(TYPE(VLOOKUP($A3,'2.kolo'!$O$3:$Q$66,3,0))&gt;3,0,VLOOKUP($A3,'2.kolo'!$O$3:$Q$66,3,0)),VLOOKUP($A3,'2.kolo'!$L$3:$N$66,3,0))</f>
        <v>12</v>
      </c>
      <c r="AS3" s="318">
        <f ca="1">IF(AND(VLOOKUP($AG3,$A$3:$B$130,2,0)=1,AQ3=1),1,0)</f>
        <v>1</v>
      </c>
      <c r="AT3" s="397">
        <v>1</v>
      </c>
      <c r="AU3" s="424" t="str">
        <f ca="1">IF(AT3="","",CONCATENATE(TEXT($O3,"0"),IF(Start.listina!$Y$5="","",TEXT(500+$P3,"000")),TEXT(999999*RAND(),"000000")))</f>
        <v>4641043</v>
      </c>
      <c r="AV3" s="318">
        <f t="shared" ref="AV3:AV34" ca="1" si="3">IF(OR(AND(N(AP3)=0,N(AT3)=0),TYPE(MATCH($AA3,$Z3:$Z3,0))&gt;1),0,1)</f>
        <v>0</v>
      </c>
      <c r="AY3" s="318">
        <f ca="1">IF(TYPE(VLOOKUP($A3,'3.kolo'!$L$3:$L$66,1,0))&gt;3,IF(TYPE(VLOOKUP($A3,'3.kolo'!$K$3:$L$66,2,0))&gt;3,0,VLOOKUP($A3,'3.kolo'!$K$3:$L$66,2,0)),VLOOKUP($A3,'3.kolo'!$L$3:$O$66,4,0))</f>
        <v>49</v>
      </c>
      <c r="AZ3" s="318">
        <f ca="1">IF(TYPE(VLOOKUP($A3,'3.kolo'!$L$3:$L$66,1,0))&gt;3,IF(TYPE(VLOOKUP($A3,'3.kolo'!$O$3:$Q$66,2,0))&gt;3,0,VLOOKUP($A3,'3.kolo'!$O$3:$Q$66,2,0)),VLOOKUP($A3,'3.kolo'!$L$3:$N$66,2,0))</f>
        <v>1</v>
      </c>
      <c r="BA3" s="318">
        <f ca="1">IF(TYPE(VLOOKUP($A3,'3.kolo'!$L$3:$L$66,1,0))&gt;3,IF(TYPE(VLOOKUP($A3,'3.kolo'!$O$3:$Q$66,3,0))&gt;3,0,VLOOKUP($A3,'3.kolo'!$O$3:$Q$66,3,0)),VLOOKUP($A3,'3.kolo'!$L$3:$N$66,3,0))</f>
        <v>7</v>
      </c>
      <c r="BB3" s="318">
        <f ca="1">IF(AND(VLOOKUP($AG3,$A$3:$B$130,2,0)=1,AZ3=1),1,0)</f>
        <v>1</v>
      </c>
      <c r="BC3" s="397">
        <v>23</v>
      </c>
      <c r="BD3" s="424" t="str">
        <f ca="1">IF(BC3="","",CONCATENATE(TEXT($O3,"0"),IF(Start.listina!$Y$5="","",TEXT(500+$P3,"000")),TEXT(999999*RAND(),"000000")))</f>
        <v>4149295</v>
      </c>
      <c r="BE3" s="318">
        <f t="shared" ref="BE3:BE34" ca="1" si="4">IF(OR(AND(N(AY3)=0,N(BC3)=0),TYPE(MATCH($AB3,$Z3:$AA3,0))&gt;1),0,1)</f>
        <v>0</v>
      </c>
      <c r="BH3" s="318">
        <f ca="1">IF(TYPE(VLOOKUP($A3,'4.kolo'!$L$3:$L$66,1,0))&gt;3,IF(TYPE(VLOOKUP($A3,'4.kolo'!$K$3:$L$66,2,0))&gt;3,0,VLOOKUP($A3,'4.kolo'!$K$3:$L$66,2,0)),VLOOKUP($A3,'4.kolo'!$L$3:$O$66,4,0))</f>
        <v>14</v>
      </c>
      <c r="BI3" s="318">
        <f ca="1">IF(TYPE(VLOOKUP($A3,'4.kolo'!$L$3:$L$66,1,0))&gt;3,IF(TYPE(VLOOKUP($A3,'4.kolo'!$O$3:$Q$66,2,0))&gt;3,0,VLOOKUP($A3,'4.kolo'!$O$3:$Q$66,2,0)),VLOOKUP($A3,'4.kolo'!$L$3:$N$66,2,0))</f>
        <v>1</v>
      </c>
      <c r="BJ3" s="318">
        <f ca="1">IF(TYPE(VLOOKUP($A3,'4.kolo'!$L$3:$L$66,1,0))&gt;3,IF(TYPE(VLOOKUP($A3,'4.kolo'!$O$3:$Q$66,3,0))&gt;3,0,VLOOKUP($A3,'4.kolo'!$O$3:$Q$66,3,0)),VLOOKUP($A3,'4.kolo'!$L$3:$N$66,3,0))</f>
        <v>10</v>
      </c>
      <c r="BK3" s="318">
        <f ca="1">IF(AND(VLOOKUP($AG3,$A$3:$B$130,2,0)=1,BI3=1),1,0)</f>
        <v>1</v>
      </c>
      <c r="BL3" s="397">
        <v>7</v>
      </c>
      <c r="BM3" s="424" t="str">
        <f ca="1">IF(BL3="","",CONCATENATE(TEXT($O3,"0"),IF(Start.listina!$Y$5="","",TEXT(500+$P3,"000")),TEXT(999999*RAND(),"000000")))</f>
        <v>4269063</v>
      </c>
      <c r="BN3" s="318">
        <f t="shared" ref="BN3:BN34" ca="1" si="5">IF(OR(AND(N(BH3)=0,N(BL3)=0),TYPE(MATCH($AC3,$Z3:$AB3,0))&gt;1),0,1)</f>
        <v>0</v>
      </c>
      <c r="BQ3" s="318">
        <f ca="1">IF(TYPE(VLOOKUP($A3,'5.kolo'!$L$3:$L$66,1,0))&gt;3,IF(TYPE(VLOOKUP($A3,'5.kolo'!$K$3:$L$66,2,0))&gt;3,0,VLOOKUP($A3,'5.kolo'!$K$3:$L$66,2,0)),VLOOKUP($A3,'5.kolo'!$L$3:$O$66,4,0))</f>
        <v>0</v>
      </c>
      <c r="BR3" s="318">
        <f ca="1">IF(TYPE(VLOOKUP($A3,'5.kolo'!$L$3:$L$66,1,0))&gt;3,IF(TYPE(VLOOKUP($A3,'5.kolo'!$O$3:$Q$66,2,0))&gt;3,0,VLOOKUP($A3,'5.kolo'!$O$3:$Q$66,2,0)),VLOOKUP($A3,'5.kolo'!$L$3:$N$66,2,0))</f>
        <v>0</v>
      </c>
      <c r="BS3" s="318">
        <f ca="1">IF(TYPE(VLOOKUP($A3,'5.kolo'!$L$3:$L$66,1,0))&gt;3,IF(TYPE(VLOOKUP($A3,'5.kolo'!$O$3:$Q$66,3,0))&gt;3,0,VLOOKUP($A3,'5.kolo'!$O$3:$Q$66,3,0)),VLOOKUP($A3,'5.kolo'!$L$3:$N$66,3,0))</f>
        <v>0</v>
      </c>
      <c r="BT3" s="318">
        <f ca="1">IF(AND(VLOOKUP($AG3,$A$3:$B$130,2,0)=1,BR3=1),1,0)</f>
        <v>0</v>
      </c>
      <c r="BU3" s="397"/>
      <c r="BV3" s="424" t="str">
        <f ca="1">IF(BU3="","",CONCATENATE(TEXT($O3,"0"),IF(Start.listina!$Y$5="","",TEXT(500+$P3,"000")),TEXT(999999*RAND(),"000000")))</f>
        <v/>
      </c>
      <c r="BW3" s="318">
        <f t="shared" ref="BW3:BW34" ca="1" si="6">IF(OR(AND(N(BQ3)=0,N(BU3)=0),TYPE(MATCH($AD3,$Z3:$AC3,0))&gt;1),0,1)</f>
        <v>0</v>
      </c>
      <c r="BZ3" s="318">
        <f ca="1">IF(TYPE(VLOOKUP($A3,'6.kolo'!$L$3:$L$66,1,0))&gt;3,IF(TYPE(VLOOKUP($A3,'6.kolo'!$K$3:$L$66,2,0))&gt;3,0,VLOOKUP($A3,'6.kolo'!$K$3:$L$66,2,0)),VLOOKUP($A3,'6.kolo'!$L$3:$O$66,4,0))</f>
        <v>0</v>
      </c>
      <c r="CA3" s="318">
        <f ca="1">IF(TYPE(VLOOKUP($A3,'6.kolo'!$L$3:$L$66,1,0))&gt;3,IF(TYPE(VLOOKUP($A3,'6.kolo'!$O$3:$Q$66,2,0))&gt;3,0,VLOOKUP($A3,'6.kolo'!$O$3:$Q$66,2,0)),VLOOKUP($A3,'6.kolo'!$L$3:$N$66,2,0))</f>
        <v>0</v>
      </c>
      <c r="CB3" s="318">
        <f ca="1">IF(TYPE(VLOOKUP($A3,'6.kolo'!$L$3:$L$66,1,0))&gt;3,IF(TYPE(VLOOKUP($A3,'6.kolo'!$O$3:$Q$66,3,0))&gt;3,0,VLOOKUP($A3,'6.kolo'!$O$3:$Q$66,3,0)),VLOOKUP($A3,'6.kolo'!$L$3:$N$66,3,0))</f>
        <v>0</v>
      </c>
      <c r="CC3" s="318">
        <f ca="1">IF(AND(VLOOKUP($AG3,$A$3:$B$130,2,0)=1,CA3=1),1,0)</f>
        <v>0</v>
      </c>
      <c r="CD3" s="397"/>
      <c r="CE3" s="424" t="str">
        <f ca="1">IF(CD3="","",CONCATENATE(TEXT($O3,"0"),IF(Start.listina!$Y$5="","",TEXT(500+$P3,"000")),TEXT(999999*RAND(),"000000")))</f>
        <v/>
      </c>
      <c r="CF3" s="318">
        <f t="shared" ref="CF3:CF34" ca="1" si="7">IF(OR(AND(N(BZ3)=0,N(CD3)=0),TYPE(MATCH($AE3,$Z3:$AD3,0))&gt;1),0,1)</f>
        <v>0</v>
      </c>
    </row>
    <row r="4" spans="1:84" x14ac:dyDescent="0.4">
      <c r="A4" s="318">
        <f ca="1">IF(OR(Start.listina!H12&gt;Start.listina!$K$7,Start.listina!G12=TRUE),"",Start.listina!H12)</f>
        <v>2</v>
      </c>
      <c r="B4" s="318">
        <f ca="1">IF($A4&gt;Start.listina!$K$7,"",INT(($A4-1)/Start.listina!$O$7)+1)</f>
        <v>1</v>
      </c>
      <c r="C4" s="421" t="str">
        <f ca="1">IF(OR(Start.listina!H12&gt;Start.listina!$K$7,Start.listina!G12=TRUE)," - ",Start.listina!AL12)</f>
        <v>2 PLUK Jablonec - Lukáš Vojtěch</v>
      </c>
      <c r="D4" s="318">
        <f ca="1">IF(OR(A4&gt;Start.listina!$K$7,TYPE(VLOOKUP(A4,$V$3:$X$130,3,0))&gt;3),"",VLOOKUP(A4,$V$3:$X$130,3,0))</f>
        <v>3</v>
      </c>
      <c r="E4" s="422">
        <f ca="1">IF(A4&gt;Start.listina!$K$7,"",IF(MIN(F4:K4)&gt;Start.listina!$Y$4,D4,MIN(F4:K4)))</f>
        <v>4</v>
      </c>
      <c r="F4" s="318">
        <f ca="1">IF(TYPE(VLOOKUP(C4,Konečné_pořadí_1_16!$B$2:$D$17,3,0))&lt;4,VLOOKUP(C4,Konečné_pořadí_1_16!$B$2:$D$17,3,0),999)</f>
        <v>999</v>
      </c>
      <c r="G4" s="318">
        <f ca="1">IF(TYPE(VLOOKUP(C4,'KO64'!$D$4:$D$129,1,0))&lt;4,64,999)</f>
        <v>64</v>
      </c>
      <c r="H4" s="318">
        <f ca="1">IF(TYPE(VLOOKUP(C4,'KO32'!$D$4:$D$65,1,0))&lt;4,32,999)</f>
        <v>32</v>
      </c>
      <c r="I4" s="318">
        <f ca="1">IF(TYPE(VLOOKUP(C4,'KO16'!$D$4:$D$33,1,0))&lt;4,16,999)</f>
        <v>16</v>
      </c>
      <c r="J4" s="318">
        <f ca="1">IF(TYPE(VLOOKUP(C4,'KO8'!$D$4:$D$17,1,0))&lt;4,8,999)</f>
        <v>8</v>
      </c>
      <c r="K4" s="318">
        <f ca="1">IF(TYPE(VLOOKUP(C4,'KO4'!$D$4:$D$9,1,0))&lt;4,4,999)</f>
        <v>4</v>
      </c>
      <c r="M4" s="319">
        <v>2</v>
      </c>
      <c r="O4" s="318">
        <f t="shared" ref="O4:O67" ca="1" si="8">AH4+AQ4+AZ4+BI4+BR4+CA4</f>
        <v>4</v>
      </c>
      <c r="P4" s="318">
        <f t="shared" ref="P4:P67" ca="1" si="9">AI4+AR4+BA4+BJ4+BS4+CB4</f>
        <v>38</v>
      </c>
      <c r="Q4" s="318">
        <f t="shared" ca="1" si="0"/>
        <v>7</v>
      </c>
      <c r="R4" s="318">
        <f t="shared" ca="1" si="1"/>
        <v>7</v>
      </c>
      <c r="S4" s="318">
        <f t="shared" ref="S4:S67" ca="1" si="10">VLOOKUP($Z4,$A$3:$Q$131,17,0)+VLOOKUP($AA4,$A$3:$Q$131,17,0)+VLOOKUP($AB4,$A$3:$Q$131,17,0)+VLOOKUP($AC4,$A$3:$Q$131,17,0)+VLOOKUP($AD4,$A$3:$Q$131,17,0)+VLOOKUP($AE4,$A$3:$Q$131,17,0)</f>
        <v>39</v>
      </c>
      <c r="T4" s="318">
        <f t="shared" ref="T4:T67" ca="1" si="11">AJ4+AS4+BB4+BK4+BT4+CC4</f>
        <v>0</v>
      </c>
      <c r="U4" s="397">
        <f>ROW()-2</f>
        <v>2</v>
      </c>
      <c r="V4" s="397">
        <v>1</v>
      </c>
      <c r="W4" s="423" t="str">
        <f ca="1">IF($V4="","",CONCATENATE(TEXT($O4,"0"),IF(Start.listina!$Y$5="","",TEXT(500+$P4,"0000")),IF(Start.listina!$Y$6="","",CHOOSE(Start.listina!$Y$7,TEXT($Q4,"00"),CONCATENATE(TEXT($Q4,"00"),TEXT($S4,"000")), TEXT($R4,"00"))),TEXT(500+$P4,"0000"),IF(Start.listina!$Y$8="","",TEXT($T4,"0")),TEXT(999999*RAND(),"000000")))</f>
        <v>4070390538402519</v>
      </c>
      <c r="X4" s="399">
        <f t="shared" ref="X4:X67" si="12">ROW()-2</f>
        <v>2</v>
      </c>
      <c r="Y4" s="397">
        <f t="shared" ca="1" si="2"/>
        <v>4</v>
      </c>
      <c r="Z4" s="318">
        <f t="shared" ref="Z4:Z67" ca="1" si="13">$AG4</f>
        <v>30</v>
      </c>
      <c r="AA4" s="318">
        <f t="shared" ref="AA4:AA67" ca="1" si="14">$AP4</f>
        <v>8</v>
      </c>
      <c r="AB4" s="318">
        <f t="shared" ref="AB4:AB67" ca="1" si="15">$AY4</f>
        <v>5</v>
      </c>
      <c r="AC4" s="318">
        <f t="shared" ref="AC4:AC67" ca="1" si="16">$BH4</f>
        <v>28</v>
      </c>
      <c r="AD4" s="318">
        <f t="shared" ref="AD4:AD67" ca="1" si="17">$BQ4</f>
        <v>0</v>
      </c>
      <c r="AE4" s="318">
        <f t="shared" ref="AE4:AE67" ca="1" si="18">$BZ4</f>
        <v>0</v>
      </c>
      <c r="AG4" s="318">
        <f ca="1">IF(TYPE(VLOOKUP($A4,'1.kolo'!$L$3:$L$66,1,0))&gt;3,VLOOKUP($A4,'1.kolo'!$K$3:$L$66,2,0),VLOOKUP($A4,'1.kolo'!$L$3:$O$66,4,0))</f>
        <v>30</v>
      </c>
      <c r="AH4" s="318">
        <f ca="1">IF(TYPE(VLOOKUP($A4,'1.kolo'!$L$3:$L$66,1,0))&gt;3,VLOOKUP($A4,'1.kolo'!$O$3:$Q$66,2,0),VLOOKUP($A4,'1.kolo'!$L$3:$N$66,2,0))</f>
        <v>1</v>
      </c>
      <c r="AI4" s="318">
        <f ca="1">IF(TYPE(VLOOKUP($A4,'1.kolo'!$L$3:$L$66,1,0))&gt;3,VLOOKUP($A4,'1.kolo'!$O$3:$Q$66,3,0),VLOOKUP($A4,'1.kolo'!$L$3:$N$66,3,0))</f>
        <v>13</v>
      </c>
      <c r="AJ4" s="318">
        <f t="shared" ref="AJ4:AJ67" ca="1" si="19">IF(AND(VLOOKUP($AG4,$A$3:$B$130,2,0)=1,AH4=1),1,0)</f>
        <v>0</v>
      </c>
      <c r="AK4" s="318">
        <v>2</v>
      </c>
      <c r="AL4" s="424"/>
      <c r="AP4" s="318">
        <f ca="1">IF(TYPE(VLOOKUP($A4,'2.kolo'!$L$3:$L$66,1,0))&gt;3,IF(TYPE(VLOOKUP($A4,'2.kolo'!$K$3:$L$66,2,0))&gt;3,0,VLOOKUP($A4,'2.kolo'!$K$3:$L$66,2,0)),VLOOKUP($A4,'2.kolo'!$L$3:$O$66,4,0))</f>
        <v>8</v>
      </c>
      <c r="AQ4" s="318">
        <f ca="1">IF(TYPE(VLOOKUP($A4,'2.kolo'!$L$3:$L$66,1,0))&gt;3,IF(TYPE(VLOOKUP($A4,'2.kolo'!$O$3:$Q$66,2,0))&gt;3,0,VLOOKUP($A4,'2.kolo'!$O$3:$Q$66,2,0)),VLOOKUP($A4,'2.kolo'!$L$3:$N$66,2,0))</f>
        <v>1</v>
      </c>
      <c r="AR4" s="318">
        <f ca="1">IF(TYPE(VLOOKUP($A4,'2.kolo'!$L$3:$L$66,1,0))&gt;3,IF(TYPE(VLOOKUP($A4,'2.kolo'!$O$3:$Q$66,3,0))&gt;3,0,VLOOKUP($A4,'2.kolo'!$O$3:$Q$66,3,0)),VLOOKUP($A4,'2.kolo'!$L$3:$N$66,3,0))</f>
        <v>7</v>
      </c>
      <c r="AS4" s="318">
        <f t="shared" ref="AS4:AS67" ca="1" si="20">IF(AND(VLOOKUP($AG4,$A$3:$B$130,2,0)=1,AQ4=1),1,0)</f>
        <v>0</v>
      </c>
      <c r="AT4" s="397">
        <v>27</v>
      </c>
      <c r="AU4" s="424" t="str">
        <f ca="1">IF(AT4="","",CONCATENATE(TEXT($O4,"0"),IF(Start.listina!$Y$5="","",TEXT(500+$P4,"000")),TEXT(999999*RAND(),"000000")))</f>
        <v>4382013</v>
      </c>
      <c r="AV4" s="318">
        <f t="shared" ca="1" si="3"/>
        <v>0</v>
      </c>
      <c r="AY4" s="318">
        <f ca="1">IF(TYPE(VLOOKUP($A4,'3.kolo'!$L$3:$L$66,1,0))&gt;3,IF(TYPE(VLOOKUP($A4,'3.kolo'!$K$3:$L$66,2,0))&gt;3,0,VLOOKUP($A4,'3.kolo'!$K$3:$L$66,2,0)),VLOOKUP($A4,'3.kolo'!$L$3:$O$66,4,0))</f>
        <v>5</v>
      </c>
      <c r="AZ4" s="318">
        <f ca="1">IF(TYPE(VLOOKUP($A4,'3.kolo'!$L$3:$L$66,1,0))&gt;3,IF(TYPE(VLOOKUP($A4,'3.kolo'!$O$3:$Q$66,2,0))&gt;3,0,VLOOKUP($A4,'3.kolo'!$O$3:$Q$66,2,0)),VLOOKUP($A4,'3.kolo'!$L$3:$N$66,2,0))</f>
        <v>1</v>
      </c>
      <c r="BA4" s="318">
        <f ca="1">IF(TYPE(VLOOKUP($A4,'3.kolo'!$L$3:$L$66,1,0))&gt;3,IF(TYPE(VLOOKUP($A4,'3.kolo'!$O$3:$Q$66,3,0))&gt;3,0,VLOOKUP($A4,'3.kolo'!$O$3:$Q$66,3,0)),VLOOKUP($A4,'3.kolo'!$L$3:$N$66,3,0))</f>
        <v>8</v>
      </c>
      <c r="BB4" s="318">
        <f t="shared" ref="BB4:BB67" ca="1" si="21">IF(AND(VLOOKUP($AG4,$A$3:$B$130,2,0)=1,AZ4=1),1,0)</f>
        <v>0</v>
      </c>
      <c r="BC4" s="397">
        <v>44</v>
      </c>
      <c r="BD4" s="424" t="str">
        <f ca="1">IF(BC4="","",CONCATENATE(TEXT($O4,"0"),IF(Start.listina!$Y$5="","",TEXT(500+$P4,"000")),TEXT(999999*RAND(),"000000")))</f>
        <v>4706788</v>
      </c>
      <c r="BE4" s="318">
        <f t="shared" ca="1" si="4"/>
        <v>0</v>
      </c>
      <c r="BH4" s="318">
        <f ca="1">IF(TYPE(VLOOKUP($A4,'4.kolo'!$L$3:$L$66,1,0))&gt;3,IF(TYPE(VLOOKUP($A4,'4.kolo'!$K$3:$L$66,2,0))&gt;3,0,VLOOKUP($A4,'4.kolo'!$K$3:$L$66,2,0)),VLOOKUP($A4,'4.kolo'!$L$3:$O$66,4,0))</f>
        <v>28</v>
      </c>
      <c r="BI4" s="318">
        <f ca="1">IF(TYPE(VLOOKUP($A4,'4.kolo'!$L$3:$L$66,1,0))&gt;3,IF(TYPE(VLOOKUP($A4,'4.kolo'!$O$3:$Q$66,2,0))&gt;3,0,VLOOKUP($A4,'4.kolo'!$O$3:$Q$66,2,0)),VLOOKUP($A4,'4.kolo'!$L$3:$N$66,2,0))</f>
        <v>1</v>
      </c>
      <c r="BJ4" s="318">
        <f ca="1">IF(TYPE(VLOOKUP($A4,'4.kolo'!$L$3:$L$66,1,0))&gt;3,IF(TYPE(VLOOKUP($A4,'4.kolo'!$O$3:$Q$66,3,0))&gt;3,0,VLOOKUP($A4,'4.kolo'!$O$3:$Q$66,3,0)),VLOOKUP($A4,'4.kolo'!$L$3:$N$66,3,0))</f>
        <v>10</v>
      </c>
      <c r="BK4" s="318">
        <f t="shared" ref="BK4:BK67" ca="1" si="22">IF(AND(VLOOKUP($AG4,$A$3:$B$130,2,0)=1,BI4=1),1,0)</f>
        <v>0</v>
      </c>
      <c r="BL4" s="397">
        <v>21</v>
      </c>
      <c r="BM4" s="424" t="str">
        <f ca="1">IF(BL4="","",CONCATENATE(TEXT($O4,"0"),IF(Start.listina!$Y$5="","",TEXT(500+$P4,"000")),TEXT(999999*RAND(),"000000")))</f>
        <v>4486763</v>
      </c>
      <c r="BN4" s="318">
        <f t="shared" ca="1" si="5"/>
        <v>0</v>
      </c>
      <c r="BQ4" s="318">
        <f ca="1">IF(TYPE(VLOOKUP($A4,'5.kolo'!$L$3:$L$66,1,0))&gt;3,IF(TYPE(VLOOKUP($A4,'5.kolo'!$K$3:$L$66,2,0))&gt;3,0,VLOOKUP($A4,'5.kolo'!$K$3:$L$66,2,0)),VLOOKUP($A4,'5.kolo'!$L$3:$O$66,4,0))</f>
        <v>0</v>
      </c>
      <c r="BR4" s="318">
        <f ca="1">IF(TYPE(VLOOKUP($A4,'5.kolo'!$L$3:$L$66,1,0))&gt;3,IF(TYPE(VLOOKUP($A4,'5.kolo'!$O$3:$Q$66,2,0))&gt;3,0,VLOOKUP($A4,'5.kolo'!$O$3:$Q$66,2,0)),VLOOKUP($A4,'5.kolo'!$L$3:$N$66,2,0))</f>
        <v>0</v>
      </c>
      <c r="BS4" s="318">
        <f ca="1">IF(TYPE(VLOOKUP($A4,'5.kolo'!$L$3:$L$66,1,0))&gt;3,IF(TYPE(VLOOKUP($A4,'5.kolo'!$O$3:$Q$66,3,0))&gt;3,0,VLOOKUP($A4,'5.kolo'!$O$3:$Q$66,3,0)),VLOOKUP($A4,'5.kolo'!$L$3:$N$66,3,0))</f>
        <v>0</v>
      </c>
      <c r="BT4" s="318">
        <f t="shared" ref="BT4:BT67" ca="1" si="23">IF(AND(VLOOKUP($AG4,$A$3:$B$130,2,0)=1,BR4=1),1,0)</f>
        <v>0</v>
      </c>
      <c r="BU4" s="397"/>
      <c r="BV4" s="424" t="str">
        <f ca="1">IF(BU4="","",CONCATENATE(TEXT($O4,"0"),IF(Start.listina!$Y$5="","",TEXT(500+$P4,"000")),TEXT(999999*RAND(),"000000")))</f>
        <v/>
      </c>
      <c r="BW4" s="318">
        <f t="shared" ca="1" si="6"/>
        <v>0</v>
      </c>
      <c r="BZ4" s="318">
        <f ca="1">IF(TYPE(VLOOKUP($A4,'6.kolo'!$L$3:$L$66,1,0))&gt;3,IF(TYPE(VLOOKUP($A4,'6.kolo'!$K$3:$L$66,2,0))&gt;3,0,VLOOKUP($A4,'6.kolo'!$K$3:$L$66,2,0)),VLOOKUP($A4,'6.kolo'!$L$3:$O$66,4,0))</f>
        <v>0</v>
      </c>
      <c r="CA4" s="318">
        <f ca="1">IF(TYPE(VLOOKUP($A4,'6.kolo'!$L$3:$L$66,1,0))&gt;3,IF(TYPE(VLOOKUP($A4,'6.kolo'!$O$3:$Q$66,2,0))&gt;3,0,VLOOKUP($A4,'6.kolo'!$O$3:$Q$66,2,0)),VLOOKUP($A4,'6.kolo'!$L$3:$N$66,2,0))</f>
        <v>0</v>
      </c>
      <c r="CB4" s="318">
        <f ca="1">IF(TYPE(VLOOKUP($A4,'6.kolo'!$L$3:$L$66,1,0))&gt;3,IF(TYPE(VLOOKUP($A4,'6.kolo'!$O$3:$Q$66,3,0))&gt;3,0,VLOOKUP($A4,'6.kolo'!$O$3:$Q$66,3,0)),VLOOKUP($A4,'6.kolo'!$L$3:$N$66,3,0))</f>
        <v>0</v>
      </c>
      <c r="CC4" s="318">
        <f t="shared" ref="CC4:CC67" ca="1" si="24">IF(AND(VLOOKUP($AG4,$A$3:$B$130,2,0)=1,CA4=1),1,0)</f>
        <v>0</v>
      </c>
      <c r="CD4" s="397"/>
      <c r="CE4" s="424" t="str">
        <f ca="1">IF(CD4="","",CONCATENATE(TEXT($O4,"0"),IF(Start.listina!$Y$5="","",TEXT(500+$P4,"000")),TEXT(999999*RAND(),"000000")))</f>
        <v/>
      </c>
      <c r="CF4" s="318">
        <f t="shared" ca="1" si="7"/>
        <v>0</v>
      </c>
    </row>
    <row r="5" spans="1:84" x14ac:dyDescent="0.4">
      <c r="A5" s="318">
        <f ca="1">IF(OR(Start.listina!H13&gt;Start.listina!$K$7,Start.listina!G13=TRUE),"",Start.listina!H13)</f>
        <v>3</v>
      </c>
      <c r="B5" s="318">
        <f ca="1">IF($A5&gt;Start.listina!$K$7,"",INT(($A5-1)/Start.listina!$O$7)+1)</f>
        <v>1</v>
      </c>
      <c r="C5" s="421" t="str">
        <f ca="1">IF(OR(Start.listina!H13&gt;Start.listina!$K$7,Start.listina!G13=TRUE)," - ",Start.listina!AL13)</f>
        <v>3 PC Sokol Lipník - Froňková Kateřina</v>
      </c>
      <c r="D5" s="318">
        <f ca="1">IF(OR(A5&gt;Start.listina!$K$7,TYPE(VLOOKUP(A5,$V$3:$X$130,3,0))&gt;3),"",VLOOKUP(A5,$V$3:$X$130,3,0))</f>
        <v>24</v>
      </c>
      <c r="E5" s="422">
        <f ca="1">IF(A5&gt;Start.listina!$K$7,"",IF(MIN(F5:K5)&gt;Start.listina!$Y$4,D5,MIN(F5:K5)))</f>
        <v>24</v>
      </c>
      <c r="F5" s="318">
        <f ca="1">IF(TYPE(VLOOKUP(C5,Konečné_pořadí_1_16!$B$2:$D$17,3,0))&lt;4,VLOOKUP(C5,Konečné_pořadí_1_16!$B$2:$D$17,3,0),999)</f>
        <v>999</v>
      </c>
      <c r="G5" s="318">
        <f ca="1">IF(TYPE(VLOOKUP(C5,'KO64'!$D$4:$D$129,1,0))&lt;4,64,999)</f>
        <v>999</v>
      </c>
      <c r="H5" s="318">
        <f ca="1">IF(TYPE(VLOOKUP(C5,'KO32'!$D$4:$D$65,1,0))&lt;4,32,999)</f>
        <v>999</v>
      </c>
      <c r="I5" s="318">
        <f ca="1">IF(TYPE(VLOOKUP(C5,'KO16'!$D$4:$D$33,1,0))&lt;4,16,999)</f>
        <v>999</v>
      </c>
      <c r="J5" s="318">
        <f ca="1">IF(TYPE(VLOOKUP(C5,'KO8'!$D$4:$D$17,1,0))&lt;4,8,999)</f>
        <v>999</v>
      </c>
      <c r="K5" s="318">
        <f ca="1">IF(TYPE(VLOOKUP(C5,'KO4'!$D$4:$D$9,1,0))&lt;4,4,999)</f>
        <v>999</v>
      </c>
      <c r="M5" s="319">
        <v>3</v>
      </c>
      <c r="O5" s="318">
        <f t="shared" ca="1" si="8"/>
        <v>2</v>
      </c>
      <c r="P5" s="318">
        <f t="shared" ca="1" si="9"/>
        <v>7</v>
      </c>
      <c r="Q5" s="318">
        <f t="shared" ca="1" si="0"/>
        <v>9</v>
      </c>
      <c r="R5" s="318">
        <f t="shared" ca="1" si="1"/>
        <v>2</v>
      </c>
      <c r="S5" s="318">
        <f t="shared" ca="1" si="10"/>
        <v>32</v>
      </c>
      <c r="T5" s="318">
        <f t="shared" ca="1" si="11"/>
        <v>0</v>
      </c>
      <c r="U5" s="397">
        <f t="shared" ref="U5:U68" si="25">ROW()-2</f>
        <v>3</v>
      </c>
      <c r="V5" s="397">
        <v>2</v>
      </c>
      <c r="W5" s="423" t="str">
        <f ca="1">IF($V5="","",CONCATENATE(TEXT($O5,"0"),IF(Start.listina!$Y$5="","",TEXT(500+$P5,"0000")),IF(Start.listina!$Y$6="","",CHOOSE(Start.listina!$Y$7,TEXT($Q5,"00"),CONCATENATE(TEXT($Q5,"00"),TEXT($S5,"000")), TEXT($R5,"00"))),TEXT(500+$P5,"0000"),IF(Start.listina!$Y$8="","",TEXT($T5,"0")),TEXT(999999*RAND(),"000000")))</f>
        <v>2090320507112293</v>
      </c>
      <c r="X5" s="399">
        <f t="shared" si="12"/>
        <v>3</v>
      </c>
      <c r="Y5" s="397">
        <f t="shared" ca="1" si="2"/>
        <v>4</v>
      </c>
      <c r="Z5" s="318">
        <f t="shared" ca="1" si="13"/>
        <v>31</v>
      </c>
      <c r="AA5" s="318">
        <f t="shared" ca="1" si="14"/>
        <v>4</v>
      </c>
      <c r="AB5" s="318">
        <f t="shared" ca="1" si="15"/>
        <v>35</v>
      </c>
      <c r="AC5" s="318">
        <f t="shared" ca="1" si="16"/>
        <v>9</v>
      </c>
      <c r="AD5" s="318">
        <f t="shared" ca="1" si="17"/>
        <v>0</v>
      </c>
      <c r="AE5" s="318">
        <f t="shared" ca="1" si="18"/>
        <v>0</v>
      </c>
      <c r="AG5" s="318">
        <f ca="1">IF(TYPE(VLOOKUP($A5,'1.kolo'!$L$3:$L$66,1,0))&gt;3,VLOOKUP($A5,'1.kolo'!$K$3:$L$66,2,0),VLOOKUP($A5,'1.kolo'!$L$3:$O$66,4,0))</f>
        <v>31</v>
      </c>
      <c r="AH5" s="318">
        <f ca="1">IF(TYPE(VLOOKUP($A5,'1.kolo'!$L$3:$L$66,1,0))&gt;3,VLOOKUP($A5,'1.kolo'!$O$3:$Q$66,2,0),VLOOKUP($A5,'1.kolo'!$L$3:$N$66,2,0))</f>
        <v>1</v>
      </c>
      <c r="AI5" s="318">
        <f ca="1">IF(TYPE(VLOOKUP($A5,'1.kolo'!$L$3:$L$66,1,0))&gt;3,VLOOKUP($A5,'1.kolo'!$O$3:$Q$66,3,0),VLOOKUP($A5,'1.kolo'!$L$3:$N$66,3,0))</f>
        <v>12</v>
      </c>
      <c r="AJ5" s="318">
        <f t="shared" ca="1" si="19"/>
        <v>0</v>
      </c>
      <c r="AK5" s="318">
        <v>3</v>
      </c>
      <c r="AL5" s="424"/>
      <c r="AP5" s="318">
        <f ca="1">IF(TYPE(VLOOKUP($A5,'2.kolo'!$L$3:$L$66,1,0))&gt;3,IF(TYPE(VLOOKUP($A5,'2.kolo'!$K$3:$L$66,2,0))&gt;3,0,VLOOKUP($A5,'2.kolo'!$K$3:$L$66,2,0)),VLOOKUP($A5,'2.kolo'!$L$3:$O$66,4,0))</f>
        <v>4</v>
      </c>
      <c r="AQ5" s="318">
        <f ca="1">IF(TYPE(VLOOKUP($A5,'2.kolo'!$L$3:$L$66,1,0))&gt;3,IF(TYPE(VLOOKUP($A5,'2.kolo'!$O$3:$Q$66,2,0))&gt;3,0,VLOOKUP($A5,'2.kolo'!$O$3:$Q$66,2,0)),VLOOKUP($A5,'2.kolo'!$L$3:$N$66,2,0))</f>
        <v>0</v>
      </c>
      <c r="AR5" s="318">
        <f ca="1">IF(TYPE(VLOOKUP($A5,'2.kolo'!$L$3:$L$66,1,0))&gt;3,IF(TYPE(VLOOKUP($A5,'2.kolo'!$O$3:$Q$66,3,0))&gt;3,0,VLOOKUP($A5,'2.kolo'!$O$3:$Q$66,3,0)),VLOOKUP($A5,'2.kolo'!$L$3:$N$66,3,0))</f>
        <v>-10</v>
      </c>
      <c r="AS5" s="318">
        <f t="shared" ca="1" si="20"/>
        <v>0</v>
      </c>
      <c r="AT5" s="397">
        <v>10</v>
      </c>
      <c r="AU5" s="424" t="str">
        <f ca="1">IF(AT5="","",CONCATENATE(TEXT($O5,"0"),IF(Start.listina!$Y$5="","",TEXT(500+$P5,"000")),TEXT(999999*RAND(),"000000")))</f>
        <v>2985674</v>
      </c>
      <c r="AV5" s="318">
        <f t="shared" ca="1" si="3"/>
        <v>0</v>
      </c>
      <c r="AY5" s="318">
        <f ca="1">IF(TYPE(VLOOKUP($A5,'3.kolo'!$L$3:$L$66,1,0))&gt;3,IF(TYPE(VLOOKUP($A5,'3.kolo'!$K$3:$L$66,2,0))&gt;3,0,VLOOKUP($A5,'3.kolo'!$K$3:$L$66,2,0)),VLOOKUP($A5,'3.kolo'!$L$3:$O$66,4,0))</f>
        <v>35</v>
      </c>
      <c r="AZ5" s="318">
        <f ca="1">IF(TYPE(VLOOKUP($A5,'3.kolo'!$L$3:$L$66,1,0))&gt;3,IF(TYPE(VLOOKUP($A5,'3.kolo'!$O$3:$Q$66,2,0))&gt;3,0,VLOOKUP($A5,'3.kolo'!$O$3:$Q$66,2,0)),VLOOKUP($A5,'3.kolo'!$L$3:$N$66,2,0))</f>
        <v>1</v>
      </c>
      <c r="BA5" s="318">
        <f ca="1">IF(TYPE(VLOOKUP($A5,'3.kolo'!$L$3:$L$66,1,0))&gt;3,IF(TYPE(VLOOKUP($A5,'3.kolo'!$O$3:$Q$66,3,0))&gt;3,0,VLOOKUP($A5,'3.kolo'!$O$3:$Q$66,3,0)),VLOOKUP($A5,'3.kolo'!$L$3:$N$66,3,0))</f>
        <v>10</v>
      </c>
      <c r="BB5" s="318">
        <f t="shared" ca="1" si="21"/>
        <v>0</v>
      </c>
      <c r="BC5" s="397">
        <v>57</v>
      </c>
      <c r="BD5" s="424" t="str">
        <f ca="1">IF(BC5="","",CONCATENATE(TEXT($O5,"0"),IF(Start.listina!$Y$5="","",TEXT(500+$P5,"000")),TEXT(999999*RAND(),"000000")))</f>
        <v>2327214</v>
      </c>
      <c r="BE5" s="318">
        <f t="shared" ca="1" si="4"/>
        <v>0</v>
      </c>
      <c r="BH5" s="318">
        <f ca="1">IF(TYPE(VLOOKUP($A5,'4.kolo'!$L$3:$L$66,1,0))&gt;3,IF(TYPE(VLOOKUP($A5,'4.kolo'!$K$3:$L$66,2,0))&gt;3,0,VLOOKUP($A5,'4.kolo'!$K$3:$L$66,2,0)),VLOOKUP($A5,'4.kolo'!$L$3:$O$66,4,0))</f>
        <v>9</v>
      </c>
      <c r="BI5" s="318">
        <f ca="1">IF(TYPE(VLOOKUP($A5,'4.kolo'!$L$3:$L$66,1,0))&gt;3,IF(TYPE(VLOOKUP($A5,'4.kolo'!$O$3:$Q$66,2,0))&gt;3,0,VLOOKUP($A5,'4.kolo'!$O$3:$Q$66,2,0)),VLOOKUP($A5,'4.kolo'!$L$3:$N$66,2,0))</f>
        <v>0</v>
      </c>
      <c r="BJ5" s="318">
        <f ca="1">IF(TYPE(VLOOKUP($A5,'4.kolo'!$L$3:$L$66,1,0))&gt;3,IF(TYPE(VLOOKUP($A5,'4.kolo'!$O$3:$Q$66,3,0))&gt;3,0,VLOOKUP($A5,'4.kolo'!$O$3:$Q$66,3,0)),VLOOKUP($A5,'4.kolo'!$L$3:$N$66,3,0))</f>
        <v>-5</v>
      </c>
      <c r="BK5" s="318">
        <f t="shared" ca="1" si="22"/>
        <v>0</v>
      </c>
      <c r="BL5" s="397">
        <v>2</v>
      </c>
      <c r="BM5" s="424" t="str">
        <f ca="1">IF(BL5="","",CONCATENATE(TEXT($O5,"0"),IF(Start.listina!$Y$5="","",TEXT(500+$P5,"000")),TEXT(999999*RAND(),"000000")))</f>
        <v>2741182</v>
      </c>
      <c r="BN5" s="318">
        <f t="shared" ca="1" si="5"/>
        <v>0</v>
      </c>
      <c r="BQ5" s="318">
        <f ca="1">IF(TYPE(VLOOKUP($A5,'5.kolo'!$L$3:$L$66,1,0))&gt;3,IF(TYPE(VLOOKUP($A5,'5.kolo'!$K$3:$L$66,2,0))&gt;3,0,VLOOKUP($A5,'5.kolo'!$K$3:$L$66,2,0)),VLOOKUP($A5,'5.kolo'!$L$3:$O$66,4,0))</f>
        <v>0</v>
      </c>
      <c r="BR5" s="318">
        <f ca="1">IF(TYPE(VLOOKUP($A5,'5.kolo'!$L$3:$L$66,1,0))&gt;3,IF(TYPE(VLOOKUP($A5,'5.kolo'!$O$3:$Q$66,2,0))&gt;3,0,VLOOKUP($A5,'5.kolo'!$O$3:$Q$66,2,0)),VLOOKUP($A5,'5.kolo'!$L$3:$N$66,2,0))</f>
        <v>0</v>
      </c>
      <c r="BS5" s="318">
        <f ca="1">IF(TYPE(VLOOKUP($A5,'5.kolo'!$L$3:$L$66,1,0))&gt;3,IF(TYPE(VLOOKUP($A5,'5.kolo'!$O$3:$Q$66,3,0))&gt;3,0,VLOOKUP($A5,'5.kolo'!$O$3:$Q$66,3,0)),VLOOKUP($A5,'5.kolo'!$L$3:$N$66,3,0))</f>
        <v>0</v>
      </c>
      <c r="BT5" s="318">
        <f t="shared" ca="1" si="23"/>
        <v>0</v>
      </c>
      <c r="BU5" s="397"/>
      <c r="BV5" s="424" t="str">
        <f ca="1">IF(BU5="","",CONCATENATE(TEXT($O5,"0"),IF(Start.listina!$Y$5="","",TEXT(500+$P5,"000")),TEXT(999999*RAND(),"000000")))</f>
        <v/>
      </c>
      <c r="BW5" s="318">
        <f t="shared" ca="1" si="6"/>
        <v>0</v>
      </c>
      <c r="BZ5" s="318">
        <f ca="1">IF(TYPE(VLOOKUP($A5,'6.kolo'!$L$3:$L$66,1,0))&gt;3,IF(TYPE(VLOOKUP($A5,'6.kolo'!$K$3:$L$66,2,0))&gt;3,0,VLOOKUP($A5,'6.kolo'!$K$3:$L$66,2,0)),VLOOKUP($A5,'6.kolo'!$L$3:$O$66,4,0))</f>
        <v>0</v>
      </c>
      <c r="CA5" s="318">
        <f ca="1">IF(TYPE(VLOOKUP($A5,'6.kolo'!$L$3:$L$66,1,0))&gt;3,IF(TYPE(VLOOKUP($A5,'6.kolo'!$O$3:$Q$66,2,0))&gt;3,0,VLOOKUP($A5,'6.kolo'!$O$3:$Q$66,2,0)),VLOOKUP($A5,'6.kolo'!$L$3:$N$66,2,0))</f>
        <v>0</v>
      </c>
      <c r="CB5" s="318">
        <f ca="1">IF(TYPE(VLOOKUP($A5,'6.kolo'!$L$3:$L$66,1,0))&gt;3,IF(TYPE(VLOOKUP($A5,'6.kolo'!$O$3:$Q$66,3,0))&gt;3,0,VLOOKUP($A5,'6.kolo'!$O$3:$Q$66,3,0)),VLOOKUP($A5,'6.kolo'!$L$3:$N$66,3,0))</f>
        <v>0</v>
      </c>
      <c r="CC5" s="318">
        <f t="shared" ca="1" si="24"/>
        <v>0</v>
      </c>
      <c r="CD5" s="397"/>
      <c r="CE5" s="424" t="str">
        <f ca="1">IF(CD5="","",CONCATENATE(TEXT($O5,"0"),IF(Start.listina!$Y$5="","",TEXT(500+$P5,"000")),TEXT(999999*RAND(),"000000")))</f>
        <v/>
      </c>
      <c r="CF5" s="318">
        <f t="shared" ca="1" si="7"/>
        <v>0</v>
      </c>
    </row>
    <row r="6" spans="1:84" x14ac:dyDescent="0.4">
      <c r="A6" s="318">
        <f ca="1">IF(OR(Start.listina!H14&gt;Start.listina!$K$7,Start.listina!G14=TRUE),"",Start.listina!H14)</f>
        <v>4</v>
      </c>
      <c r="B6" s="318">
        <f ca="1">IF($A6&gt;Start.listina!$K$7,"",INT(($A6-1)/Start.listina!$O$7)+1)</f>
        <v>1</v>
      </c>
      <c r="C6" s="421" t="str">
        <f ca="1">IF(OR(Start.listina!H14&gt;Start.listina!$K$7,Start.listina!G14=TRUE)," - ",Start.listina!AL14)</f>
        <v>4 1. KPK Vrchlabí - Srnský Lubomír</v>
      </c>
      <c r="D6" s="318">
        <f ca="1">IF(OR(A6&gt;Start.listina!$K$7,TYPE(VLOOKUP(A6,$V$3:$X$130,3,0))&gt;3),"",VLOOKUP(A6,$V$3:$X$130,3,0))</f>
        <v>1</v>
      </c>
      <c r="E6" s="422">
        <f ca="1">IF(A6&gt;Start.listina!$K$7,"",IF(MIN(F6:K6)&gt;Start.listina!$Y$4,D6,MIN(F6:K6)))</f>
        <v>1</v>
      </c>
      <c r="F6" s="318">
        <f ca="1">IF(TYPE(VLOOKUP(C6,Konečné_pořadí_1_16!$B$2:$D$17,3,0))&lt;4,VLOOKUP(C6,Konečné_pořadí_1_16!$B$2:$D$17,3,0),999)</f>
        <v>1</v>
      </c>
      <c r="G6" s="318">
        <f ca="1">IF(TYPE(VLOOKUP(C6,'KO64'!$D$4:$D$129,1,0))&lt;4,64,999)</f>
        <v>64</v>
      </c>
      <c r="H6" s="318">
        <f ca="1">IF(TYPE(VLOOKUP(C6,'KO32'!$D$4:$D$65,1,0))&lt;4,32,999)</f>
        <v>32</v>
      </c>
      <c r="I6" s="318">
        <f ca="1">IF(TYPE(VLOOKUP(C6,'KO16'!$D$4:$D$33,1,0))&lt;4,16,999)</f>
        <v>16</v>
      </c>
      <c r="J6" s="318">
        <f ca="1">IF(TYPE(VLOOKUP(C6,'KO8'!$D$4:$D$17,1,0))&lt;4,8,999)</f>
        <v>8</v>
      </c>
      <c r="K6" s="318">
        <f ca="1">IF(TYPE(VLOOKUP(C6,'KO4'!$D$4:$D$9,1,0))&lt;4,4,999)</f>
        <v>4</v>
      </c>
      <c r="M6" s="319">
        <v>4</v>
      </c>
      <c r="O6" s="318">
        <f t="shared" ca="1" si="8"/>
        <v>4</v>
      </c>
      <c r="P6" s="318">
        <f t="shared" ca="1" si="9"/>
        <v>21</v>
      </c>
      <c r="Q6" s="318">
        <f t="shared" ca="1" si="0"/>
        <v>9</v>
      </c>
      <c r="R6" s="318">
        <f t="shared" ca="1" si="1"/>
        <v>9</v>
      </c>
      <c r="S6" s="318">
        <f t="shared" ca="1" si="10"/>
        <v>40</v>
      </c>
      <c r="T6" s="318">
        <f t="shared" ca="1" si="11"/>
        <v>0</v>
      </c>
      <c r="U6" s="397">
        <f t="shared" si="25"/>
        <v>4</v>
      </c>
      <c r="V6" s="397">
        <v>7</v>
      </c>
      <c r="W6" s="423" t="str">
        <f ca="1">IF($V6="","",CONCATENATE(TEXT($O6,"0"),IF(Start.listina!$Y$5="","",TEXT(500+$P6,"0000")),IF(Start.listina!$Y$6="","",CHOOSE(Start.listina!$Y$7,TEXT($Q6,"00"),CONCATENATE(TEXT($Q6,"00"),TEXT($S6,"000")), TEXT($R6,"00"))),TEXT(500+$P6,"0000"),IF(Start.listina!$Y$8="","",TEXT($T6,"0")),TEXT(999999*RAND(),"000000")))</f>
        <v>4090400521227564</v>
      </c>
      <c r="X6" s="399">
        <f t="shared" si="12"/>
        <v>4</v>
      </c>
      <c r="Y6" s="397">
        <f t="shared" ca="1" si="2"/>
        <v>4</v>
      </c>
      <c r="Z6" s="318">
        <f t="shared" ca="1" si="13"/>
        <v>32</v>
      </c>
      <c r="AA6" s="318">
        <f t="shared" ca="1" si="14"/>
        <v>3</v>
      </c>
      <c r="AB6" s="318">
        <f t="shared" ca="1" si="15"/>
        <v>34</v>
      </c>
      <c r="AC6" s="318">
        <f t="shared" ca="1" si="16"/>
        <v>23</v>
      </c>
      <c r="AD6" s="318">
        <f t="shared" ca="1" si="17"/>
        <v>0</v>
      </c>
      <c r="AE6" s="318">
        <f t="shared" ca="1" si="18"/>
        <v>0</v>
      </c>
      <c r="AG6" s="318">
        <f ca="1">IF(TYPE(VLOOKUP($A6,'1.kolo'!$L$3:$L$66,1,0))&gt;3,VLOOKUP($A6,'1.kolo'!$K$3:$L$66,2,0),VLOOKUP($A6,'1.kolo'!$L$3:$O$66,4,0))</f>
        <v>32</v>
      </c>
      <c r="AH6" s="318">
        <f ca="1">IF(TYPE(VLOOKUP($A6,'1.kolo'!$L$3:$L$66,1,0))&gt;3,VLOOKUP($A6,'1.kolo'!$O$3:$Q$66,2,0),VLOOKUP($A6,'1.kolo'!$L$3:$N$66,2,0))</f>
        <v>1</v>
      </c>
      <c r="AI6" s="318">
        <f ca="1">IF(TYPE(VLOOKUP($A6,'1.kolo'!$L$3:$L$66,1,0))&gt;3,VLOOKUP($A6,'1.kolo'!$O$3:$Q$66,3,0),VLOOKUP($A6,'1.kolo'!$L$3:$N$66,3,0))</f>
        <v>1</v>
      </c>
      <c r="AJ6" s="318">
        <f t="shared" ca="1" si="19"/>
        <v>0</v>
      </c>
      <c r="AK6" s="318">
        <v>4</v>
      </c>
      <c r="AL6" s="424"/>
      <c r="AP6" s="318">
        <f ca="1">IF(TYPE(VLOOKUP($A6,'2.kolo'!$L$3:$L$66,1,0))&gt;3,IF(TYPE(VLOOKUP($A6,'2.kolo'!$K$3:$L$66,2,0))&gt;3,0,VLOOKUP($A6,'2.kolo'!$K$3:$L$66,2,0)),VLOOKUP($A6,'2.kolo'!$L$3:$O$66,4,0))</f>
        <v>3</v>
      </c>
      <c r="AQ6" s="318">
        <f ca="1">IF(TYPE(VLOOKUP($A6,'2.kolo'!$L$3:$L$66,1,0))&gt;3,IF(TYPE(VLOOKUP($A6,'2.kolo'!$O$3:$Q$66,2,0))&gt;3,0,VLOOKUP($A6,'2.kolo'!$O$3:$Q$66,2,0)),VLOOKUP($A6,'2.kolo'!$L$3:$N$66,2,0))</f>
        <v>1</v>
      </c>
      <c r="AR6" s="318">
        <f ca="1">IF(TYPE(VLOOKUP($A6,'2.kolo'!$L$3:$L$66,1,0))&gt;3,IF(TYPE(VLOOKUP($A6,'2.kolo'!$O$3:$Q$66,3,0))&gt;3,0,VLOOKUP($A6,'2.kolo'!$O$3:$Q$66,3,0)),VLOOKUP($A6,'2.kolo'!$L$3:$N$66,3,0))</f>
        <v>10</v>
      </c>
      <c r="AS6" s="318">
        <f t="shared" ca="1" si="20"/>
        <v>0</v>
      </c>
      <c r="AT6" s="397">
        <v>52</v>
      </c>
      <c r="AU6" s="424" t="str">
        <f ca="1">IF(AT6="","",CONCATENATE(TEXT($O6,"0"),IF(Start.listina!$Y$5="","",TEXT(500+$P6,"000")),TEXT(999999*RAND(),"000000")))</f>
        <v>4124472</v>
      </c>
      <c r="AV6" s="318">
        <f t="shared" ca="1" si="3"/>
        <v>0</v>
      </c>
      <c r="AY6" s="318">
        <f ca="1">IF(TYPE(VLOOKUP($A6,'3.kolo'!$L$3:$L$66,1,0))&gt;3,IF(TYPE(VLOOKUP($A6,'3.kolo'!$K$3:$L$66,2,0))&gt;3,0,VLOOKUP($A6,'3.kolo'!$K$3:$L$66,2,0)),VLOOKUP($A6,'3.kolo'!$L$3:$O$66,4,0))</f>
        <v>34</v>
      </c>
      <c r="AZ6" s="318">
        <f ca="1">IF(TYPE(VLOOKUP($A6,'3.kolo'!$L$3:$L$66,1,0))&gt;3,IF(TYPE(VLOOKUP($A6,'3.kolo'!$O$3:$Q$66,2,0))&gt;3,0,VLOOKUP($A6,'3.kolo'!$O$3:$Q$66,2,0)),VLOOKUP($A6,'3.kolo'!$L$3:$N$66,2,0))</f>
        <v>1</v>
      </c>
      <c r="BA6" s="318">
        <f ca="1">IF(TYPE(VLOOKUP($A6,'3.kolo'!$L$3:$L$66,1,0))&gt;3,IF(TYPE(VLOOKUP($A6,'3.kolo'!$O$3:$Q$66,3,0))&gt;3,0,VLOOKUP($A6,'3.kolo'!$O$3:$Q$66,3,0)),VLOOKUP($A6,'3.kolo'!$L$3:$N$66,3,0))</f>
        <v>8</v>
      </c>
      <c r="BB6" s="318">
        <f t="shared" ca="1" si="21"/>
        <v>0</v>
      </c>
      <c r="BC6" s="397">
        <v>14</v>
      </c>
      <c r="BD6" s="424" t="str">
        <f ca="1">IF(BC6="","",CONCATENATE(TEXT($O6,"0"),IF(Start.listina!$Y$5="","",TEXT(500+$P6,"000")),TEXT(999999*RAND(),"000000")))</f>
        <v>4265397</v>
      </c>
      <c r="BE6" s="318">
        <f t="shared" ca="1" si="4"/>
        <v>0</v>
      </c>
      <c r="BH6" s="318">
        <f ca="1">IF(TYPE(VLOOKUP($A6,'4.kolo'!$L$3:$L$66,1,0))&gt;3,IF(TYPE(VLOOKUP($A6,'4.kolo'!$K$3:$L$66,2,0))&gt;3,0,VLOOKUP($A6,'4.kolo'!$K$3:$L$66,2,0)),VLOOKUP($A6,'4.kolo'!$L$3:$O$66,4,0))</f>
        <v>23</v>
      </c>
      <c r="BI6" s="318">
        <f ca="1">IF(TYPE(VLOOKUP($A6,'4.kolo'!$L$3:$L$66,1,0))&gt;3,IF(TYPE(VLOOKUP($A6,'4.kolo'!$O$3:$Q$66,2,0))&gt;3,0,VLOOKUP($A6,'4.kolo'!$O$3:$Q$66,2,0)),VLOOKUP($A6,'4.kolo'!$L$3:$N$66,2,0))</f>
        <v>1</v>
      </c>
      <c r="BJ6" s="318">
        <f ca="1">IF(TYPE(VLOOKUP($A6,'4.kolo'!$L$3:$L$66,1,0))&gt;3,IF(TYPE(VLOOKUP($A6,'4.kolo'!$O$3:$Q$66,3,0))&gt;3,0,VLOOKUP($A6,'4.kolo'!$O$3:$Q$66,3,0)),VLOOKUP($A6,'4.kolo'!$L$3:$N$66,3,0))</f>
        <v>2</v>
      </c>
      <c r="BK6" s="318">
        <f t="shared" ca="1" si="22"/>
        <v>0</v>
      </c>
      <c r="BL6" s="397">
        <v>28</v>
      </c>
      <c r="BM6" s="424" t="str">
        <f ca="1">IF(BL6="","",CONCATENATE(TEXT($O6,"0"),IF(Start.listina!$Y$5="","",TEXT(500+$P6,"000")),TEXT(999999*RAND(),"000000")))</f>
        <v>4445159</v>
      </c>
      <c r="BN6" s="318">
        <f t="shared" ca="1" si="5"/>
        <v>0</v>
      </c>
      <c r="BQ6" s="318">
        <f ca="1">IF(TYPE(VLOOKUP($A6,'5.kolo'!$L$3:$L$66,1,0))&gt;3,IF(TYPE(VLOOKUP($A6,'5.kolo'!$K$3:$L$66,2,0))&gt;3,0,VLOOKUP($A6,'5.kolo'!$K$3:$L$66,2,0)),VLOOKUP($A6,'5.kolo'!$L$3:$O$66,4,0))</f>
        <v>0</v>
      </c>
      <c r="BR6" s="318">
        <f ca="1">IF(TYPE(VLOOKUP($A6,'5.kolo'!$L$3:$L$66,1,0))&gt;3,IF(TYPE(VLOOKUP($A6,'5.kolo'!$O$3:$Q$66,2,0))&gt;3,0,VLOOKUP($A6,'5.kolo'!$O$3:$Q$66,2,0)),VLOOKUP($A6,'5.kolo'!$L$3:$N$66,2,0))</f>
        <v>0</v>
      </c>
      <c r="BS6" s="318">
        <f ca="1">IF(TYPE(VLOOKUP($A6,'5.kolo'!$L$3:$L$66,1,0))&gt;3,IF(TYPE(VLOOKUP($A6,'5.kolo'!$O$3:$Q$66,3,0))&gt;3,0,VLOOKUP($A6,'5.kolo'!$O$3:$Q$66,3,0)),VLOOKUP($A6,'5.kolo'!$L$3:$N$66,3,0))</f>
        <v>0</v>
      </c>
      <c r="BT6" s="318">
        <f t="shared" ca="1" si="23"/>
        <v>0</v>
      </c>
      <c r="BU6" s="397"/>
      <c r="BV6" s="424" t="str">
        <f ca="1">IF(BU6="","",CONCATENATE(TEXT($O6,"0"),IF(Start.listina!$Y$5="","",TEXT(500+$P6,"000")),TEXT(999999*RAND(),"000000")))</f>
        <v/>
      </c>
      <c r="BW6" s="318">
        <f t="shared" ca="1" si="6"/>
        <v>0</v>
      </c>
      <c r="BZ6" s="318">
        <f ca="1">IF(TYPE(VLOOKUP($A6,'6.kolo'!$L$3:$L$66,1,0))&gt;3,IF(TYPE(VLOOKUP($A6,'6.kolo'!$K$3:$L$66,2,0))&gt;3,0,VLOOKUP($A6,'6.kolo'!$K$3:$L$66,2,0)),VLOOKUP($A6,'6.kolo'!$L$3:$O$66,4,0))</f>
        <v>0</v>
      </c>
      <c r="CA6" s="318">
        <f ca="1">IF(TYPE(VLOOKUP($A6,'6.kolo'!$L$3:$L$66,1,0))&gt;3,IF(TYPE(VLOOKUP($A6,'6.kolo'!$O$3:$Q$66,2,0))&gt;3,0,VLOOKUP($A6,'6.kolo'!$O$3:$Q$66,2,0)),VLOOKUP($A6,'6.kolo'!$L$3:$N$66,2,0))</f>
        <v>0</v>
      </c>
      <c r="CB6" s="318">
        <f ca="1">IF(TYPE(VLOOKUP($A6,'6.kolo'!$L$3:$L$66,1,0))&gt;3,IF(TYPE(VLOOKUP($A6,'6.kolo'!$O$3:$Q$66,3,0))&gt;3,0,VLOOKUP($A6,'6.kolo'!$O$3:$Q$66,3,0)),VLOOKUP($A6,'6.kolo'!$L$3:$N$66,3,0))</f>
        <v>0</v>
      </c>
      <c r="CC6" s="318">
        <f t="shared" ca="1" si="24"/>
        <v>0</v>
      </c>
      <c r="CD6" s="397"/>
      <c r="CE6" s="424" t="str">
        <f ca="1">IF(CD6="","",CONCATENATE(TEXT($O6,"0"),IF(Start.listina!$Y$5="","",TEXT(500+$P6,"000")),TEXT(999999*RAND(),"000000")))</f>
        <v/>
      </c>
      <c r="CF6" s="318">
        <f t="shared" ca="1" si="7"/>
        <v>0</v>
      </c>
    </row>
    <row r="7" spans="1:84" x14ac:dyDescent="0.4">
      <c r="A7" s="318">
        <f ca="1">IF(OR(Start.listina!H15&gt;Start.listina!$K$7,Start.listina!G15=TRUE),"",Start.listina!H15)</f>
        <v>5</v>
      </c>
      <c r="B7" s="318">
        <f ca="1">IF($A7&gt;Start.listina!$K$7,"",INT(($A7-1)/Start.listina!$O$7)+1)</f>
        <v>1</v>
      </c>
      <c r="C7" s="421" t="str">
        <f ca="1">IF(OR(Start.listina!H15&gt;Start.listina!$K$7,Start.listina!G15=TRUE)," - ",Start.listina!AL15)</f>
        <v>5 CdP Loděnice - Dlouhá Ivana</v>
      </c>
      <c r="D7" s="318">
        <f ca="1">IF(OR(A7&gt;Start.listina!$K$7,TYPE(VLOOKUP(A7,$V$3:$X$130,3,0))&gt;3),"",VLOOKUP(A7,$V$3:$X$130,3,0))</f>
        <v>12</v>
      </c>
      <c r="E7" s="422">
        <f ca="1">IF(A7&gt;Start.listina!$K$7,"",IF(MIN(F7:K7)&gt;Start.listina!$Y$4,D7,MIN(F7:K7)))</f>
        <v>4</v>
      </c>
      <c r="F7" s="318">
        <f ca="1">IF(TYPE(VLOOKUP(C7,Konečné_pořadí_1_16!$B$2:$D$17,3,0))&lt;4,VLOOKUP(C7,Konečné_pořadí_1_16!$B$2:$D$17,3,0),999)</f>
        <v>999</v>
      </c>
      <c r="G7" s="318">
        <f ca="1">IF(TYPE(VLOOKUP(C7,'KO64'!$D$4:$D$129,1,0))&lt;4,64,999)</f>
        <v>64</v>
      </c>
      <c r="H7" s="318">
        <f ca="1">IF(TYPE(VLOOKUP(C7,'KO32'!$D$4:$D$65,1,0))&lt;4,32,999)</f>
        <v>32</v>
      </c>
      <c r="I7" s="318">
        <f ca="1">IF(TYPE(VLOOKUP(C7,'KO16'!$D$4:$D$33,1,0))&lt;4,16,999)</f>
        <v>16</v>
      </c>
      <c r="J7" s="318">
        <f ca="1">IF(TYPE(VLOOKUP(C7,'KO8'!$D$4:$D$17,1,0))&lt;4,8,999)</f>
        <v>8</v>
      </c>
      <c r="K7" s="318">
        <f ca="1">IF(TYPE(VLOOKUP(C7,'KO4'!$D$4:$D$9,1,0))&lt;4,4,999)</f>
        <v>4</v>
      </c>
      <c r="M7" s="319">
        <v>5</v>
      </c>
      <c r="O7" s="318">
        <f t="shared" ca="1" si="8"/>
        <v>3</v>
      </c>
      <c r="P7" s="318">
        <f t="shared" ca="1" si="9"/>
        <v>5</v>
      </c>
      <c r="Q7" s="318">
        <f t="shared" ca="1" si="0"/>
        <v>9</v>
      </c>
      <c r="R7" s="318">
        <f t="shared" ca="1" si="1"/>
        <v>5</v>
      </c>
      <c r="S7" s="318">
        <f t="shared" ca="1" si="10"/>
        <v>31</v>
      </c>
      <c r="T7" s="318">
        <f t="shared" ca="1" si="11"/>
        <v>0</v>
      </c>
      <c r="U7" s="397">
        <f t="shared" si="25"/>
        <v>5</v>
      </c>
      <c r="V7" s="397">
        <v>23</v>
      </c>
      <c r="W7" s="423" t="str">
        <f ca="1">IF($V7="","",CONCATENATE(TEXT($O7,"0"),IF(Start.listina!$Y$5="","",TEXT(500+$P7,"0000")),IF(Start.listina!$Y$6="","",CHOOSE(Start.listina!$Y$7,TEXT($Q7,"00"),CONCATENATE(TEXT($Q7,"00"),TEXT($S7,"000")), TEXT($R7,"00"))),TEXT(500+$P7,"0000"),IF(Start.listina!$Y$8="","",TEXT($T7,"0")),TEXT(999999*RAND(),"000000")))</f>
        <v>3090310505840495</v>
      </c>
      <c r="X7" s="399">
        <f t="shared" si="12"/>
        <v>5</v>
      </c>
      <c r="Y7" s="397">
        <f t="shared" ca="1" si="2"/>
        <v>3</v>
      </c>
      <c r="Z7" s="318">
        <f t="shared" ca="1" si="13"/>
        <v>33</v>
      </c>
      <c r="AA7" s="318">
        <f t="shared" ca="1" si="14"/>
        <v>39</v>
      </c>
      <c r="AB7" s="318">
        <f t="shared" ca="1" si="15"/>
        <v>2</v>
      </c>
      <c r="AC7" s="318">
        <f t="shared" ca="1" si="16"/>
        <v>57</v>
      </c>
      <c r="AD7" s="318">
        <f t="shared" ca="1" si="17"/>
        <v>0</v>
      </c>
      <c r="AE7" s="318">
        <f t="shared" ca="1" si="18"/>
        <v>0</v>
      </c>
      <c r="AG7" s="318">
        <f ca="1">IF(TYPE(VLOOKUP($A7,'1.kolo'!$L$3:$L$66,1,0))&gt;3,VLOOKUP($A7,'1.kolo'!$K$3:$L$66,2,0),VLOOKUP($A7,'1.kolo'!$L$3:$O$66,4,0))</f>
        <v>33</v>
      </c>
      <c r="AH7" s="318">
        <f ca="1">IF(TYPE(VLOOKUP($A7,'1.kolo'!$L$3:$L$66,1,0))&gt;3,VLOOKUP($A7,'1.kolo'!$O$3:$Q$66,2,0),VLOOKUP($A7,'1.kolo'!$L$3:$N$66,2,0))</f>
        <v>1</v>
      </c>
      <c r="AI7" s="318">
        <f ca="1">IF(TYPE(VLOOKUP($A7,'1.kolo'!$L$3:$L$66,1,0))&gt;3,VLOOKUP($A7,'1.kolo'!$O$3:$Q$66,3,0),VLOOKUP($A7,'1.kolo'!$L$3:$N$66,3,0))</f>
        <v>7</v>
      </c>
      <c r="AJ7" s="318">
        <f t="shared" ca="1" si="19"/>
        <v>0</v>
      </c>
      <c r="AK7" s="318">
        <v>5</v>
      </c>
      <c r="AL7" s="424"/>
      <c r="AP7" s="318">
        <f ca="1">IF(TYPE(VLOOKUP($A7,'2.kolo'!$L$3:$L$66,1,0))&gt;3,IF(TYPE(VLOOKUP($A7,'2.kolo'!$K$3:$L$66,2,0))&gt;3,0,VLOOKUP($A7,'2.kolo'!$K$3:$L$66,2,0)),VLOOKUP($A7,'2.kolo'!$L$3:$O$66,4,0))</f>
        <v>39</v>
      </c>
      <c r="AQ7" s="318">
        <f ca="1">IF(TYPE(VLOOKUP($A7,'2.kolo'!$L$3:$L$66,1,0))&gt;3,IF(TYPE(VLOOKUP($A7,'2.kolo'!$O$3:$Q$66,2,0))&gt;3,0,VLOOKUP($A7,'2.kolo'!$O$3:$Q$66,2,0)),VLOOKUP($A7,'2.kolo'!$L$3:$N$66,2,0))</f>
        <v>1</v>
      </c>
      <c r="AR7" s="318">
        <f ca="1">IF(TYPE(VLOOKUP($A7,'2.kolo'!$L$3:$L$66,1,0))&gt;3,IF(TYPE(VLOOKUP($A7,'2.kolo'!$O$3:$Q$66,3,0))&gt;3,0,VLOOKUP($A7,'2.kolo'!$O$3:$Q$66,3,0)),VLOOKUP($A7,'2.kolo'!$L$3:$N$66,3,0))</f>
        <v>5</v>
      </c>
      <c r="AS7" s="318">
        <f t="shared" ca="1" si="20"/>
        <v>0</v>
      </c>
      <c r="AT7" s="397">
        <v>18</v>
      </c>
      <c r="AU7" s="424" t="str">
        <f ca="1">IF(AT7="","",CONCATENATE(TEXT($O7,"0"),IF(Start.listina!$Y$5="","",TEXT(500+$P7,"000")),TEXT(999999*RAND(),"000000")))</f>
        <v>3824272</v>
      </c>
      <c r="AV7" s="318">
        <f t="shared" ca="1" si="3"/>
        <v>0</v>
      </c>
      <c r="AY7" s="318">
        <f ca="1">IF(TYPE(VLOOKUP($A7,'3.kolo'!$L$3:$L$66,1,0))&gt;3,IF(TYPE(VLOOKUP($A7,'3.kolo'!$K$3:$L$66,2,0))&gt;3,0,VLOOKUP($A7,'3.kolo'!$K$3:$L$66,2,0)),VLOOKUP($A7,'3.kolo'!$L$3:$O$66,4,0))</f>
        <v>2</v>
      </c>
      <c r="AZ7" s="318">
        <f ca="1">IF(TYPE(VLOOKUP($A7,'3.kolo'!$L$3:$L$66,1,0))&gt;3,IF(TYPE(VLOOKUP($A7,'3.kolo'!$O$3:$Q$66,2,0))&gt;3,0,VLOOKUP($A7,'3.kolo'!$O$3:$Q$66,2,0)),VLOOKUP($A7,'3.kolo'!$L$3:$N$66,2,0))</f>
        <v>0</v>
      </c>
      <c r="BA7" s="318">
        <f ca="1">IF(TYPE(VLOOKUP($A7,'3.kolo'!$L$3:$L$66,1,0))&gt;3,IF(TYPE(VLOOKUP($A7,'3.kolo'!$O$3:$Q$66,3,0))&gt;3,0,VLOOKUP($A7,'3.kolo'!$O$3:$Q$66,3,0)),VLOOKUP($A7,'3.kolo'!$L$3:$N$66,3,0))</f>
        <v>-8</v>
      </c>
      <c r="BB7" s="318">
        <f t="shared" ca="1" si="21"/>
        <v>0</v>
      </c>
      <c r="BC7" s="397">
        <v>54</v>
      </c>
      <c r="BD7" s="424" t="str">
        <f ca="1">IF(BC7="","",CONCATENATE(TEXT($O7,"0"),IF(Start.listina!$Y$5="","",TEXT(500+$P7,"000")),TEXT(999999*RAND(),"000000")))</f>
        <v>3435515</v>
      </c>
      <c r="BE7" s="318">
        <f t="shared" ca="1" si="4"/>
        <v>0</v>
      </c>
      <c r="BH7" s="318">
        <f ca="1">IF(TYPE(VLOOKUP($A7,'4.kolo'!$L$3:$L$66,1,0))&gt;3,IF(TYPE(VLOOKUP($A7,'4.kolo'!$K$3:$L$66,2,0))&gt;3,0,VLOOKUP($A7,'4.kolo'!$K$3:$L$66,2,0)),VLOOKUP($A7,'4.kolo'!$L$3:$O$66,4,0))</f>
        <v>57</v>
      </c>
      <c r="BI7" s="318">
        <f ca="1">IF(TYPE(VLOOKUP($A7,'4.kolo'!$L$3:$L$66,1,0))&gt;3,IF(TYPE(VLOOKUP($A7,'4.kolo'!$O$3:$Q$66,2,0))&gt;3,0,VLOOKUP($A7,'4.kolo'!$O$3:$Q$66,2,0)),VLOOKUP($A7,'4.kolo'!$L$3:$N$66,2,0))</f>
        <v>1</v>
      </c>
      <c r="BJ7" s="318">
        <f ca="1">IF(TYPE(VLOOKUP($A7,'4.kolo'!$L$3:$L$66,1,0))&gt;3,IF(TYPE(VLOOKUP($A7,'4.kolo'!$O$3:$Q$66,3,0))&gt;3,0,VLOOKUP($A7,'4.kolo'!$O$3:$Q$66,3,0)),VLOOKUP($A7,'4.kolo'!$L$3:$N$66,3,0))</f>
        <v>1</v>
      </c>
      <c r="BK7" s="318">
        <f t="shared" ca="1" si="22"/>
        <v>0</v>
      </c>
      <c r="BL7" s="397">
        <v>4</v>
      </c>
      <c r="BM7" s="424" t="str">
        <f ca="1">IF(BL7="","",CONCATENATE(TEXT($O7,"0"),IF(Start.listina!$Y$5="","",TEXT(500+$P7,"000")),TEXT(999999*RAND(),"000000")))</f>
        <v>3051277</v>
      </c>
      <c r="BN7" s="318">
        <f t="shared" ca="1" si="5"/>
        <v>0</v>
      </c>
      <c r="BQ7" s="318">
        <f ca="1">IF(TYPE(VLOOKUP($A7,'5.kolo'!$L$3:$L$66,1,0))&gt;3,IF(TYPE(VLOOKUP($A7,'5.kolo'!$K$3:$L$66,2,0))&gt;3,0,VLOOKUP($A7,'5.kolo'!$K$3:$L$66,2,0)),VLOOKUP($A7,'5.kolo'!$L$3:$O$66,4,0))</f>
        <v>0</v>
      </c>
      <c r="BR7" s="318">
        <f ca="1">IF(TYPE(VLOOKUP($A7,'5.kolo'!$L$3:$L$66,1,0))&gt;3,IF(TYPE(VLOOKUP($A7,'5.kolo'!$O$3:$Q$66,2,0))&gt;3,0,VLOOKUP($A7,'5.kolo'!$O$3:$Q$66,2,0)),VLOOKUP($A7,'5.kolo'!$L$3:$N$66,2,0))</f>
        <v>0</v>
      </c>
      <c r="BS7" s="318">
        <f ca="1">IF(TYPE(VLOOKUP($A7,'5.kolo'!$L$3:$L$66,1,0))&gt;3,IF(TYPE(VLOOKUP($A7,'5.kolo'!$O$3:$Q$66,3,0))&gt;3,0,VLOOKUP($A7,'5.kolo'!$O$3:$Q$66,3,0)),VLOOKUP($A7,'5.kolo'!$L$3:$N$66,3,0))</f>
        <v>0</v>
      </c>
      <c r="BT7" s="318">
        <f t="shared" ca="1" si="23"/>
        <v>0</v>
      </c>
      <c r="BU7" s="397"/>
      <c r="BV7" s="424" t="str">
        <f ca="1">IF(BU7="","",CONCATENATE(TEXT($O7,"0"),IF(Start.listina!$Y$5="","",TEXT(500+$P7,"000")),TEXT(999999*RAND(),"000000")))</f>
        <v/>
      </c>
      <c r="BW7" s="318">
        <f t="shared" ca="1" si="6"/>
        <v>0</v>
      </c>
      <c r="BZ7" s="318">
        <f ca="1">IF(TYPE(VLOOKUP($A7,'6.kolo'!$L$3:$L$66,1,0))&gt;3,IF(TYPE(VLOOKUP($A7,'6.kolo'!$K$3:$L$66,2,0))&gt;3,0,VLOOKUP($A7,'6.kolo'!$K$3:$L$66,2,0)),VLOOKUP($A7,'6.kolo'!$L$3:$O$66,4,0))</f>
        <v>0</v>
      </c>
      <c r="CA7" s="318">
        <f ca="1">IF(TYPE(VLOOKUP($A7,'6.kolo'!$L$3:$L$66,1,0))&gt;3,IF(TYPE(VLOOKUP($A7,'6.kolo'!$O$3:$Q$66,2,0))&gt;3,0,VLOOKUP($A7,'6.kolo'!$O$3:$Q$66,2,0)),VLOOKUP($A7,'6.kolo'!$L$3:$N$66,2,0))</f>
        <v>0</v>
      </c>
      <c r="CB7" s="318">
        <f ca="1">IF(TYPE(VLOOKUP($A7,'6.kolo'!$L$3:$L$66,1,0))&gt;3,IF(TYPE(VLOOKUP($A7,'6.kolo'!$O$3:$Q$66,3,0))&gt;3,0,VLOOKUP($A7,'6.kolo'!$O$3:$Q$66,3,0)),VLOOKUP($A7,'6.kolo'!$L$3:$N$66,3,0))</f>
        <v>0</v>
      </c>
      <c r="CC7" s="318">
        <f t="shared" ca="1" si="24"/>
        <v>0</v>
      </c>
      <c r="CD7" s="397"/>
      <c r="CE7" s="424" t="str">
        <f ca="1">IF(CD7="","",CONCATENATE(TEXT($O7,"0"),IF(Start.listina!$Y$5="","",TEXT(500+$P7,"000")),TEXT(999999*RAND(),"000000")))</f>
        <v/>
      </c>
      <c r="CF7" s="318">
        <f t="shared" ca="1" si="7"/>
        <v>0</v>
      </c>
    </row>
    <row r="8" spans="1:84" x14ac:dyDescent="0.4">
      <c r="A8" s="318">
        <f ca="1">IF(OR(Start.listina!H16&gt;Start.listina!$K$7,Start.listina!G16=TRUE),"",Start.listina!H16)</f>
        <v>6</v>
      </c>
      <c r="B8" s="318">
        <f ca="1">IF($A8&gt;Start.listina!$K$7,"",INT(($A8-1)/Start.listina!$O$7)+1)</f>
        <v>1</v>
      </c>
      <c r="C8" s="421" t="str">
        <f ca="1">IF(OR(Start.listina!H16&gt;Start.listina!$K$7,Start.listina!G16=TRUE)," - ",Start.listina!AL16)</f>
        <v>6 CdP Loděnice - Kamaryt Josef</v>
      </c>
      <c r="D8" s="318">
        <f ca="1">IF(OR(A8&gt;Start.listina!$K$7,TYPE(VLOOKUP(A8,$V$3:$X$130,3,0))&gt;3),"",VLOOKUP(A8,$V$3:$X$130,3,0))</f>
        <v>39</v>
      </c>
      <c r="E8" s="422">
        <f ca="1">IF(A8&gt;Start.listina!$K$7,"",IF(MIN(F8:K8)&gt;Start.listina!$Y$4,D8,MIN(F8:K8)))</f>
        <v>39</v>
      </c>
      <c r="F8" s="318">
        <f ca="1">IF(TYPE(VLOOKUP(C8,Konečné_pořadí_1_16!$B$2:$D$17,3,0))&lt;4,VLOOKUP(C8,Konečné_pořadí_1_16!$B$2:$D$17,3,0),999)</f>
        <v>999</v>
      </c>
      <c r="G8" s="318">
        <f ca="1">IF(TYPE(VLOOKUP(C8,'KO64'!$D$4:$D$129,1,0))&lt;4,64,999)</f>
        <v>999</v>
      </c>
      <c r="H8" s="318">
        <f ca="1">IF(TYPE(VLOOKUP(C8,'KO32'!$D$4:$D$65,1,0))&lt;4,32,999)</f>
        <v>999</v>
      </c>
      <c r="I8" s="318">
        <f ca="1">IF(TYPE(VLOOKUP(C8,'KO16'!$D$4:$D$33,1,0))&lt;4,16,999)</f>
        <v>999</v>
      </c>
      <c r="J8" s="318">
        <f ca="1">IF(TYPE(VLOOKUP(C8,'KO8'!$D$4:$D$17,1,0))&lt;4,8,999)</f>
        <v>999</v>
      </c>
      <c r="K8" s="318">
        <f ca="1">IF(TYPE(VLOOKUP(C8,'KO4'!$D$4:$D$9,1,0))&lt;4,4,999)</f>
        <v>999</v>
      </c>
      <c r="M8" s="319">
        <v>6</v>
      </c>
      <c r="O8" s="318">
        <f t="shared" ca="1" si="8"/>
        <v>2</v>
      </c>
      <c r="P8" s="318">
        <f t="shared" ca="1" si="9"/>
        <v>-12</v>
      </c>
      <c r="Q8" s="318">
        <f t="shared" ca="1" si="0"/>
        <v>5</v>
      </c>
      <c r="R8" s="318">
        <f t="shared" ca="1" si="1"/>
        <v>1</v>
      </c>
      <c r="S8" s="318">
        <f t="shared" ca="1" si="10"/>
        <v>35</v>
      </c>
      <c r="T8" s="318">
        <f t="shared" ca="1" si="11"/>
        <v>0</v>
      </c>
      <c r="U8" s="397">
        <f t="shared" si="25"/>
        <v>6</v>
      </c>
      <c r="V8" s="397">
        <v>21</v>
      </c>
      <c r="W8" s="423" t="str">
        <f ca="1">IF($V8="","",CONCATENATE(TEXT($O8,"0"),IF(Start.listina!$Y$5="","",TEXT(500+$P8,"0000")),IF(Start.listina!$Y$6="","",CHOOSE(Start.listina!$Y$7,TEXT($Q8,"00"),CONCATENATE(TEXT($Q8,"00"),TEXT($S8,"000")), TEXT($R8,"00"))),TEXT(500+$P8,"0000"),IF(Start.listina!$Y$8="","",TEXT($T8,"0")),TEXT(999999*RAND(),"000000")))</f>
        <v>2050350488448659</v>
      </c>
      <c r="X8" s="399">
        <f t="shared" si="12"/>
        <v>6</v>
      </c>
      <c r="Y8" s="397">
        <f t="shared" ca="1" si="2"/>
        <v>3</v>
      </c>
      <c r="Z8" s="318">
        <f t="shared" ca="1" si="13"/>
        <v>34</v>
      </c>
      <c r="AA8" s="318">
        <f t="shared" ca="1" si="14"/>
        <v>36</v>
      </c>
      <c r="AB8" s="318">
        <f t="shared" ca="1" si="15"/>
        <v>30</v>
      </c>
      <c r="AC8" s="318">
        <f t="shared" ca="1" si="16"/>
        <v>55</v>
      </c>
      <c r="AD8" s="318">
        <f t="shared" ca="1" si="17"/>
        <v>0</v>
      </c>
      <c r="AE8" s="318">
        <f t="shared" ca="1" si="18"/>
        <v>0</v>
      </c>
      <c r="AG8" s="318">
        <f ca="1">IF(TYPE(VLOOKUP($A8,'1.kolo'!$L$3:$L$66,1,0))&gt;3,VLOOKUP($A8,'1.kolo'!$K$3:$L$66,2,0),VLOOKUP($A8,'1.kolo'!$L$3:$O$66,4,0))</f>
        <v>34</v>
      </c>
      <c r="AH8" s="318">
        <f ca="1">IF(TYPE(VLOOKUP($A8,'1.kolo'!$L$3:$L$66,1,0))&gt;3,VLOOKUP($A8,'1.kolo'!$O$3:$Q$66,2,0),VLOOKUP($A8,'1.kolo'!$L$3:$N$66,2,0))</f>
        <v>0</v>
      </c>
      <c r="AI8" s="318">
        <f ca="1">IF(TYPE(VLOOKUP($A8,'1.kolo'!$L$3:$L$66,1,0))&gt;3,VLOOKUP($A8,'1.kolo'!$O$3:$Q$66,3,0),VLOOKUP($A8,'1.kolo'!$L$3:$N$66,3,0))</f>
        <v>-13</v>
      </c>
      <c r="AJ8" s="318">
        <f t="shared" ca="1" si="19"/>
        <v>0</v>
      </c>
      <c r="AK8" s="318">
        <v>6</v>
      </c>
      <c r="AL8" s="424"/>
      <c r="AP8" s="318">
        <f ca="1">IF(TYPE(VLOOKUP($A8,'2.kolo'!$L$3:$L$66,1,0))&gt;3,IF(TYPE(VLOOKUP($A8,'2.kolo'!$K$3:$L$66,2,0))&gt;3,0,VLOOKUP($A8,'2.kolo'!$K$3:$L$66,2,0)),VLOOKUP($A8,'2.kolo'!$L$3:$O$66,4,0))</f>
        <v>36</v>
      </c>
      <c r="AQ8" s="318">
        <f ca="1">IF(TYPE(VLOOKUP($A8,'2.kolo'!$L$3:$L$66,1,0))&gt;3,IF(TYPE(VLOOKUP($A8,'2.kolo'!$O$3:$Q$66,2,0))&gt;3,0,VLOOKUP($A8,'2.kolo'!$O$3:$Q$66,2,0)),VLOOKUP($A8,'2.kolo'!$L$3:$N$66,2,0))</f>
        <v>0</v>
      </c>
      <c r="AR8" s="318">
        <f ca="1">IF(TYPE(VLOOKUP($A8,'2.kolo'!$L$3:$L$66,1,0))&gt;3,IF(TYPE(VLOOKUP($A8,'2.kolo'!$O$3:$Q$66,3,0))&gt;3,0,VLOOKUP($A8,'2.kolo'!$O$3:$Q$66,3,0)),VLOOKUP($A8,'2.kolo'!$L$3:$N$66,3,0))</f>
        <v>-7</v>
      </c>
      <c r="AS8" s="318">
        <f t="shared" ca="1" si="20"/>
        <v>0</v>
      </c>
      <c r="AT8" s="397">
        <v>57</v>
      </c>
      <c r="AU8" s="424" t="str">
        <f ca="1">IF(AT8="","",CONCATENATE(TEXT($O8,"0"),IF(Start.listina!$Y$5="","",TEXT(500+$P8,"000")),TEXT(999999*RAND(),"000000")))</f>
        <v>2881252</v>
      </c>
      <c r="AV8" s="318">
        <f t="shared" ca="1" si="3"/>
        <v>0</v>
      </c>
      <c r="AY8" s="318">
        <f ca="1">IF(TYPE(VLOOKUP($A8,'3.kolo'!$L$3:$L$66,1,0))&gt;3,IF(TYPE(VLOOKUP($A8,'3.kolo'!$K$3:$L$66,2,0))&gt;3,0,VLOOKUP($A8,'3.kolo'!$K$3:$L$66,2,0)),VLOOKUP($A8,'3.kolo'!$L$3:$O$66,4,0))</f>
        <v>30</v>
      </c>
      <c r="AZ8" s="318">
        <f ca="1">IF(TYPE(VLOOKUP($A8,'3.kolo'!$L$3:$L$66,1,0))&gt;3,IF(TYPE(VLOOKUP($A8,'3.kolo'!$O$3:$Q$66,2,0))&gt;3,0,VLOOKUP($A8,'3.kolo'!$O$3:$Q$66,2,0)),VLOOKUP($A8,'3.kolo'!$L$3:$N$66,2,0))</f>
        <v>1</v>
      </c>
      <c r="BA8" s="318">
        <f ca="1">IF(TYPE(VLOOKUP($A8,'3.kolo'!$L$3:$L$66,1,0))&gt;3,IF(TYPE(VLOOKUP($A8,'3.kolo'!$O$3:$Q$66,3,0))&gt;3,0,VLOOKUP($A8,'3.kolo'!$O$3:$Q$66,3,0)),VLOOKUP($A8,'3.kolo'!$L$3:$N$66,3,0))</f>
        <v>1</v>
      </c>
      <c r="BB8" s="318">
        <f t="shared" ca="1" si="21"/>
        <v>0</v>
      </c>
      <c r="BC8" s="397">
        <v>7</v>
      </c>
      <c r="BD8" s="424" t="str">
        <f ca="1">IF(BC8="","",CONCATENATE(TEXT($O8,"0"),IF(Start.listina!$Y$5="","",TEXT(500+$P8,"000")),TEXT(999999*RAND(),"000000")))</f>
        <v>2741266</v>
      </c>
      <c r="BE8" s="318">
        <f t="shared" ca="1" si="4"/>
        <v>0</v>
      </c>
      <c r="BH8" s="318">
        <f ca="1">IF(TYPE(VLOOKUP($A8,'4.kolo'!$L$3:$L$66,1,0))&gt;3,IF(TYPE(VLOOKUP($A8,'4.kolo'!$K$3:$L$66,2,0))&gt;3,0,VLOOKUP($A8,'4.kolo'!$K$3:$L$66,2,0)),VLOOKUP($A8,'4.kolo'!$L$3:$O$66,4,0))</f>
        <v>55</v>
      </c>
      <c r="BI8" s="318">
        <f ca="1">IF(TYPE(VLOOKUP($A8,'4.kolo'!$L$3:$L$66,1,0))&gt;3,IF(TYPE(VLOOKUP($A8,'4.kolo'!$O$3:$Q$66,2,0))&gt;3,0,VLOOKUP($A8,'4.kolo'!$O$3:$Q$66,2,0)),VLOOKUP($A8,'4.kolo'!$L$3:$N$66,2,0))</f>
        <v>1</v>
      </c>
      <c r="BJ8" s="318">
        <f ca="1">IF(TYPE(VLOOKUP($A8,'4.kolo'!$L$3:$L$66,1,0))&gt;3,IF(TYPE(VLOOKUP($A8,'4.kolo'!$O$3:$Q$66,3,0))&gt;3,0,VLOOKUP($A8,'4.kolo'!$O$3:$Q$66,3,0)),VLOOKUP($A8,'4.kolo'!$L$3:$N$66,3,0))</f>
        <v>7</v>
      </c>
      <c r="BK8" s="318">
        <f t="shared" ca="1" si="22"/>
        <v>0</v>
      </c>
      <c r="BL8" s="397">
        <v>23</v>
      </c>
      <c r="BM8" s="424" t="str">
        <f ca="1">IF(BL8="","",CONCATENATE(TEXT($O8,"0"),IF(Start.listina!$Y$5="","",TEXT(500+$P8,"000")),TEXT(999999*RAND(),"000000")))</f>
        <v>2766038</v>
      </c>
      <c r="BN8" s="318">
        <f t="shared" ca="1" si="5"/>
        <v>0</v>
      </c>
      <c r="BQ8" s="318">
        <f ca="1">IF(TYPE(VLOOKUP($A8,'5.kolo'!$L$3:$L$66,1,0))&gt;3,IF(TYPE(VLOOKUP($A8,'5.kolo'!$K$3:$L$66,2,0))&gt;3,0,VLOOKUP($A8,'5.kolo'!$K$3:$L$66,2,0)),VLOOKUP($A8,'5.kolo'!$L$3:$O$66,4,0))</f>
        <v>0</v>
      </c>
      <c r="BR8" s="318">
        <f ca="1">IF(TYPE(VLOOKUP($A8,'5.kolo'!$L$3:$L$66,1,0))&gt;3,IF(TYPE(VLOOKUP($A8,'5.kolo'!$O$3:$Q$66,2,0))&gt;3,0,VLOOKUP($A8,'5.kolo'!$O$3:$Q$66,2,0)),VLOOKUP($A8,'5.kolo'!$L$3:$N$66,2,0))</f>
        <v>0</v>
      </c>
      <c r="BS8" s="318">
        <f ca="1">IF(TYPE(VLOOKUP($A8,'5.kolo'!$L$3:$L$66,1,0))&gt;3,IF(TYPE(VLOOKUP($A8,'5.kolo'!$O$3:$Q$66,3,0))&gt;3,0,VLOOKUP($A8,'5.kolo'!$O$3:$Q$66,3,0)),VLOOKUP($A8,'5.kolo'!$L$3:$N$66,3,0))</f>
        <v>0</v>
      </c>
      <c r="BT8" s="318">
        <f t="shared" ca="1" si="23"/>
        <v>0</v>
      </c>
      <c r="BU8" s="397"/>
      <c r="BV8" s="424" t="str">
        <f ca="1">IF(BU8="","",CONCATENATE(TEXT($O8,"0"),IF(Start.listina!$Y$5="","",TEXT(500+$P8,"000")),TEXT(999999*RAND(),"000000")))</f>
        <v/>
      </c>
      <c r="BW8" s="318">
        <f t="shared" ca="1" si="6"/>
        <v>0</v>
      </c>
      <c r="BZ8" s="318">
        <f ca="1">IF(TYPE(VLOOKUP($A8,'6.kolo'!$L$3:$L$66,1,0))&gt;3,IF(TYPE(VLOOKUP($A8,'6.kolo'!$K$3:$L$66,2,0))&gt;3,0,VLOOKUP($A8,'6.kolo'!$K$3:$L$66,2,0)),VLOOKUP($A8,'6.kolo'!$L$3:$O$66,4,0))</f>
        <v>0</v>
      </c>
      <c r="CA8" s="318">
        <f ca="1">IF(TYPE(VLOOKUP($A8,'6.kolo'!$L$3:$L$66,1,0))&gt;3,IF(TYPE(VLOOKUP($A8,'6.kolo'!$O$3:$Q$66,2,0))&gt;3,0,VLOOKUP($A8,'6.kolo'!$O$3:$Q$66,2,0)),VLOOKUP($A8,'6.kolo'!$L$3:$N$66,2,0))</f>
        <v>0</v>
      </c>
      <c r="CB8" s="318">
        <f ca="1">IF(TYPE(VLOOKUP($A8,'6.kolo'!$L$3:$L$66,1,0))&gt;3,IF(TYPE(VLOOKUP($A8,'6.kolo'!$O$3:$Q$66,3,0))&gt;3,0,VLOOKUP($A8,'6.kolo'!$O$3:$Q$66,3,0)),VLOOKUP($A8,'6.kolo'!$L$3:$N$66,3,0))</f>
        <v>0</v>
      </c>
      <c r="CC8" s="318">
        <f t="shared" ca="1" si="24"/>
        <v>0</v>
      </c>
      <c r="CD8" s="397"/>
      <c r="CE8" s="424" t="str">
        <f ca="1">IF(CD8="","",CONCATENATE(TEXT($O8,"0"),IF(Start.listina!$Y$5="","",TEXT(500+$P8,"000")),TEXT(999999*RAND(),"000000")))</f>
        <v/>
      </c>
      <c r="CF8" s="318">
        <f t="shared" ca="1" si="7"/>
        <v>0</v>
      </c>
    </row>
    <row r="9" spans="1:84" x14ac:dyDescent="0.4">
      <c r="A9" s="318">
        <f ca="1">IF(OR(Start.listina!H17&gt;Start.listina!$K$7,Start.listina!G17=TRUE),"",Start.listina!H17)</f>
        <v>7</v>
      </c>
      <c r="B9" s="318">
        <f ca="1">IF($A9&gt;Start.listina!$K$7,"",INT(($A9-1)/Start.listina!$O$7)+1)</f>
        <v>1</v>
      </c>
      <c r="C9" s="421" t="str">
        <f ca="1">IF(OR(Start.listina!H17&gt;Start.listina!$K$7,Start.listina!G17=TRUE)," - ",Start.listina!AL17)</f>
        <v>7 1. KPK Vrchlabí - Semeniv Maryana Khrystyna</v>
      </c>
      <c r="D9" s="318">
        <f ca="1">IF(OR(A9&gt;Start.listina!$K$7,TYPE(VLOOKUP(A9,$V$3:$X$130,3,0))&gt;3),"",VLOOKUP(A9,$V$3:$X$130,3,0))</f>
        <v>4</v>
      </c>
      <c r="E9" s="422">
        <f ca="1">IF(A9&gt;Start.listina!$K$7,"",IF(MIN(F9:K9)&gt;Start.listina!$Y$4,D9,MIN(F9:K9)))</f>
        <v>8</v>
      </c>
      <c r="F9" s="318">
        <f ca="1">IF(TYPE(VLOOKUP(C9,Konečné_pořadí_1_16!$B$2:$D$17,3,0))&lt;4,VLOOKUP(C9,Konečné_pořadí_1_16!$B$2:$D$17,3,0),999)</f>
        <v>999</v>
      </c>
      <c r="G9" s="318">
        <f ca="1">IF(TYPE(VLOOKUP(C9,'KO64'!$D$4:$D$129,1,0))&lt;4,64,999)</f>
        <v>64</v>
      </c>
      <c r="H9" s="318">
        <f ca="1">IF(TYPE(VLOOKUP(C9,'KO32'!$D$4:$D$65,1,0))&lt;4,32,999)</f>
        <v>32</v>
      </c>
      <c r="I9" s="318">
        <f ca="1">IF(TYPE(VLOOKUP(C9,'KO16'!$D$4:$D$33,1,0))&lt;4,16,999)</f>
        <v>16</v>
      </c>
      <c r="J9" s="318">
        <f ca="1">IF(TYPE(VLOOKUP(C9,'KO8'!$D$4:$D$17,1,0))&lt;4,8,999)</f>
        <v>8</v>
      </c>
      <c r="K9" s="318">
        <f ca="1">IF(TYPE(VLOOKUP(C9,'KO4'!$D$4:$D$9,1,0))&lt;4,4,999)</f>
        <v>999</v>
      </c>
      <c r="M9" s="319">
        <v>7</v>
      </c>
      <c r="O9" s="318">
        <f t="shared" ca="1" si="8"/>
        <v>4</v>
      </c>
      <c r="P9" s="318">
        <f t="shared" ca="1" si="9"/>
        <v>25</v>
      </c>
      <c r="Q9" s="318">
        <f t="shared" ca="1" si="0"/>
        <v>7</v>
      </c>
      <c r="R9" s="318">
        <f t="shared" ca="1" si="1"/>
        <v>7</v>
      </c>
      <c r="S9" s="318">
        <f t="shared" ca="1" si="10"/>
        <v>39</v>
      </c>
      <c r="T9" s="318">
        <f t="shared" ca="1" si="11"/>
        <v>0</v>
      </c>
      <c r="U9" s="397">
        <f t="shared" si="25"/>
        <v>7</v>
      </c>
      <c r="V9" s="397">
        <v>14</v>
      </c>
      <c r="W9" s="423" t="str">
        <f ca="1">IF($V9="","",CONCATENATE(TEXT($O9,"0"),IF(Start.listina!$Y$5="","",TEXT(500+$P9,"0000")),IF(Start.listina!$Y$6="","",CHOOSE(Start.listina!$Y$7,TEXT($Q9,"00"),CONCATENATE(TEXT($Q9,"00"),TEXT($S9,"000")), TEXT($R9,"00"))),TEXT(500+$P9,"0000"),IF(Start.listina!$Y$8="","",TEXT($T9,"0")),TEXT(999999*RAND(),"000000")))</f>
        <v>4070390525347294</v>
      </c>
      <c r="X9" s="399">
        <f t="shared" si="12"/>
        <v>7</v>
      </c>
      <c r="Y9" s="397">
        <f t="shared" ca="1" si="2"/>
        <v>3</v>
      </c>
      <c r="Z9" s="318">
        <f t="shared" ca="1" si="13"/>
        <v>35</v>
      </c>
      <c r="AA9" s="318">
        <f t="shared" ca="1" si="14"/>
        <v>13</v>
      </c>
      <c r="AB9" s="318">
        <f t="shared" ca="1" si="15"/>
        <v>54</v>
      </c>
      <c r="AC9" s="318">
        <f t="shared" ca="1" si="16"/>
        <v>21</v>
      </c>
      <c r="AD9" s="318">
        <f t="shared" ca="1" si="17"/>
        <v>0</v>
      </c>
      <c r="AE9" s="318">
        <f t="shared" ca="1" si="18"/>
        <v>0</v>
      </c>
      <c r="AG9" s="318">
        <f ca="1">IF(TYPE(VLOOKUP($A9,'1.kolo'!$L$3:$L$66,1,0))&gt;3,VLOOKUP($A9,'1.kolo'!$K$3:$L$66,2,0),VLOOKUP($A9,'1.kolo'!$L$3:$O$66,4,0))</f>
        <v>35</v>
      </c>
      <c r="AH9" s="318">
        <f ca="1">IF(TYPE(VLOOKUP($A9,'1.kolo'!$L$3:$L$66,1,0))&gt;3,VLOOKUP($A9,'1.kolo'!$O$3:$Q$66,2,0),VLOOKUP($A9,'1.kolo'!$L$3:$N$66,2,0))</f>
        <v>1</v>
      </c>
      <c r="AI9" s="318">
        <f ca="1">IF(TYPE(VLOOKUP($A9,'1.kolo'!$L$3:$L$66,1,0))&gt;3,VLOOKUP($A9,'1.kolo'!$O$3:$Q$66,3,0),VLOOKUP($A9,'1.kolo'!$L$3:$N$66,3,0))</f>
        <v>7</v>
      </c>
      <c r="AJ9" s="318">
        <f t="shared" ca="1" si="19"/>
        <v>0</v>
      </c>
      <c r="AK9" s="318">
        <v>7</v>
      </c>
      <c r="AL9" s="424"/>
      <c r="AP9" s="318">
        <f ca="1">IF(TYPE(VLOOKUP($A9,'2.kolo'!$L$3:$L$66,1,0))&gt;3,IF(TYPE(VLOOKUP($A9,'2.kolo'!$K$3:$L$66,2,0))&gt;3,0,VLOOKUP($A9,'2.kolo'!$K$3:$L$66,2,0)),VLOOKUP($A9,'2.kolo'!$L$3:$O$66,4,0))</f>
        <v>13</v>
      </c>
      <c r="AQ9" s="318">
        <f ca="1">IF(TYPE(VLOOKUP($A9,'2.kolo'!$L$3:$L$66,1,0))&gt;3,IF(TYPE(VLOOKUP($A9,'2.kolo'!$O$3:$Q$66,2,0))&gt;3,0,VLOOKUP($A9,'2.kolo'!$O$3:$Q$66,2,0)),VLOOKUP($A9,'2.kolo'!$L$3:$N$66,2,0))</f>
        <v>1</v>
      </c>
      <c r="AR9" s="318">
        <f ca="1">IF(TYPE(VLOOKUP($A9,'2.kolo'!$L$3:$L$66,1,0))&gt;3,IF(TYPE(VLOOKUP($A9,'2.kolo'!$O$3:$Q$66,3,0))&gt;3,0,VLOOKUP($A9,'2.kolo'!$O$3:$Q$66,3,0)),VLOOKUP($A9,'2.kolo'!$L$3:$N$66,3,0))</f>
        <v>3</v>
      </c>
      <c r="AS9" s="318">
        <f t="shared" ca="1" si="20"/>
        <v>0</v>
      </c>
      <c r="AT9" s="397">
        <v>28</v>
      </c>
      <c r="AU9" s="424" t="str">
        <f ca="1">IF(AT9="","",CONCATENATE(TEXT($O9,"0"),IF(Start.listina!$Y$5="","",TEXT(500+$P9,"000")),TEXT(999999*RAND(),"000000")))</f>
        <v>4399379</v>
      </c>
      <c r="AV9" s="318">
        <f t="shared" ca="1" si="3"/>
        <v>0</v>
      </c>
      <c r="AY9" s="318">
        <f ca="1">IF(TYPE(VLOOKUP($A9,'3.kolo'!$L$3:$L$66,1,0))&gt;3,IF(TYPE(VLOOKUP($A9,'3.kolo'!$K$3:$L$66,2,0))&gt;3,0,VLOOKUP($A9,'3.kolo'!$K$3:$L$66,2,0)),VLOOKUP($A9,'3.kolo'!$L$3:$O$66,4,0))</f>
        <v>54</v>
      </c>
      <c r="AZ9" s="318">
        <f ca="1">IF(TYPE(VLOOKUP($A9,'3.kolo'!$L$3:$L$66,1,0))&gt;3,IF(TYPE(VLOOKUP($A9,'3.kolo'!$O$3:$Q$66,2,0))&gt;3,0,VLOOKUP($A9,'3.kolo'!$O$3:$Q$66,2,0)),VLOOKUP($A9,'3.kolo'!$L$3:$N$66,2,0))</f>
        <v>1</v>
      </c>
      <c r="BA9" s="318">
        <f ca="1">IF(TYPE(VLOOKUP($A9,'3.kolo'!$L$3:$L$66,1,0))&gt;3,IF(TYPE(VLOOKUP($A9,'3.kolo'!$O$3:$Q$66,3,0))&gt;3,0,VLOOKUP($A9,'3.kolo'!$O$3:$Q$66,3,0)),VLOOKUP($A9,'3.kolo'!$L$3:$N$66,3,0))</f>
        <v>8</v>
      </c>
      <c r="BB9" s="318">
        <f t="shared" ca="1" si="21"/>
        <v>0</v>
      </c>
      <c r="BC9" s="397">
        <v>5</v>
      </c>
      <c r="BD9" s="424" t="str">
        <f ca="1">IF(BC9="","",CONCATENATE(TEXT($O9,"0"),IF(Start.listina!$Y$5="","",TEXT(500+$P9,"000")),TEXT(999999*RAND(),"000000")))</f>
        <v>4954498</v>
      </c>
      <c r="BE9" s="318">
        <f t="shared" ca="1" si="4"/>
        <v>0</v>
      </c>
      <c r="BH9" s="318">
        <f ca="1">IF(TYPE(VLOOKUP($A9,'4.kolo'!$L$3:$L$66,1,0))&gt;3,IF(TYPE(VLOOKUP($A9,'4.kolo'!$K$3:$L$66,2,0))&gt;3,0,VLOOKUP($A9,'4.kolo'!$K$3:$L$66,2,0)),VLOOKUP($A9,'4.kolo'!$L$3:$O$66,4,0))</f>
        <v>21</v>
      </c>
      <c r="BI9" s="318">
        <f ca="1">IF(TYPE(VLOOKUP($A9,'4.kolo'!$L$3:$L$66,1,0))&gt;3,IF(TYPE(VLOOKUP($A9,'4.kolo'!$O$3:$Q$66,2,0))&gt;3,0,VLOOKUP($A9,'4.kolo'!$O$3:$Q$66,2,0)),VLOOKUP($A9,'4.kolo'!$L$3:$N$66,2,0))</f>
        <v>1</v>
      </c>
      <c r="BJ9" s="318">
        <f ca="1">IF(TYPE(VLOOKUP($A9,'4.kolo'!$L$3:$L$66,1,0))&gt;3,IF(TYPE(VLOOKUP($A9,'4.kolo'!$O$3:$Q$66,3,0))&gt;3,0,VLOOKUP($A9,'4.kolo'!$O$3:$Q$66,3,0)),VLOOKUP($A9,'4.kolo'!$L$3:$N$66,3,0))</f>
        <v>7</v>
      </c>
      <c r="BK9" s="318">
        <f t="shared" ca="1" si="22"/>
        <v>0</v>
      </c>
      <c r="BL9" s="397">
        <v>1</v>
      </c>
      <c r="BM9" s="424" t="str">
        <f ca="1">IF(BL9="","",CONCATENATE(TEXT($O9,"0"),IF(Start.listina!$Y$5="","",TEXT(500+$P9,"000")),TEXT(999999*RAND(),"000000")))</f>
        <v>4191077</v>
      </c>
      <c r="BN9" s="318">
        <f t="shared" ca="1" si="5"/>
        <v>0</v>
      </c>
      <c r="BQ9" s="318">
        <f ca="1">IF(TYPE(VLOOKUP($A9,'5.kolo'!$L$3:$L$66,1,0))&gt;3,IF(TYPE(VLOOKUP($A9,'5.kolo'!$K$3:$L$66,2,0))&gt;3,0,VLOOKUP($A9,'5.kolo'!$K$3:$L$66,2,0)),VLOOKUP($A9,'5.kolo'!$L$3:$O$66,4,0))</f>
        <v>0</v>
      </c>
      <c r="BR9" s="318">
        <f ca="1">IF(TYPE(VLOOKUP($A9,'5.kolo'!$L$3:$L$66,1,0))&gt;3,IF(TYPE(VLOOKUP($A9,'5.kolo'!$O$3:$Q$66,2,0))&gt;3,0,VLOOKUP($A9,'5.kolo'!$O$3:$Q$66,2,0)),VLOOKUP($A9,'5.kolo'!$L$3:$N$66,2,0))</f>
        <v>0</v>
      </c>
      <c r="BS9" s="318">
        <f ca="1">IF(TYPE(VLOOKUP($A9,'5.kolo'!$L$3:$L$66,1,0))&gt;3,IF(TYPE(VLOOKUP($A9,'5.kolo'!$O$3:$Q$66,3,0))&gt;3,0,VLOOKUP($A9,'5.kolo'!$O$3:$Q$66,3,0)),VLOOKUP($A9,'5.kolo'!$L$3:$N$66,3,0))</f>
        <v>0</v>
      </c>
      <c r="BT9" s="318">
        <f t="shared" ca="1" si="23"/>
        <v>0</v>
      </c>
      <c r="BU9" s="397"/>
      <c r="BV9" s="424" t="str">
        <f ca="1">IF(BU9="","",CONCATENATE(TEXT($O9,"0"),IF(Start.listina!$Y$5="","",TEXT(500+$P9,"000")),TEXT(999999*RAND(),"000000")))</f>
        <v/>
      </c>
      <c r="BW9" s="318">
        <f t="shared" ca="1" si="6"/>
        <v>0</v>
      </c>
      <c r="BZ9" s="318">
        <f ca="1">IF(TYPE(VLOOKUP($A9,'6.kolo'!$L$3:$L$66,1,0))&gt;3,IF(TYPE(VLOOKUP($A9,'6.kolo'!$K$3:$L$66,2,0))&gt;3,0,VLOOKUP($A9,'6.kolo'!$K$3:$L$66,2,0)),VLOOKUP($A9,'6.kolo'!$L$3:$O$66,4,0))</f>
        <v>0</v>
      </c>
      <c r="CA9" s="318">
        <f ca="1">IF(TYPE(VLOOKUP($A9,'6.kolo'!$L$3:$L$66,1,0))&gt;3,IF(TYPE(VLOOKUP($A9,'6.kolo'!$O$3:$Q$66,2,0))&gt;3,0,VLOOKUP($A9,'6.kolo'!$O$3:$Q$66,2,0)),VLOOKUP($A9,'6.kolo'!$L$3:$N$66,2,0))</f>
        <v>0</v>
      </c>
      <c r="CB9" s="318">
        <f ca="1">IF(TYPE(VLOOKUP($A9,'6.kolo'!$L$3:$L$66,1,0))&gt;3,IF(TYPE(VLOOKUP($A9,'6.kolo'!$O$3:$Q$66,3,0))&gt;3,0,VLOOKUP($A9,'6.kolo'!$O$3:$Q$66,3,0)),VLOOKUP($A9,'6.kolo'!$L$3:$N$66,3,0))</f>
        <v>0</v>
      </c>
      <c r="CC9" s="318">
        <f t="shared" ca="1" si="24"/>
        <v>0</v>
      </c>
      <c r="CD9" s="397"/>
      <c r="CE9" s="424" t="str">
        <f ca="1">IF(CD9="","",CONCATENATE(TEXT($O9,"0"),IF(Start.listina!$Y$5="","",TEXT(500+$P9,"000")),TEXT(999999*RAND(),"000000")))</f>
        <v/>
      </c>
      <c r="CF9" s="318">
        <f t="shared" ca="1" si="7"/>
        <v>0</v>
      </c>
    </row>
    <row r="10" spans="1:84" x14ac:dyDescent="0.4">
      <c r="A10" s="318">
        <f ca="1">IF(OR(Start.listina!H18&gt;Start.listina!$K$7,Start.listina!G18=TRUE),"",Start.listina!H18)</f>
        <v>8</v>
      </c>
      <c r="B10" s="318">
        <f ca="1">IF($A10&gt;Start.listina!$K$7,"",INT(($A10-1)/Start.listina!$O$7)+1)</f>
        <v>1</v>
      </c>
      <c r="C10" s="421" t="str">
        <f ca="1">IF(OR(Start.listina!H18&gt;Start.listina!$K$7,Start.listina!G18=TRUE)," - ",Start.listina!AL18)</f>
        <v>8 PC Damníkov - Brandes Michael</v>
      </c>
      <c r="D10" s="318">
        <f ca="1">IF(OR(A10&gt;Start.listina!$K$7,TYPE(VLOOKUP(A10,$V$3:$X$130,3,0))&gt;3),"",VLOOKUP(A10,$V$3:$X$130,3,0))</f>
        <v>43</v>
      </c>
      <c r="E10" s="422">
        <f ca="1">IF(A10&gt;Start.listina!$K$7,"",IF(MIN(F10:K10)&gt;Start.listina!$Y$4,D10,MIN(F10:K10)))</f>
        <v>43</v>
      </c>
      <c r="F10" s="318">
        <f ca="1">IF(TYPE(VLOOKUP(C10,Konečné_pořadí_1_16!$B$2:$D$17,3,0))&lt;4,VLOOKUP(C10,Konečné_pořadí_1_16!$B$2:$D$17,3,0),999)</f>
        <v>999</v>
      </c>
      <c r="G10" s="318">
        <f ca="1">IF(TYPE(VLOOKUP(C10,'KO64'!$D$4:$D$129,1,0))&lt;4,64,999)</f>
        <v>999</v>
      </c>
      <c r="H10" s="318">
        <f ca="1">IF(TYPE(VLOOKUP(C10,'KO32'!$D$4:$D$65,1,0))&lt;4,32,999)</f>
        <v>999</v>
      </c>
      <c r="I10" s="318">
        <f ca="1">IF(TYPE(VLOOKUP(C10,'KO16'!$D$4:$D$33,1,0))&lt;4,16,999)</f>
        <v>999</v>
      </c>
      <c r="J10" s="318">
        <f ca="1">IF(TYPE(VLOOKUP(C10,'KO8'!$D$4:$D$17,1,0))&lt;4,8,999)</f>
        <v>999</v>
      </c>
      <c r="K10" s="318">
        <f ca="1">IF(TYPE(VLOOKUP(C10,'KO4'!$D$4:$D$9,1,0))&lt;4,4,999)</f>
        <v>999</v>
      </c>
      <c r="M10" s="319">
        <v>8</v>
      </c>
      <c r="O10" s="318">
        <f t="shared" ca="1" si="8"/>
        <v>1</v>
      </c>
      <c r="P10" s="318">
        <f t="shared" ca="1" si="9"/>
        <v>-10</v>
      </c>
      <c r="Q10" s="318">
        <f t="shared" ca="1" si="0"/>
        <v>9</v>
      </c>
      <c r="R10" s="318">
        <f t="shared" ca="1" si="1"/>
        <v>1</v>
      </c>
      <c r="S10" s="318">
        <f t="shared" ca="1" si="10"/>
        <v>31</v>
      </c>
      <c r="T10" s="318">
        <f t="shared" ca="1" si="11"/>
        <v>0</v>
      </c>
      <c r="U10" s="397">
        <f t="shared" si="25"/>
        <v>8</v>
      </c>
      <c r="V10" s="397">
        <v>28</v>
      </c>
      <c r="W10" s="423" t="str">
        <f ca="1">IF($V10="","",CONCATENATE(TEXT($O10,"0"),IF(Start.listina!$Y$5="","",TEXT(500+$P10,"0000")),IF(Start.listina!$Y$6="","",CHOOSE(Start.listina!$Y$7,TEXT($Q10,"00"),CONCATENATE(TEXT($Q10,"00"),TEXT($S10,"000")), TEXT($R10,"00"))),TEXT(500+$P10,"0000"),IF(Start.listina!$Y$8="","",TEXT($T10,"0")),TEXT(999999*RAND(),"000000")))</f>
        <v>1090310490552073</v>
      </c>
      <c r="X10" s="399">
        <f t="shared" si="12"/>
        <v>8</v>
      </c>
      <c r="Y10" s="397">
        <f t="shared" ca="1" si="2"/>
        <v>3</v>
      </c>
      <c r="Z10" s="318">
        <f t="shared" ca="1" si="13"/>
        <v>36</v>
      </c>
      <c r="AA10" s="318">
        <f t="shared" ca="1" si="14"/>
        <v>2</v>
      </c>
      <c r="AB10" s="318">
        <f t="shared" ca="1" si="15"/>
        <v>45</v>
      </c>
      <c r="AC10" s="318">
        <f t="shared" ca="1" si="16"/>
        <v>49</v>
      </c>
      <c r="AD10" s="318">
        <f t="shared" ca="1" si="17"/>
        <v>0</v>
      </c>
      <c r="AE10" s="318">
        <f t="shared" ca="1" si="18"/>
        <v>0</v>
      </c>
      <c r="AG10" s="318">
        <f ca="1">IF(TYPE(VLOOKUP($A10,'1.kolo'!$L$3:$L$66,1,0))&gt;3,VLOOKUP($A10,'1.kolo'!$K$3:$L$66,2,0),VLOOKUP($A10,'1.kolo'!$L$3:$O$66,4,0))</f>
        <v>36</v>
      </c>
      <c r="AH10" s="318">
        <f ca="1">IF(TYPE(VLOOKUP($A10,'1.kolo'!$L$3:$L$66,1,0))&gt;3,VLOOKUP($A10,'1.kolo'!$O$3:$Q$66,2,0),VLOOKUP($A10,'1.kolo'!$L$3:$N$66,2,0))</f>
        <v>1</v>
      </c>
      <c r="AI10" s="318">
        <f ca="1">IF(TYPE(VLOOKUP($A10,'1.kolo'!$L$3:$L$66,1,0))&gt;3,VLOOKUP($A10,'1.kolo'!$O$3:$Q$66,3,0),VLOOKUP($A10,'1.kolo'!$L$3:$N$66,3,0))</f>
        <v>8</v>
      </c>
      <c r="AJ10" s="318">
        <f t="shared" ca="1" si="19"/>
        <v>0</v>
      </c>
      <c r="AK10" s="318">
        <v>8</v>
      </c>
      <c r="AL10" s="424"/>
      <c r="AP10" s="318">
        <f ca="1">IF(TYPE(VLOOKUP($A10,'2.kolo'!$L$3:$L$66,1,0))&gt;3,IF(TYPE(VLOOKUP($A10,'2.kolo'!$K$3:$L$66,2,0))&gt;3,0,VLOOKUP($A10,'2.kolo'!$K$3:$L$66,2,0)),VLOOKUP($A10,'2.kolo'!$L$3:$O$66,4,0))</f>
        <v>2</v>
      </c>
      <c r="AQ10" s="318">
        <f ca="1">IF(TYPE(VLOOKUP($A10,'2.kolo'!$L$3:$L$66,1,0))&gt;3,IF(TYPE(VLOOKUP($A10,'2.kolo'!$O$3:$Q$66,2,0))&gt;3,0,VLOOKUP($A10,'2.kolo'!$O$3:$Q$66,2,0)),VLOOKUP($A10,'2.kolo'!$L$3:$N$66,2,0))</f>
        <v>0</v>
      </c>
      <c r="AR10" s="318">
        <f ca="1">IF(TYPE(VLOOKUP($A10,'2.kolo'!$L$3:$L$66,1,0))&gt;3,IF(TYPE(VLOOKUP($A10,'2.kolo'!$O$3:$Q$66,3,0))&gt;3,0,VLOOKUP($A10,'2.kolo'!$O$3:$Q$66,3,0)),VLOOKUP($A10,'2.kolo'!$L$3:$N$66,3,0))</f>
        <v>-7</v>
      </c>
      <c r="AS10" s="318">
        <f t="shared" ca="1" si="20"/>
        <v>0</v>
      </c>
      <c r="AT10" s="397">
        <v>22</v>
      </c>
      <c r="AU10" s="424" t="str">
        <f ca="1">IF(AT10="","",CONCATENATE(TEXT($O10,"0"),IF(Start.listina!$Y$5="","",TEXT(500+$P10,"000")),TEXT(999999*RAND(),"000000")))</f>
        <v>1078737</v>
      </c>
      <c r="AV10" s="318">
        <f t="shared" ca="1" si="3"/>
        <v>0</v>
      </c>
      <c r="AY10" s="318">
        <f ca="1">IF(TYPE(VLOOKUP($A10,'3.kolo'!$L$3:$L$66,1,0))&gt;3,IF(TYPE(VLOOKUP($A10,'3.kolo'!$K$3:$L$66,2,0))&gt;3,0,VLOOKUP($A10,'3.kolo'!$K$3:$L$66,2,0)),VLOOKUP($A10,'3.kolo'!$L$3:$O$66,4,0))</f>
        <v>45</v>
      </c>
      <c r="AZ10" s="318">
        <f ca="1">IF(TYPE(VLOOKUP($A10,'3.kolo'!$L$3:$L$66,1,0))&gt;3,IF(TYPE(VLOOKUP($A10,'3.kolo'!$O$3:$Q$66,2,0))&gt;3,0,VLOOKUP($A10,'3.kolo'!$O$3:$Q$66,2,0)),VLOOKUP($A10,'3.kolo'!$L$3:$N$66,2,0))</f>
        <v>0</v>
      </c>
      <c r="BA10" s="318">
        <f ca="1">IF(TYPE(VLOOKUP($A10,'3.kolo'!$L$3:$L$66,1,0))&gt;3,IF(TYPE(VLOOKUP($A10,'3.kolo'!$O$3:$Q$66,3,0))&gt;3,0,VLOOKUP($A10,'3.kolo'!$O$3:$Q$66,3,0)),VLOOKUP($A10,'3.kolo'!$L$3:$N$66,3,0))</f>
        <v>-7</v>
      </c>
      <c r="BB10" s="318">
        <f t="shared" ca="1" si="21"/>
        <v>0</v>
      </c>
      <c r="BC10" s="397">
        <v>2</v>
      </c>
      <c r="BD10" s="424" t="str">
        <f ca="1">IF(BC10="","",CONCATENATE(TEXT($O10,"0"),IF(Start.listina!$Y$5="","",TEXT(500+$P10,"000")),TEXT(999999*RAND(),"000000")))</f>
        <v>1198367</v>
      </c>
      <c r="BE10" s="318">
        <f t="shared" ca="1" si="4"/>
        <v>0</v>
      </c>
      <c r="BH10" s="318">
        <f ca="1">IF(TYPE(VLOOKUP($A10,'4.kolo'!$L$3:$L$66,1,0))&gt;3,IF(TYPE(VLOOKUP($A10,'4.kolo'!$K$3:$L$66,2,0))&gt;3,0,VLOOKUP($A10,'4.kolo'!$K$3:$L$66,2,0)),VLOOKUP($A10,'4.kolo'!$L$3:$O$66,4,0))</f>
        <v>49</v>
      </c>
      <c r="BI10" s="318">
        <f ca="1">IF(TYPE(VLOOKUP($A10,'4.kolo'!$L$3:$L$66,1,0))&gt;3,IF(TYPE(VLOOKUP($A10,'4.kolo'!$O$3:$Q$66,2,0))&gt;3,0,VLOOKUP($A10,'4.kolo'!$O$3:$Q$66,2,0)),VLOOKUP($A10,'4.kolo'!$L$3:$N$66,2,0))</f>
        <v>0</v>
      </c>
      <c r="BJ10" s="318">
        <f ca="1">IF(TYPE(VLOOKUP($A10,'4.kolo'!$L$3:$L$66,1,0))&gt;3,IF(TYPE(VLOOKUP($A10,'4.kolo'!$O$3:$Q$66,3,0))&gt;3,0,VLOOKUP($A10,'4.kolo'!$O$3:$Q$66,3,0)),VLOOKUP($A10,'4.kolo'!$L$3:$N$66,3,0))</f>
        <v>-4</v>
      </c>
      <c r="BK10" s="318">
        <f t="shared" ca="1" si="22"/>
        <v>0</v>
      </c>
      <c r="BL10" s="397">
        <v>14</v>
      </c>
      <c r="BM10" s="424" t="str">
        <f ca="1">IF(BL10="","",CONCATENATE(TEXT($O10,"0"),IF(Start.listina!$Y$5="","",TEXT(500+$P10,"000")),TEXT(999999*RAND(),"000000")))</f>
        <v>1061725</v>
      </c>
      <c r="BN10" s="318">
        <f t="shared" ca="1" si="5"/>
        <v>0</v>
      </c>
      <c r="BQ10" s="318">
        <f ca="1">IF(TYPE(VLOOKUP($A10,'5.kolo'!$L$3:$L$66,1,0))&gt;3,IF(TYPE(VLOOKUP($A10,'5.kolo'!$K$3:$L$66,2,0))&gt;3,0,VLOOKUP($A10,'5.kolo'!$K$3:$L$66,2,0)),VLOOKUP($A10,'5.kolo'!$L$3:$O$66,4,0))</f>
        <v>0</v>
      </c>
      <c r="BR10" s="318">
        <f ca="1">IF(TYPE(VLOOKUP($A10,'5.kolo'!$L$3:$L$66,1,0))&gt;3,IF(TYPE(VLOOKUP($A10,'5.kolo'!$O$3:$Q$66,2,0))&gt;3,0,VLOOKUP($A10,'5.kolo'!$O$3:$Q$66,2,0)),VLOOKUP($A10,'5.kolo'!$L$3:$N$66,2,0))</f>
        <v>0</v>
      </c>
      <c r="BS10" s="318">
        <f ca="1">IF(TYPE(VLOOKUP($A10,'5.kolo'!$L$3:$L$66,1,0))&gt;3,IF(TYPE(VLOOKUP($A10,'5.kolo'!$O$3:$Q$66,3,0))&gt;3,0,VLOOKUP($A10,'5.kolo'!$O$3:$Q$66,3,0)),VLOOKUP($A10,'5.kolo'!$L$3:$N$66,3,0))</f>
        <v>0</v>
      </c>
      <c r="BT10" s="318">
        <f t="shared" ca="1" si="23"/>
        <v>0</v>
      </c>
      <c r="BU10" s="397"/>
      <c r="BV10" s="424" t="str">
        <f ca="1">IF(BU10="","",CONCATENATE(TEXT($O10,"0"),IF(Start.listina!$Y$5="","",TEXT(500+$P10,"000")),TEXT(999999*RAND(),"000000")))</f>
        <v/>
      </c>
      <c r="BW10" s="318">
        <f t="shared" ca="1" si="6"/>
        <v>0</v>
      </c>
      <c r="BZ10" s="318">
        <f ca="1">IF(TYPE(VLOOKUP($A10,'6.kolo'!$L$3:$L$66,1,0))&gt;3,IF(TYPE(VLOOKUP($A10,'6.kolo'!$K$3:$L$66,2,0))&gt;3,0,VLOOKUP($A10,'6.kolo'!$K$3:$L$66,2,0)),VLOOKUP($A10,'6.kolo'!$L$3:$O$66,4,0))</f>
        <v>0</v>
      </c>
      <c r="CA10" s="318">
        <f ca="1">IF(TYPE(VLOOKUP($A10,'6.kolo'!$L$3:$L$66,1,0))&gt;3,IF(TYPE(VLOOKUP($A10,'6.kolo'!$O$3:$Q$66,2,0))&gt;3,0,VLOOKUP($A10,'6.kolo'!$O$3:$Q$66,2,0)),VLOOKUP($A10,'6.kolo'!$L$3:$N$66,2,0))</f>
        <v>0</v>
      </c>
      <c r="CB10" s="318">
        <f ca="1">IF(TYPE(VLOOKUP($A10,'6.kolo'!$L$3:$L$66,1,0))&gt;3,IF(TYPE(VLOOKUP($A10,'6.kolo'!$O$3:$Q$66,3,0))&gt;3,0,VLOOKUP($A10,'6.kolo'!$O$3:$Q$66,3,0)),VLOOKUP($A10,'6.kolo'!$L$3:$N$66,3,0))</f>
        <v>0</v>
      </c>
      <c r="CC10" s="318">
        <f t="shared" ca="1" si="24"/>
        <v>0</v>
      </c>
      <c r="CD10" s="397"/>
      <c r="CE10" s="424" t="str">
        <f ca="1">IF(CD10="","",CONCATENATE(TEXT($O10,"0"),IF(Start.listina!$Y$5="","",TEXT(500+$P10,"000")),TEXT(999999*RAND(),"000000")))</f>
        <v/>
      </c>
      <c r="CF10" s="318">
        <f t="shared" ca="1" si="7"/>
        <v>0</v>
      </c>
    </row>
    <row r="11" spans="1:84" x14ac:dyDescent="0.4">
      <c r="A11" s="318">
        <f ca="1">IF(OR(Start.listina!H19&gt;Start.listina!$K$7,Start.listina!G19=TRUE),"",Start.listina!H19)</f>
        <v>9</v>
      </c>
      <c r="B11" s="318">
        <f ca="1">IF($A11&gt;Start.listina!$K$7,"",INT(($A11-1)/Start.listina!$O$7)+1)</f>
        <v>1</v>
      </c>
      <c r="C11" s="421" t="str">
        <f ca="1">IF(OR(Start.listina!H19&gt;Start.listina!$K$7,Start.listina!G19=TRUE)," - ",Start.listina!AL19)</f>
        <v>9 UBU Únětice - Palas Pavel</v>
      </c>
      <c r="D11" s="318">
        <f ca="1">IF(OR(A11&gt;Start.listina!$K$7,TYPE(VLOOKUP(A11,$V$3:$X$130,3,0))&gt;3),"",VLOOKUP(A11,$V$3:$X$130,3,0))</f>
        <v>14</v>
      </c>
      <c r="E11" s="422">
        <f ca="1">IF(A11&gt;Start.listina!$K$7,"",IF(MIN(F11:K11)&gt;Start.listina!$Y$4,D11,MIN(F11:K11)))</f>
        <v>16</v>
      </c>
      <c r="F11" s="318">
        <f ca="1">IF(TYPE(VLOOKUP(C11,Konečné_pořadí_1_16!$B$2:$D$17,3,0))&lt;4,VLOOKUP(C11,Konečné_pořadí_1_16!$B$2:$D$17,3,0),999)</f>
        <v>999</v>
      </c>
      <c r="G11" s="318">
        <f ca="1">IF(TYPE(VLOOKUP(C11,'KO64'!$D$4:$D$129,1,0))&lt;4,64,999)</f>
        <v>64</v>
      </c>
      <c r="H11" s="318">
        <f ca="1">IF(TYPE(VLOOKUP(C11,'KO32'!$D$4:$D$65,1,0))&lt;4,32,999)</f>
        <v>32</v>
      </c>
      <c r="I11" s="318">
        <f ca="1">IF(TYPE(VLOOKUP(C11,'KO16'!$D$4:$D$33,1,0))&lt;4,16,999)</f>
        <v>16</v>
      </c>
      <c r="J11" s="318">
        <f ca="1">IF(TYPE(VLOOKUP(C11,'KO8'!$D$4:$D$17,1,0))&lt;4,8,999)</f>
        <v>999</v>
      </c>
      <c r="K11" s="318">
        <f ca="1">IF(TYPE(VLOOKUP(C11,'KO4'!$D$4:$D$9,1,0))&lt;4,4,999)</f>
        <v>999</v>
      </c>
      <c r="M11" s="319">
        <v>9</v>
      </c>
      <c r="O11" s="318">
        <f t="shared" ca="1" si="8"/>
        <v>3</v>
      </c>
      <c r="P11" s="318">
        <f t="shared" ca="1" si="9"/>
        <v>19</v>
      </c>
      <c r="Q11" s="318">
        <f t="shared" ca="1" si="0"/>
        <v>8</v>
      </c>
      <c r="R11" s="318">
        <f t="shared" ca="1" si="1"/>
        <v>5</v>
      </c>
      <c r="S11" s="318">
        <f t="shared" ca="1" si="10"/>
        <v>35</v>
      </c>
      <c r="T11" s="318">
        <f t="shared" ca="1" si="11"/>
        <v>0</v>
      </c>
      <c r="U11" s="397">
        <f t="shared" si="25"/>
        <v>9</v>
      </c>
      <c r="V11" s="397">
        <v>34</v>
      </c>
      <c r="W11" s="423" t="str">
        <f ca="1">IF($V11="","",CONCATENATE(TEXT($O11,"0"),IF(Start.listina!$Y$5="","",TEXT(500+$P11,"0000")),IF(Start.listina!$Y$6="","",CHOOSE(Start.listina!$Y$7,TEXT($Q11,"00"),CONCATENATE(TEXT($Q11,"00"),TEXT($S11,"000")), TEXT($R11,"00"))),TEXT(500+$P11,"0000"),IF(Start.listina!$Y$8="","",TEXT($T11,"0")),TEXT(999999*RAND(),"000000")))</f>
        <v>3080350519705628</v>
      </c>
      <c r="X11" s="399">
        <f t="shared" si="12"/>
        <v>9</v>
      </c>
      <c r="Y11" s="397">
        <f t="shared" ca="1" si="2"/>
        <v>3</v>
      </c>
      <c r="Z11" s="318">
        <f t="shared" ca="1" si="13"/>
        <v>37</v>
      </c>
      <c r="AA11" s="318">
        <f t="shared" ca="1" si="14"/>
        <v>14</v>
      </c>
      <c r="AB11" s="318">
        <f t="shared" ca="1" si="15"/>
        <v>36</v>
      </c>
      <c r="AC11" s="318">
        <f t="shared" ca="1" si="16"/>
        <v>3</v>
      </c>
      <c r="AD11" s="318">
        <f t="shared" ca="1" si="17"/>
        <v>0</v>
      </c>
      <c r="AE11" s="318">
        <f t="shared" ca="1" si="18"/>
        <v>0</v>
      </c>
      <c r="AG11" s="318">
        <f ca="1">IF(TYPE(VLOOKUP($A11,'1.kolo'!$L$3:$L$66,1,0))&gt;3,VLOOKUP($A11,'1.kolo'!$K$3:$L$66,2,0),VLOOKUP($A11,'1.kolo'!$L$3:$O$66,4,0))</f>
        <v>37</v>
      </c>
      <c r="AH11" s="318">
        <f ca="1">IF(TYPE(VLOOKUP($A11,'1.kolo'!$L$3:$L$66,1,0))&gt;3,VLOOKUP($A11,'1.kolo'!$O$3:$Q$66,2,0),VLOOKUP($A11,'1.kolo'!$L$3:$N$66,2,0))</f>
        <v>1</v>
      </c>
      <c r="AI11" s="318">
        <f ca="1">IF(TYPE(VLOOKUP($A11,'1.kolo'!$L$3:$L$66,1,0))&gt;3,VLOOKUP($A11,'1.kolo'!$O$3:$Q$66,3,0),VLOOKUP($A11,'1.kolo'!$L$3:$N$66,3,0))</f>
        <v>7</v>
      </c>
      <c r="AJ11" s="318">
        <f t="shared" ca="1" si="19"/>
        <v>0</v>
      </c>
      <c r="AK11" s="318">
        <v>9</v>
      </c>
      <c r="AL11" s="424"/>
      <c r="AP11" s="318">
        <f ca="1">IF(TYPE(VLOOKUP($A11,'2.kolo'!$L$3:$L$66,1,0))&gt;3,IF(TYPE(VLOOKUP($A11,'2.kolo'!$K$3:$L$66,2,0))&gt;3,0,VLOOKUP($A11,'2.kolo'!$K$3:$L$66,2,0)),VLOOKUP($A11,'2.kolo'!$L$3:$O$66,4,0))</f>
        <v>14</v>
      </c>
      <c r="AQ11" s="318">
        <f ca="1">IF(TYPE(VLOOKUP($A11,'2.kolo'!$L$3:$L$66,1,0))&gt;3,IF(TYPE(VLOOKUP($A11,'2.kolo'!$O$3:$Q$66,2,0))&gt;3,0,VLOOKUP($A11,'2.kolo'!$O$3:$Q$66,2,0)),VLOOKUP($A11,'2.kolo'!$L$3:$N$66,2,0))</f>
        <v>0</v>
      </c>
      <c r="AR11" s="318">
        <f ca="1">IF(TYPE(VLOOKUP($A11,'2.kolo'!$L$3:$L$66,1,0))&gt;3,IF(TYPE(VLOOKUP($A11,'2.kolo'!$O$3:$Q$66,3,0))&gt;3,0,VLOOKUP($A11,'2.kolo'!$O$3:$Q$66,3,0)),VLOOKUP($A11,'2.kolo'!$L$3:$N$66,3,0))</f>
        <v>-2</v>
      </c>
      <c r="AS11" s="318">
        <f t="shared" ca="1" si="20"/>
        <v>0</v>
      </c>
      <c r="AT11" s="397">
        <v>21</v>
      </c>
      <c r="AU11" s="424" t="str">
        <f ca="1">IF(AT11="","",CONCATENATE(TEXT($O11,"0"),IF(Start.listina!$Y$5="","",TEXT(500+$P11,"000")),TEXT(999999*RAND(),"000000")))</f>
        <v>3315092</v>
      </c>
      <c r="AV11" s="318">
        <f t="shared" ca="1" si="3"/>
        <v>0</v>
      </c>
      <c r="AY11" s="318">
        <f ca="1">IF(TYPE(VLOOKUP($A11,'3.kolo'!$L$3:$L$66,1,0))&gt;3,IF(TYPE(VLOOKUP($A11,'3.kolo'!$K$3:$L$66,2,0))&gt;3,0,VLOOKUP($A11,'3.kolo'!$K$3:$L$66,2,0)),VLOOKUP($A11,'3.kolo'!$L$3:$O$66,4,0))</f>
        <v>36</v>
      </c>
      <c r="AZ11" s="318">
        <f ca="1">IF(TYPE(VLOOKUP($A11,'3.kolo'!$L$3:$L$66,1,0))&gt;3,IF(TYPE(VLOOKUP($A11,'3.kolo'!$O$3:$Q$66,2,0))&gt;3,0,VLOOKUP($A11,'3.kolo'!$O$3:$Q$66,2,0)),VLOOKUP($A11,'3.kolo'!$L$3:$N$66,2,0))</f>
        <v>1</v>
      </c>
      <c r="BA11" s="318">
        <f ca="1">IF(TYPE(VLOOKUP($A11,'3.kolo'!$L$3:$L$66,1,0))&gt;3,IF(TYPE(VLOOKUP($A11,'3.kolo'!$O$3:$Q$66,3,0))&gt;3,0,VLOOKUP($A11,'3.kolo'!$O$3:$Q$66,3,0)),VLOOKUP($A11,'3.kolo'!$L$3:$N$66,3,0))</f>
        <v>9</v>
      </c>
      <c r="BB11" s="318">
        <f t="shared" ca="1" si="21"/>
        <v>0</v>
      </c>
      <c r="BC11" s="397">
        <v>10</v>
      </c>
      <c r="BD11" s="424" t="str">
        <f ca="1">IF(BC11="","",CONCATENATE(TEXT($O11,"0"),IF(Start.listina!$Y$5="","",TEXT(500+$P11,"000")),TEXT(999999*RAND(),"000000")))</f>
        <v>3158192</v>
      </c>
      <c r="BE11" s="318">
        <f t="shared" ca="1" si="4"/>
        <v>0</v>
      </c>
      <c r="BH11" s="318">
        <f ca="1">IF(TYPE(VLOOKUP($A11,'4.kolo'!$L$3:$L$66,1,0))&gt;3,IF(TYPE(VLOOKUP($A11,'4.kolo'!$K$3:$L$66,2,0))&gt;3,0,VLOOKUP($A11,'4.kolo'!$K$3:$L$66,2,0)),VLOOKUP($A11,'4.kolo'!$L$3:$O$66,4,0))</f>
        <v>3</v>
      </c>
      <c r="BI11" s="318">
        <f ca="1">IF(TYPE(VLOOKUP($A11,'4.kolo'!$L$3:$L$66,1,0))&gt;3,IF(TYPE(VLOOKUP($A11,'4.kolo'!$O$3:$Q$66,2,0))&gt;3,0,VLOOKUP($A11,'4.kolo'!$O$3:$Q$66,2,0)),VLOOKUP($A11,'4.kolo'!$L$3:$N$66,2,0))</f>
        <v>1</v>
      </c>
      <c r="BJ11" s="318">
        <f ca="1">IF(TYPE(VLOOKUP($A11,'4.kolo'!$L$3:$L$66,1,0))&gt;3,IF(TYPE(VLOOKUP($A11,'4.kolo'!$O$3:$Q$66,3,0))&gt;3,0,VLOOKUP($A11,'4.kolo'!$O$3:$Q$66,3,0)),VLOOKUP($A11,'4.kolo'!$L$3:$N$66,3,0))</f>
        <v>5</v>
      </c>
      <c r="BK11" s="318">
        <f t="shared" ca="1" si="22"/>
        <v>0</v>
      </c>
      <c r="BL11" s="397">
        <v>52</v>
      </c>
      <c r="BM11" s="424" t="str">
        <f ca="1">IF(BL11="","",CONCATENATE(TEXT($O11,"0"),IF(Start.listina!$Y$5="","",TEXT(500+$P11,"000")),TEXT(999999*RAND(),"000000")))</f>
        <v>3509681</v>
      </c>
      <c r="BN11" s="318">
        <f t="shared" ca="1" si="5"/>
        <v>0</v>
      </c>
      <c r="BQ11" s="318">
        <f ca="1">IF(TYPE(VLOOKUP($A11,'5.kolo'!$L$3:$L$66,1,0))&gt;3,IF(TYPE(VLOOKUP($A11,'5.kolo'!$K$3:$L$66,2,0))&gt;3,0,VLOOKUP($A11,'5.kolo'!$K$3:$L$66,2,0)),VLOOKUP($A11,'5.kolo'!$L$3:$O$66,4,0))</f>
        <v>0</v>
      </c>
      <c r="BR11" s="318">
        <f ca="1">IF(TYPE(VLOOKUP($A11,'5.kolo'!$L$3:$L$66,1,0))&gt;3,IF(TYPE(VLOOKUP($A11,'5.kolo'!$O$3:$Q$66,2,0))&gt;3,0,VLOOKUP($A11,'5.kolo'!$O$3:$Q$66,2,0)),VLOOKUP($A11,'5.kolo'!$L$3:$N$66,2,0))</f>
        <v>0</v>
      </c>
      <c r="BS11" s="318">
        <f ca="1">IF(TYPE(VLOOKUP($A11,'5.kolo'!$L$3:$L$66,1,0))&gt;3,IF(TYPE(VLOOKUP($A11,'5.kolo'!$O$3:$Q$66,3,0))&gt;3,0,VLOOKUP($A11,'5.kolo'!$O$3:$Q$66,3,0)),VLOOKUP($A11,'5.kolo'!$L$3:$N$66,3,0))</f>
        <v>0</v>
      </c>
      <c r="BT11" s="318">
        <f t="shared" ca="1" si="23"/>
        <v>0</v>
      </c>
      <c r="BU11" s="397"/>
      <c r="BV11" s="424" t="str">
        <f ca="1">IF(BU11="","",CONCATENATE(TEXT($O11,"0"),IF(Start.listina!$Y$5="","",TEXT(500+$P11,"000")),TEXT(999999*RAND(),"000000")))</f>
        <v/>
      </c>
      <c r="BW11" s="318">
        <f t="shared" ca="1" si="6"/>
        <v>0</v>
      </c>
      <c r="BZ11" s="318">
        <f ca="1">IF(TYPE(VLOOKUP($A11,'6.kolo'!$L$3:$L$66,1,0))&gt;3,IF(TYPE(VLOOKUP($A11,'6.kolo'!$K$3:$L$66,2,0))&gt;3,0,VLOOKUP($A11,'6.kolo'!$K$3:$L$66,2,0)),VLOOKUP($A11,'6.kolo'!$L$3:$O$66,4,0))</f>
        <v>0</v>
      </c>
      <c r="CA11" s="318">
        <f ca="1">IF(TYPE(VLOOKUP($A11,'6.kolo'!$L$3:$L$66,1,0))&gt;3,IF(TYPE(VLOOKUP($A11,'6.kolo'!$O$3:$Q$66,2,0))&gt;3,0,VLOOKUP($A11,'6.kolo'!$O$3:$Q$66,2,0)),VLOOKUP($A11,'6.kolo'!$L$3:$N$66,2,0))</f>
        <v>0</v>
      </c>
      <c r="CB11" s="318">
        <f ca="1">IF(TYPE(VLOOKUP($A11,'6.kolo'!$L$3:$L$66,1,0))&gt;3,IF(TYPE(VLOOKUP($A11,'6.kolo'!$O$3:$Q$66,3,0))&gt;3,0,VLOOKUP($A11,'6.kolo'!$O$3:$Q$66,3,0)),VLOOKUP($A11,'6.kolo'!$L$3:$N$66,3,0))</f>
        <v>0</v>
      </c>
      <c r="CC11" s="318">
        <f t="shared" ca="1" si="24"/>
        <v>0</v>
      </c>
      <c r="CD11" s="397"/>
      <c r="CE11" s="424" t="str">
        <f ca="1">IF(CD11="","",CONCATENATE(TEXT($O11,"0"),IF(Start.listina!$Y$5="","",TEXT(500+$P11,"000")),TEXT(999999*RAND(),"000000")))</f>
        <v/>
      </c>
      <c r="CF11" s="318">
        <f t="shared" ca="1" si="7"/>
        <v>0</v>
      </c>
    </row>
    <row r="12" spans="1:84" x14ac:dyDescent="0.4">
      <c r="A12" s="318">
        <f ca="1">IF(OR(Start.listina!H20&gt;Start.listina!$K$7,Start.listina!G20=TRUE),"",Start.listina!H20)</f>
        <v>10</v>
      </c>
      <c r="B12" s="318">
        <f ca="1">IF($A12&gt;Start.listina!$K$7,"",INT(($A12-1)/Start.listina!$O$7)+1)</f>
        <v>1</v>
      </c>
      <c r="C12" s="421" t="str">
        <f ca="1">IF(OR(Start.listina!H20&gt;Start.listina!$K$7,Start.listina!G20=TRUE)," - ",Start.listina!AL20)</f>
        <v>10 JAPKO - Stejskal Václav</v>
      </c>
      <c r="D12" s="318">
        <f ca="1">IF(OR(A12&gt;Start.listina!$K$7,TYPE(VLOOKUP(A12,$V$3:$X$130,3,0))&gt;3),"",VLOOKUP(A12,$V$3:$X$130,3,0))</f>
        <v>19</v>
      </c>
      <c r="E12" s="422">
        <f ca="1">IF(A12&gt;Start.listina!$K$7,"",IF(MIN(F12:K12)&gt;Start.listina!$Y$4,D12,MIN(F12:K12)))</f>
        <v>19</v>
      </c>
      <c r="F12" s="318">
        <f ca="1">IF(TYPE(VLOOKUP(C12,Konečné_pořadí_1_16!$B$2:$D$17,3,0))&lt;4,VLOOKUP(C12,Konečné_pořadí_1_16!$B$2:$D$17,3,0),999)</f>
        <v>999</v>
      </c>
      <c r="G12" s="318">
        <f ca="1">IF(TYPE(VLOOKUP(C12,'KO64'!$D$4:$D$129,1,0))&lt;4,64,999)</f>
        <v>999</v>
      </c>
      <c r="H12" s="318">
        <f ca="1">IF(TYPE(VLOOKUP(C12,'KO32'!$D$4:$D$65,1,0))&lt;4,32,999)</f>
        <v>999</v>
      </c>
      <c r="I12" s="318">
        <f ca="1">IF(TYPE(VLOOKUP(C12,'KO16'!$D$4:$D$33,1,0))&lt;4,16,999)</f>
        <v>999</v>
      </c>
      <c r="J12" s="318">
        <f ca="1">IF(TYPE(VLOOKUP(C12,'KO8'!$D$4:$D$17,1,0))&lt;4,8,999)</f>
        <v>999</v>
      </c>
      <c r="K12" s="318">
        <f ca="1">IF(TYPE(VLOOKUP(C12,'KO4'!$D$4:$D$9,1,0))&lt;4,4,999)</f>
        <v>999</v>
      </c>
      <c r="M12" s="319">
        <v>10</v>
      </c>
      <c r="O12" s="318">
        <f t="shared" ca="1" si="8"/>
        <v>2</v>
      </c>
      <c r="P12" s="318">
        <f t="shared" ca="1" si="9"/>
        <v>-1</v>
      </c>
      <c r="Q12" s="318">
        <f t="shared" ca="1" si="0"/>
        <v>11</v>
      </c>
      <c r="R12" s="318">
        <f t="shared" ca="1" si="1"/>
        <v>5</v>
      </c>
      <c r="S12" s="318">
        <f t="shared" ca="1" si="10"/>
        <v>37</v>
      </c>
      <c r="T12" s="318">
        <f t="shared" ca="1" si="11"/>
        <v>0</v>
      </c>
      <c r="U12" s="397">
        <f t="shared" si="25"/>
        <v>10</v>
      </c>
      <c r="V12" s="397">
        <v>12</v>
      </c>
      <c r="W12" s="423" t="str">
        <f ca="1">IF($V12="","",CONCATENATE(TEXT($O12,"0"),IF(Start.listina!$Y$5="","",TEXT(500+$P12,"0000")),IF(Start.listina!$Y$6="","",CHOOSE(Start.listina!$Y$7,TEXT($Q12,"00"),CONCATENATE(TEXT($Q12,"00"),TEXT($S12,"000")), TEXT($R12,"00"))),TEXT(500+$P12,"0000"),IF(Start.listina!$Y$8="","",TEXT($T12,"0")),TEXT(999999*RAND(),"000000")))</f>
        <v>2110370499274324</v>
      </c>
      <c r="X12" s="399">
        <f t="shared" si="12"/>
        <v>10</v>
      </c>
      <c r="Y12" s="397">
        <f t="shared" ca="1" si="2"/>
        <v>3</v>
      </c>
      <c r="Z12" s="318">
        <f t="shared" ca="1" si="13"/>
        <v>38</v>
      </c>
      <c r="AA12" s="318">
        <f t="shared" ca="1" si="14"/>
        <v>52</v>
      </c>
      <c r="AB12" s="318">
        <f t="shared" ca="1" si="15"/>
        <v>28</v>
      </c>
      <c r="AC12" s="318">
        <f t="shared" ca="1" si="16"/>
        <v>34</v>
      </c>
      <c r="AD12" s="318">
        <f t="shared" ca="1" si="17"/>
        <v>0</v>
      </c>
      <c r="AE12" s="318">
        <f t="shared" ca="1" si="18"/>
        <v>0</v>
      </c>
      <c r="AG12" s="318">
        <f ca="1">IF(TYPE(VLOOKUP($A12,'1.kolo'!$L$3:$L$66,1,0))&gt;3,VLOOKUP($A12,'1.kolo'!$K$3:$L$66,2,0),VLOOKUP($A12,'1.kolo'!$L$3:$O$66,4,0))</f>
        <v>38</v>
      </c>
      <c r="AH12" s="318">
        <f ca="1">IF(TYPE(VLOOKUP($A12,'1.kolo'!$L$3:$L$66,1,0))&gt;3,VLOOKUP($A12,'1.kolo'!$O$3:$Q$66,2,0),VLOOKUP($A12,'1.kolo'!$L$3:$N$66,2,0))</f>
        <v>1</v>
      </c>
      <c r="AI12" s="318">
        <f ca="1">IF(TYPE(VLOOKUP($A12,'1.kolo'!$L$3:$L$66,1,0))&gt;3,VLOOKUP($A12,'1.kolo'!$O$3:$Q$66,3,0),VLOOKUP($A12,'1.kolo'!$L$3:$N$66,3,0))</f>
        <v>7</v>
      </c>
      <c r="AJ12" s="318">
        <f t="shared" ca="1" si="19"/>
        <v>0</v>
      </c>
      <c r="AK12" s="318">
        <v>10</v>
      </c>
      <c r="AL12" s="424"/>
      <c r="AP12" s="318">
        <f ca="1">IF(TYPE(VLOOKUP($A12,'2.kolo'!$L$3:$L$66,1,0))&gt;3,IF(TYPE(VLOOKUP($A12,'2.kolo'!$K$3:$L$66,2,0))&gt;3,0,VLOOKUP($A12,'2.kolo'!$K$3:$L$66,2,0)),VLOOKUP($A12,'2.kolo'!$L$3:$O$66,4,0))</f>
        <v>52</v>
      </c>
      <c r="AQ12" s="318">
        <f ca="1">IF(TYPE(VLOOKUP($A12,'2.kolo'!$L$3:$L$66,1,0))&gt;3,IF(TYPE(VLOOKUP($A12,'2.kolo'!$O$3:$Q$66,2,0))&gt;3,0,VLOOKUP($A12,'2.kolo'!$O$3:$Q$66,2,0)),VLOOKUP($A12,'2.kolo'!$L$3:$N$66,2,0))</f>
        <v>1</v>
      </c>
      <c r="AR12" s="318">
        <f ca="1">IF(TYPE(VLOOKUP($A12,'2.kolo'!$L$3:$L$66,1,0))&gt;3,IF(TYPE(VLOOKUP($A12,'2.kolo'!$O$3:$Q$66,3,0))&gt;3,0,VLOOKUP($A12,'2.kolo'!$O$3:$Q$66,3,0)),VLOOKUP($A12,'2.kolo'!$L$3:$N$66,3,0))</f>
        <v>2</v>
      </c>
      <c r="AS12" s="318">
        <f t="shared" ca="1" si="20"/>
        <v>0</v>
      </c>
      <c r="AT12" s="397">
        <v>53</v>
      </c>
      <c r="AU12" s="424" t="str">
        <f ca="1">IF(AT12="","",CONCATENATE(TEXT($O12,"0"),IF(Start.listina!$Y$5="","",TEXT(500+$P12,"000")),TEXT(999999*RAND(),"000000")))</f>
        <v>2056280</v>
      </c>
      <c r="AV12" s="318">
        <f t="shared" ca="1" si="3"/>
        <v>0</v>
      </c>
      <c r="AY12" s="318">
        <f ca="1">IF(TYPE(VLOOKUP($A12,'3.kolo'!$L$3:$L$66,1,0))&gt;3,IF(TYPE(VLOOKUP($A12,'3.kolo'!$K$3:$L$66,2,0))&gt;3,0,VLOOKUP($A12,'3.kolo'!$K$3:$L$66,2,0)),VLOOKUP($A12,'3.kolo'!$L$3:$O$66,4,0))</f>
        <v>28</v>
      </c>
      <c r="AZ12" s="318">
        <f ca="1">IF(TYPE(VLOOKUP($A12,'3.kolo'!$L$3:$L$66,1,0))&gt;3,IF(TYPE(VLOOKUP($A12,'3.kolo'!$O$3:$Q$66,2,0))&gt;3,0,VLOOKUP($A12,'3.kolo'!$O$3:$Q$66,2,0)),VLOOKUP($A12,'3.kolo'!$L$3:$N$66,2,0))</f>
        <v>0</v>
      </c>
      <c r="BA12" s="318">
        <f ca="1">IF(TYPE(VLOOKUP($A12,'3.kolo'!$L$3:$L$66,1,0))&gt;3,IF(TYPE(VLOOKUP($A12,'3.kolo'!$O$3:$Q$66,3,0))&gt;3,0,VLOOKUP($A12,'3.kolo'!$O$3:$Q$66,3,0)),VLOOKUP($A12,'3.kolo'!$L$3:$N$66,3,0))</f>
        <v>-3</v>
      </c>
      <c r="BB12" s="318">
        <f t="shared" ca="1" si="21"/>
        <v>0</v>
      </c>
      <c r="BC12" s="397">
        <v>28</v>
      </c>
      <c r="BD12" s="424" t="str">
        <f ca="1">IF(BC12="","",CONCATENATE(TEXT($O12,"0"),IF(Start.listina!$Y$5="","",TEXT(500+$P12,"000")),TEXT(999999*RAND(),"000000")))</f>
        <v>2378240</v>
      </c>
      <c r="BE12" s="318">
        <f t="shared" ca="1" si="4"/>
        <v>0</v>
      </c>
      <c r="BH12" s="318">
        <f ca="1">IF(TYPE(VLOOKUP($A12,'4.kolo'!$L$3:$L$66,1,0))&gt;3,IF(TYPE(VLOOKUP($A12,'4.kolo'!$K$3:$L$66,2,0))&gt;3,0,VLOOKUP($A12,'4.kolo'!$K$3:$L$66,2,0)),VLOOKUP($A12,'4.kolo'!$L$3:$O$66,4,0))</f>
        <v>34</v>
      </c>
      <c r="BI12" s="318">
        <f ca="1">IF(TYPE(VLOOKUP($A12,'4.kolo'!$L$3:$L$66,1,0))&gt;3,IF(TYPE(VLOOKUP($A12,'4.kolo'!$O$3:$Q$66,2,0))&gt;3,0,VLOOKUP($A12,'4.kolo'!$O$3:$Q$66,2,0)),VLOOKUP($A12,'4.kolo'!$L$3:$N$66,2,0))</f>
        <v>0</v>
      </c>
      <c r="BJ12" s="318">
        <f ca="1">IF(TYPE(VLOOKUP($A12,'4.kolo'!$L$3:$L$66,1,0))&gt;3,IF(TYPE(VLOOKUP($A12,'4.kolo'!$O$3:$Q$66,3,0))&gt;3,0,VLOOKUP($A12,'4.kolo'!$O$3:$Q$66,3,0)),VLOOKUP($A12,'4.kolo'!$L$3:$N$66,3,0))</f>
        <v>-7</v>
      </c>
      <c r="BK12" s="318">
        <f t="shared" ca="1" si="22"/>
        <v>0</v>
      </c>
      <c r="BL12" s="397">
        <v>17</v>
      </c>
      <c r="BM12" s="424" t="str">
        <f ca="1">IF(BL12="","",CONCATENATE(TEXT($O12,"0"),IF(Start.listina!$Y$5="","",TEXT(500+$P12,"000")),TEXT(999999*RAND(),"000000")))</f>
        <v>2281424</v>
      </c>
      <c r="BN12" s="318">
        <f t="shared" ca="1" si="5"/>
        <v>0</v>
      </c>
      <c r="BQ12" s="318">
        <f ca="1">IF(TYPE(VLOOKUP($A12,'5.kolo'!$L$3:$L$66,1,0))&gt;3,IF(TYPE(VLOOKUP($A12,'5.kolo'!$K$3:$L$66,2,0))&gt;3,0,VLOOKUP($A12,'5.kolo'!$K$3:$L$66,2,0)),VLOOKUP($A12,'5.kolo'!$L$3:$O$66,4,0))</f>
        <v>0</v>
      </c>
      <c r="BR12" s="318">
        <f ca="1">IF(TYPE(VLOOKUP($A12,'5.kolo'!$L$3:$L$66,1,0))&gt;3,IF(TYPE(VLOOKUP($A12,'5.kolo'!$O$3:$Q$66,2,0))&gt;3,0,VLOOKUP($A12,'5.kolo'!$O$3:$Q$66,2,0)),VLOOKUP($A12,'5.kolo'!$L$3:$N$66,2,0))</f>
        <v>0</v>
      </c>
      <c r="BS12" s="318">
        <f ca="1">IF(TYPE(VLOOKUP($A12,'5.kolo'!$L$3:$L$66,1,0))&gt;3,IF(TYPE(VLOOKUP($A12,'5.kolo'!$O$3:$Q$66,3,0))&gt;3,0,VLOOKUP($A12,'5.kolo'!$O$3:$Q$66,3,0)),VLOOKUP($A12,'5.kolo'!$L$3:$N$66,3,0))</f>
        <v>0</v>
      </c>
      <c r="BT12" s="318">
        <f t="shared" ca="1" si="23"/>
        <v>0</v>
      </c>
      <c r="BU12" s="397"/>
      <c r="BV12" s="424" t="str">
        <f ca="1">IF(BU12="","",CONCATENATE(TEXT($O12,"0"),IF(Start.listina!$Y$5="","",TEXT(500+$P12,"000")),TEXT(999999*RAND(),"000000")))</f>
        <v/>
      </c>
      <c r="BW12" s="318">
        <f t="shared" ca="1" si="6"/>
        <v>0</v>
      </c>
      <c r="BZ12" s="318">
        <f ca="1">IF(TYPE(VLOOKUP($A12,'6.kolo'!$L$3:$L$66,1,0))&gt;3,IF(TYPE(VLOOKUP($A12,'6.kolo'!$K$3:$L$66,2,0))&gt;3,0,VLOOKUP($A12,'6.kolo'!$K$3:$L$66,2,0)),VLOOKUP($A12,'6.kolo'!$L$3:$O$66,4,0))</f>
        <v>0</v>
      </c>
      <c r="CA12" s="318">
        <f ca="1">IF(TYPE(VLOOKUP($A12,'6.kolo'!$L$3:$L$66,1,0))&gt;3,IF(TYPE(VLOOKUP($A12,'6.kolo'!$O$3:$Q$66,2,0))&gt;3,0,VLOOKUP($A12,'6.kolo'!$O$3:$Q$66,2,0)),VLOOKUP($A12,'6.kolo'!$L$3:$N$66,2,0))</f>
        <v>0</v>
      </c>
      <c r="CB12" s="318">
        <f ca="1">IF(TYPE(VLOOKUP($A12,'6.kolo'!$L$3:$L$66,1,0))&gt;3,IF(TYPE(VLOOKUP($A12,'6.kolo'!$O$3:$Q$66,3,0))&gt;3,0,VLOOKUP($A12,'6.kolo'!$O$3:$Q$66,3,0)),VLOOKUP($A12,'6.kolo'!$L$3:$N$66,3,0))</f>
        <v>0</v>
      </c>
      <c r="CC12" s="318">
        <f t="shared" ca="1" si="24"/>
        <v>0</v>
      </c>
      <c r="CD12" s="397"/>
      <c r="CE12" s="424" t="str">
        <f ca="1">IF(CD12="","",CONCATENATE(TEXT($O12,"0"),IF(Start.listina!$Y$5="","",TEXT(500+$P12,"000")),TEXT(999999*RAND(),"000000")))</f>
        <v/>
      </c>
      <c r="CF12" s="318">
        <f t="shared" ca="1" si="7"/>
        <v>0</v>
      </c>
    </row>
    <row r="13" spans="1:84" x14ac:dyDescent="0.4">
      <c r="A13" s="318">
        <f ca="1">IF(OR(Start.listina!H21&gt;Start.listina!$K$7,Start.listina!G21=TRUE),"",Start.listina!H21)</f>
        <v>11</v>
      </c>
      <c r="B13" s="318">
        <f ca="1">IF($A13&gt;Start.listina!$K$7,"",INT(($A13-1)/Start.listina!$O$7)+1)</f>
        <v>1</v>
      </c>
      <c r="C13" s="421" t="str">
        <f ca="1">IF(OR(Start.listina!H21&gt;Start.listina!$K$7,Start.listina!G21=TRUE)," - ",Start.listina!AL21)</f>
        <v>11 Petank Club Praha - Klouda Aleš</v>
      </c>
      <c r="D13" s="318">
        <f ca="1">IF(OR(A13&gt;Start.listina!$K$7,TYPE(VLOOKUP(A13,$V$3:$X$130,3,0))&gt;3),"",VLOOKUP(A13,$V$3:$X$130,3,0))</f>
        <v>29</v>
      </c>
      <c r="E13" s="422">
        <f ca="1">IF(A13&gt;Start.listina!$K$7,"",IF(MIN(F13:K13)&gt;Start.listina!$Y$4,D13,MIN(F13:K13)))</f>
        <v>29</v>
      </c>
      <c r="F13" s="318">
        <f ca="1">IF(TYPE(VLOOKUP(C13,Konečné_pořadí_1_16!$B$2:$D$17,3,0))&lt;4,VLOOKUP(C13,Konečné_pořadí_1_16!$B$2:$D$17,3,0),999)</f>
        <v>999</v>
      </c>
      <c r="G13" s="318">
        <f ca="1">IF(TYPE(VLOOKUP(C13,'KO64'!$D$4:$D$129,1,0))&lt;4,64,999)</f>
        <v>999</v>
      </c>
      <c r="H13" s="318">
        <f ca="1">IF(TYPE(VLOOKUP(C13,'KO32'!$D$4:$D$65,1,0))&lt;4,32,999)</f>
        <v>999</v>
      </c>
      <c r="I13" s="318">
        <f ca="1">IF(TYPE(VLOOKUP(C13,'KO16'!$D$4:$D$33,1,0))&lt;4,16,999)</f>
        <v>999</v>
      </c>
      <c r="J13" s="318">
        <f ca="1">IF(TYPE(VLOOKUP(C13,'KO8'!$D$4:$D$17,1,0))&lt;4,8,999)</f>
        <v>999</v>
      </c>
      <c r="K13" s="318">
        <f ca="1">IF(TYPE(VLOOKUP(C13,'KO4'!$D$4:$D$9,1,0))&lt;4,4,999)</f>
        <v>999</v>
      </c>
      <c r="M13" s="319">
        <v>11</v>
      </c>
      <c r="O13" s="318">
        <f t="shared" ca="1" si="8"/>
        <v>2</v>
      </c>
      <c r="P13" s="318">
        <f t="shared" ca="1" si="9"/>
        <v>6</v>
      </c>
      <c r="Q13" s="318">
        <f t="shared" ca="1" si="0"/>
        <v>8</v>
      </c>
      <c r="R13" s="318">
        <f t="shared" ca="1" si="1"/>
        <v>3</v>
      </c>
      <c r="S13" s="318">
        <f t="shared" ca="1" si="10"/>
        <v>30</v>
      </c>
      <c r="T13" s="318">
        <f t="shared" ca="1" si="11"/>
        <v>0</v>
      </c>
      <c r="U13" s="397">
        <f t="shared" si="25"/>
        <v>11</v>
      </c>
      <c r="V13" s="397">
        <v>51</v>
      </c>
      <c r="W13" s="423" t="str">
        <f ca="1">IF($V13="","",CONCATENATE(TEXT($O13,"0"),IF(Start.listina!$Y$5="","",TEXT(500+$P13,"0000")),IF(Start.listina!$Y$6="","",CHOOSE(Start.listina!$Y$7,TEXT($Q13,"00"),CONCATENATE(TEXT($Q13,"00"),TEXT($S13,"000")), TEXT($R13,"00"))),TEXT(500+$P13,"0000"),IF(Start.listina!$Y$8="","",TEXT($T13,"0")),TEXT(999999*RAND(),"000000")))</f>
        <v>2080300506385621</v>
      </c>
      <c r="X13" s="399">
        <f t="shared" si="12"/>
        <v>11</v>
      </c>
      <c r="Y13" s="397">
        <f t="shared" ca="1" si="2"/>
        <v>3</v>
      </c>
      <c r="Z13" s="318">
        <f t="shared" ca="1" si="13"/>
        <v>39</v>
      </c>
      <c r="AA13" s="318">
        <f t="shared" ca="1" si="14"/>
        <v>40</v>
      </c>
      <c r="AB13" s="318">
        <f t="shared" ca="1" si="15"/>
        <v>41</v>
      </c>
      <c r="AC13" s="318">
        <f t="shared" ca="1" si="16"/>
        <v>44</v>
      </c>
      <c r="AD13" s="318">
        <f t="shared" ca="1" si="17"/>
        <v>0</v>
      </c>
      <c r="AE13" s="318">
        <f t="shared" ca="1" si="18"/>
        <v>0</v>
      </c>
      <c r="AG13" s="318">
        <f ca="1">IF(TYPE(VLOOKUP($A13,'1.kolo'!$L$3:$L$66,1,0))&gt;3,VLOOKUP($A13,'1.kolo'!$K$3:$L$66,2,0),VLOOKUP($A13,'1.kolo'!$L$3:$O$66,4,0))</f>
        <v>39</v>
      </c>
      <c r="AH13" s="318">
        <f ca="1">IF(TYPE(VLOOKUP($A13,'1.kolo'!$L$3:$L$66,1,0))&gt;3,VLOOKUP($A13,'1.kolo'!$O$3:$Q$66,2,0),VLOOKUP($A13,'1.kolo'!$L$3:$N$66,2,0))</f>
        <v>0</v>
      </c>
      <c r="AI13" s="318">
        <f ca="1">IF(TYPE(VLOOKUP($A13,'1.kolo'!$L$3:$L$66,1,0))&gt;3,VLOOKUP($A13,'1.kolo'!$O$3:$Q$66,3,0),VLOOKUP($A13,'1.kolo'!$L$3:$N$66,3,0))</f>
        <v>-1</v>
      </c>
      <c r="AJ13" s="318">
        <f t="shared" ca="1" si="19"/>
        <v>0</v>
      </c>
      <c r="AK13" s="318">
        <v>11</v>
      </c>
      <c r="AL13" s="424"/>
      <c r="AP13" s="318">
        <f ca="1">IF(TYPE(VLOOKUP($A13,'2.kolo'!$L$3:$L$66,1,0))&gt;3,IF(TYPE(VLOOKUP($A13,'2.kolo'!$K$3:$L$66,2,0))&gt;3,0,VLOOKUP($A13,'2.kolo'!$K$3:$L$66,2,0)),VLOOKUP($A13,'2.kolo'!$L$3:$O$66,4,0))</f>
        <v>40</v>
      </c>
      <c r="AQ13" s="318">
        <f ca="1">IF(TYPE(VLOOKUP($A13,'2.kolo'!$L$3:$L$66,1,0))&gt;3,IF(TYPE(VLOOKUP($A13,'2.kolo'!$O$3:$Q$66,2,0))&gt;3,0,VLOOKUP($A13,'2.kolo'!$O$3:$Q$66,2,0)),VLOOKUP($A13,'2.kolo'!$L$3:$N$66,2,0))</f>
        <v>1</v>
      </c>
      <c r="AR13" s="318">
        <f ca="1">IF(TYPE(VLOOKUP($A13,'2.kolo'!$L$3:$L$66,1,0))&gt;3,IF(TYPE(VLOOKUP($A13,'2.kolo'!$O$3:$Q$66,3,0))&gt;3,0,VLOOKUP($A13,'2.kolo'!$O$3:$Q$66,3,0)),VLOOKUP($A13,'2.kolo'!$L$3:$N$66,3,0))</f>
        <v>4</v>
      </c>
      <c r="AS13" s="318">
        <f t="shared" ca="1" si="20"/>
        <v>0</v>
      </c>
      <c r="AT13" s="397">
        <v>15</v>
      </c>
      <c r="AU13" s="424" t="str">
        <f ca="1">IF(AT13="","",CONCATENATE(TEXT($O13,"0"),IF(Start.listina!$Y$5="","",TEXT(500+$P13,"000")),TEXT(999999*RAND(),"000000")))</f>
        <v>2898259</v>
      </c>
      <c r="AV13" s="318">
        <f t="shared" ca="1" si="3"/>
        <v>0</v>
      </c>
      <c r="AY13" s="318">
        <f ca="1">IF(TYPE(VLOOKUP($A13,'3.kolo'!$L$3:$L$66,1,0))&gt;3,IF(TYPE(VLOOKUP($A13,'3.kolo'!$K$3:$L$66,2,0))&gt;3,0,VLOOKUP($A13,'3.kolo'!$K$3:$L$66,2,0)),VLOOKUP($A13,'3.kolo'!$L$3:$O$66,4,0))</f>
        <v>41</v>
      </c>
      <c r="AZ13" s="318">
        <f ca="1">IF(TYPE(VLOOKUP($A13,'3.kolo'!$L$3:$L$66,1,0))&gt;3,IF(TYPE(VLOOKUP($A13,'3.kolo'!$O$3:$Q$66,2,0))&gt;3,0,VLOOKUP($A13,'3.kolo'!$O$3:$Q$66,2,0)),VLOOKUP($A13,'3.kolo'!$L$3:$N$66,2,0))</f>
        <v>1</v>
      </c>
      <c r="BA13" s="318">
        <f ca="1">IF(TYPE(VLOOKUP($A13,'3.kolo'!$L$3:$L$66,1,0))&gt;3,IF(TYPE(VLOOKUP($A13,'3.kolo'!$O$3:$Q$66,3,0))&gt;3,0,VLOOKUP($A13,'3.kolo'!$O$3:$Q$66,3,0)),VLOOKUP($A13,'3.kolo'!$L$3:$N$66,3,0))</f>
        <v>9</v>
      </c>
      <c r="BB13" s="318">
        <f t="shared" ca="1" si="21"/>
        <v>0</v>
      </c>
      <c r="BC13" s="397">
        <v>4</v>
      </c>
      <c r="BD13" s="424" t="str">
        <f ca="1">IF(BC13="","",CONCATENATE(TEXT($O13,"0"),IF(Start.listina!$Y$5="","",TEXT(500+$P13,"000")),TEXT(999999*RAND(),"000000")))</f>
        <v>2205261</v>
      </c>
      <c r="BE13" s="318">
        <f t="shared" ca="1" si="4"/>
        <v>0</v>
      </c>
      <c r="BH13" s="318">
        <f ca="1">IF(TYPE(VLOOKUP($A13,'4.kolo'!$L$3:$L$66,1,0))&gt;3,IF(TYPE(VLOOKUP($A13,'4.kolo'!$K$3:$L$66,2,0))&gt;3,0,VLOOKUP($A13,'4.kolo'!$K$3:$L$66,2,0)),VLOOKUP($A13,'4.kolo'!$L$3:$O$66,4,0))</f>
        <v>44</v>
      </c>
      <c r="BI13" s="318">
        <f ca="1">IF(TYPE(VLOOKUP($A13,'4.kolo'!$L$3:$L$66,1,0))&gt;3,IF(TYPE(VLOOKUP($A13,'4.kolo'!$O$3:$Q$66,2,0))&gt;3,0,VLOOKUP($A13,'4.kolo'!$O$3:$Q$66,2,0)),VLOOKUP($A13,'4.kolo'!$L$3:$N$66,2,0))</f>
        <v>0</v>
      </c>
      <c r="BJ13" s="318">
        <f ca="1">IF(TYPE(VLOOKUP($A13,'4.kolo'!$L$3:$L$66,1,0))&gt;3,IF(TYPE(VLOOKUP($A13,'4.kolo'!$O$3:$Q$66,3,0))&gt;3,0,VLOOKUP($A13,'4.kolo'!$O$3:$Q$66,3,0)),VLOOKUP($A13,'4.kolo'!$L$3:$N$66,3,0))</f>
        <v>-6</v>
      </c>
      <c r="BK13" s="318">
        <f t="shared" ca="1" si="22"/>
        <v>0</v>
      </c>
      <c r="BL13" s="397">
        <v>27</v>
      </c>
      <c r="BM13" s="424" t="str">
        <f ca="1">IF(BL13="","",CONCATENATE(TEXT($O13,"0"),IF(Start.listina!$Y$5="","",TEXT(500+$P13,"000")),TEXT(999999*RAND(),"000000")))</f>
        <v>2054516</v>
      </c>
      <c r="BN13" s="318">
        <f t="shared" ca="1" si="5"/>
        <v>0</v>
      </c>
      <c r="BQ13" s="318">
        <f ca="1">IF(TYPE(VLOOKUP($A13,'5.kolo'!$L$3:$L$66,1,0))&gt;3,IF(TYPE(VLOOKUP($A13,'5.kolo'!$K$3:$L$66,2,0))&gt;3,0,VLOOKUP($A13,'5.kolo'!$K$3:$L$66,2,0)),VLOOKUP($A13,'5.kolo'!$L$3:$O$66,4,0))</f>
        <v>0</v>
      </c>
      <c r="BR13" s="318">
        <f ca="1">IF(TYPE(VLOOKUP($A13,'5.kolo'!$L$3:$L$66,1,0))&gt;3,IF(TYPE(VLOOKUP($A13,'5.kolo'!$O$3:$Q$66,2,0))&gt;3,0,VLOOKUP($A13,'5.kolo'!$O$3:$Q$66,2,0)),VLOOKUP($A13,'5.kolo'!$L$3:$N$66,2,0))</f>
        <v>0</v>
      </c>
      <c r="BS13" s="318">
        <f ca="1">IF(TYPE(VLOOKUP($A13,'5.kolo'!$L$3:$L$66,1,0))&gt;3,IF(TYPE(VLOOKUP($A13,'5.kolo'!$O$3:$Q$66,3,0))&gt;3,0,VLOOKUP($A13,'5.kolo'!$O$3:$Q$66,3,0)),VLOOKUP($A13,'5.kolo'!$L$3:$N$66,3,0))</f>
        <v>0</v>
      </c>
      <c r="BT13" s="318">
        <f t="shared" ca="1" si="23"/>
        <v>0</v>
      </c>
      <c r="BU13" s="397"/>
      <c r="BV13" s="424" t="str">
        <f ca="1">IF(BU13="","",CONCATENATE(TEXT($O13,"0"),IF(Start.listina!$Y$5="","",TEXT(500+$P13,"000")),TEXT(999999*RAND(),"000000")))</f>
        <v/>
      </c>
      <c r="BW13" s="318">
        <f t="shared" ca="1" si="6"/>
        <v>0</v>
      </c>
      <c r="BZ13" s="318">
        <f ca="1">IF(TYPE(VLOOKUP($A13,'6.kolo'!$L$3:$L$66,1,0))&gt;3,IF(TYPE(VLOOKUP($A13,'6.kolo'!$K$3:$L$66,2,0))&gt;3,0,VLOOKUP($A13,'6.kolo'!$K$3:$L$66,2,0)),VLOOKUP($A13,'6.kolo'!$L$3:$O$66,4,0))</f>
        <v>0</v>
      </c>
      <c r="CA13" s="318">
        <f ca="1">IF(TYPE(VLOOKUP($A13,'6.kolo'!$L$3:$L$66,1,0))&gt;3,IF(TYPE(VLOOKUP($A13,'6.kolo'!$O$3:$Q$66,2,0))&gt;3,0,VLOOKUP($A13,'6.kolo'!$O$3:$Q$66,2,0)),VLOOKUP($A13,'6.kolo'!$L$3:$N$66,2,0))</f>
        <v>0</v>
      </c>
      <c r="CB13" s="318">
        <f ca="1">IF(TYPE(VLOOKUP($A13,'6.kolo'!$L$3:$L$66,1,0))&gt;3,IF(TYPE(VLOOKUP($A13,'6.kolo'!$O$3:$Q$66,3,0))&gt;3,0,VLOOKUP($A13,'6.kolo'!$O$3:$Q$66,3,0)),VLOOKUP($A13,'6.kolo'!$L$3:$N$66,3,0))</f>
        <v>0</v>
      </c>
      <c r="CC13" s="318">
        <f t="shared" ca="1" si="24"/>
        <v>0</v>
      </c>
      <c r="CD13" s="397"/>
      <c r="CE13" s="424" t="str">
        <f ca="1">IF(CD13="","",CONCATENATE(TEXT($O13,"0"),IF(Start.listina!$Y$5="","",TEXT(500+$P13,"000")),TEXT(999999*RAND(),"000000")))</f>
        <v/>
      </c>
      <c r="CF13" s="318">
        <f t="shared" ca="1" si="7"/>
        <v>0</v>
      </c>
    </row>
    <row r="14" spans="1:84" x14ac:dyDescent="0.4">
      <c r="A14" s="318">
        <f ca="1">IF(OR(Start.listina!H22&gt;Start.listina!$K$7,Start.listina!G22=TRUE),"",Start.listina!H22)</f>
        <v>12</v>
      </c>
      <c r="B14" s="318">
        <f ca="1">IF($A14&gt;Start.listina!$K$7,"",INT(($A14-1)/Start.listina!$O$7)+1)</f>
        <v>1</v>
      </c>
      <c r="C14" s="421" t="str">
        <f ca="1">IF(OR(Start.listina!H22&gt;Start.listina!$K$7,Start.listina!G22=TRUE)," - ",Start.listina!AL22)</f>
        <v>12 PC Mimo Done - Heller Jan</v>
      </c>
      <c r="D14" s="318">
        <f ca="1">IF(OR(A14&gt;Start.listina!$K$7,TYPE(VLOOKUP(A14,$V$3:$X$130,3,0))&gt;3),"",VLOOKUP(A14,$V$3:$X$130,3,0))</f>
        <v>10</v>
      </c>
      <c r="E14" s="422">
        <f ca="1">IF(A14&gt;Start.listina!$K$7,"",IF(MIN(F14:K14)&gt;Start.listina!$Y$4,D14,MIN(F14:K14)))</f>
        <v>16</v>
      </c>
      <c r="F14" s="318">
        <f ca="1">IF(TYPE(VLOOKUP(C14,Konečné_pořadí_1_16!$B$2:$D$17,3,0))&lt;4,VLOOKUP(C14,Konečné_pořadí_1_16!$B$2:$D$17,3,0),999)</f>
        <v>999</v>
      </c>
      <c r="G14" s="318">
        <f ca="1">IF(TYPE(VLOOKUP(C14,'KO64'!$D$4:$D$129,1,0))&lt;4,64,999)</f>
        <v>64</v>
      </c>
      <c r="H14" s="318">
        <f ca="1">IF(TYPE(VLOOKUP(C14,'KO32'!$D$4:$D$65,1,0))&lt;4,32,999)</f>
        <v>32</v>
      </c>
      <c r="I14" s="318">
        <f ca="1">IF(TYPE(VLOOKUP(C14,'KO16'!$D$4:$D$33,1,0))&lt;4,16,999)</f>
        <v>16</v>
      </c>
      <c r="J14" s="318">
        <f ca="1">IF(TYPE(VLOOKUP(C14,'KO8'!$D$4:$D$17,1,0))&lt;4,8,999)</f>
        <v>999</v>
      </c>
      <c r="K14" s="318">
        <f ca="1">IF(TYPE(VLOOKUP(C14,'KO4'!$D$4:$D$9,1,0))&lt;4,4,999)</f>
        <v>999</v>
      </c>
      <c r="M14" s="319">
        <v>12</v>
      </c>
      <c r="O14" s="318">
        <f t="shared" ca="1" si="8"/>
        <v>3</v>
      </c>
      <c r="P14" s="318">
        <f t="shared" ca="1" si="9"/>
        <v>5</v>
      </c>
      <c r="Q14" s="318">
        <f t="shared" ca="1" si="0"/>
        <v>9</v>
      </c>
      <c r="R14" s="318">
        <f t="shared" ca="1" si="1"/>
        <v>6</v>
      </c>
      <c r="S14" s="318">
        <f t="shared" ca="1" si="10"/>
        <v>37</v>
      </c>
      <c r="T14" s="318">
        <f t="shared" ca="1" si="11"/>
        <v>0</v>
      </c>
      <c r="U14" s="397">
        <f t="shared" si="25"/>
        <v>12</v>
      </c>
      <c r="V14" s="397">
        <v>5</v>
      </c>
      <c r="W14" s="423" t="str">
        <f ca="1">IF($V14="","",CONCATENATE(TEXT($O14,"0"),IF(Start.listina!$Y$5="","",TEXT(500+$P14,"0000")),IF(Start.listina!$Y$6="","",CHOOSE(Start.listina!$Y$7,TEXT($Q14,"00"),CONCATENATE(TEXT($Q14,"00"),TEXT($S14,"000")), TEXT($R14,"00"))),TEXT(500+$P14,"0000"),IF(Start.listina!$Y$8="","",TEXT($T14,"0")),TEXT(999999*RAND(),"000000")))</f>
        <v>3090370505538514</v>
      </c>
      <c r="X14" s="399">
        <f t="shared" si="12"/>
        <v>12</v>
      </c>
      <c r="Y14" s="397">
        <f t="shared" ca="1" si="2"/>
        <v>3</v>
      </c>
      <c r="Z14" s="318">
        <f t="shared" ca="1" si="13"/>
        <v>40</v>
      </c>
      <c r="AA14" s="318">
        <f t="shared" ca="1" si="14"/>
        <v>17</v>
      </c>
      <c r="AB14" s="318">
        <f t="shared" ca="1" si="15"/>
        <v>21</v>
      </c>
      <c r="AC14" s="318">
        <f t="shared" ca="1" si="16"/>
        <v>27</v>
      </c>
      <c r="AD14" s="318">
        <f t="shared" ca="1" si="17"/>
        <v>0</v>
      </c>
      <c r="AE14" s="318">
        <f t="shared" ca="1" si="18"/>
        <v>0</v>
      </c>
      <c r="AG14" s="318">
        <f ca="1">IF(TYPE(VLOOKUP($A14,'1.kolo'!$L$3:$L$66,1,0))&gt;3,VLOOKUP($A14,'1.kolo'!$K$3:$L$66,2,0),VLOOKUP($A14,'1.kolo'!$L$3:$O$66,4,0))</f>
        <v>40</v>
      </c>
      <c r="AH14" s="318">
        <f ca="1">IF(TYPE(VLOOKUP($A14,'1.kolo'!$L$3:$L$66,1,0))&gt;3,VLOOKUP($A14,'1.kolo'!$O$3:$Q$66,2,0),VLOOKUP($A14,'1.kolo'!$L$3:$N$66,2,0))</f>
        <v>1</v>
      </c>
      <c r="AI14" s="318">
        <f ca="1">IF(TYPE(VLOOKUP($A14,'1.kolo'!$L$3:$L$66,1,0))&gt;3,VLOOKUP($A14,'1.kolo'!$O$3:$Q$66,3,0),VLOOKUP($A14,'1.kolo'!$L$3:$N$66,3,0))</f>
        <v>2</v>
      </c>
      <c r="AJ14" s="318">
        <f t="shared" ca="1" si="19"/>
        <v>0</v>
      </c>
      <c r="AK14" s="318">
        <v>12</v>
      </c>
      <c r="AL14" s="424"/>
      <c r="AP14" s="318">
        <f ca="1">IF(TYPE(VLOOKUP($A14,'2.kolo'!$L$3:$L$66,1,0))&gt;3,IF(TYPE(VLOOKUP($A14,'2.kolo'!$K$3:$L$66,2,0))&gt;3,0,VLOOKUP($A14,'2.kolo'!$K$3:$L$66,2,0)),VLOOKUP($A14,'2.kolo'!$L$3:$O$66,4,0))</f>
        <v>17</v>
      </c>
      <c r="AQ14" s="318">
        <f ca="1">IF(TYPE(VLOOKUP($A14,'2.kolo'!$L$3:$L$66,1,0))&gt;3,IF(TYPE(VLOOKUP($A14,'2.kolo'!$O$3:$Q$66,2,0))&gt;3,0,VLOOKUP($A14,'2.kolo'!$O$3:$Q$66,2,0)),VLOOKUP($A14,'2.kolo'!$L$3:$N$66,2,0))</f>
        <v>1</v>
      </c>
      <c r="AR14" s="318">
        <f ca="1">IF(TYPE(VLOOKUP($A14,'2.kolo'!$L$3:$L$66,1,0))&gt;3,IF(TYPE(VLOOKUP($A14,'2.kolo'!$O$3:$Q$66,3,0))&gt;3,0,VLOOKUP($A14,'2.kolo'!$O$3:$Q$66,3,0)),VLOOKUP($A14,'2.kolo'!$L$3:$N$66,3,0))</f>
        <v>8</v>
      </c>
      <c r="AS14" s="318">
        <f t="shared" ca="1" si="20"/>
        <v>0</v>
      </c>
      <c r="AT14" s="397">
        <v>34</v>
      </c>
      <c r="AU14" s="424" t="str">
        <f ca="1">IF(AT14="","",CONCATENATE(TEXT($O14,"0"),IF(Start.listina!$Y$5="","",TEXT(500+$P14,"000")),TEXT(999999*RAND(),"000000")))</f>
        <v>3132509</v>
      </c>
      <c r="AV14" s="318">
        <f t="shared" ca="1" si="3"/>
        <v>0</v>
      </c>
      <c r="AY14" s="318">
        <f ca="1">IF(TYPE(VLOOKUP($A14,'3.kolo'!$L$3:$L$66,1,0))&gt;3,IF(TYPE(VLOOKUP($A14,'3.kolo'!$K$3:$L$66,2,0))&gt;3,0,VLOOKUP($A14,'3.kolo'!$K$3:$L$66,2,0)),VLOOKUP($A14,'3.kolo'!$L$3:$O$66,4,0))</f>
        <v>21</v>
      </c>
      <c r="AZ14" s="318">
        <f ca="1">IF(TYPE(VLOOKUP($A14,'3.kolo'!$L$3:$L$66,1,0))&gt;3,IF(TYPE(VLOOKUP($A14,'3.kolo'!$O$3:$Q$66,2,0))&gt;3,0,VLOOKUP($A14,'3.kolo'!$O$3:$Q$66,2,0)),VLOOKUP($A14,'3.kolo'!$L$3:$N$66,2,0))</f>
        <v>0</v>
      </c>
      <c r="BA14" s="318">
        <f ca="1">IF(TYPE(VLOOKUP($A14,'3.kolo'!$L$3:$L$66,1,0))&gt;3,IF(TYPE(VLOOKUP($A14,'3.kolo'!$O$3:$Q$66,3,0))&gt;3,0,VLOOKUP($A14,'3.kolo'!$O$3:$Q$66,3,0)),VLOOKUP($A14,'3.kolo'!$L$3:$N$66,3,0))</f>
        <v>-9</v>
      </c>
      <c r="BB14" s="318">
        <f t="shared" ca="1" si="21"/>
        <v>0</v>
      </c>
      <c r="BC14" s="397">
        <v>34</v>
      </c>
      <c r="BD14" s="424" t="str">
        <f ca="1">IF(BC14="","",CONCATENATE(TEXT($O14,"0"),IF(Start.listina!$Y$5="","",TEXT(500+$P14,"000")),TEXT(999999*RAND(),"000000")))</f>
        <v>3152965</v>
      </c>
      <c r="BE14" s="318">
        <f t="shared" ca="1" si="4"/>
        <v>0</v>
      </c>
      <c r="BH14" s="318">
        <f ca="1">IF(TYPE(VLOOKUP($A14,'4.kolo'!$L$3:$L$66,1,0))&gt;3,IF(TYPE(VLOOKUP($A14,'4.kolo'!$K$3:$L$66,2,0))&gt;3,0,VLOOKUP($A14,'4.kolo'!$K$3:$L$66,2,0)),VLOOKUP($A14,'4.kolo'!$L$3:$O$66,4,0))</f>
        <v>27</v>
      </c>
      <c r="BI14" s="318">
        <f ca="1">IF(TYPE(VLOOKUP($A14,'4.kolo'!$L$3:$L$66,1,0))&gt;3,IF(TYPE(VLOOKUP($A14,'4.kolo'!$O$3:$Q$66,2,0))&gt;3,0,VLOOKUP($A14,'4.kolo'!$O$3:$Q$66,2,0)),VLOOKUP($A14,'4.kolo'!$L$3:$N$66,2,0))</f>
        <v>1</v>
      </c>
      <c r="BJ14" s="318">
        <f ca="1">IF(TYPE(VLOOKUP($A14,'4.kolo'!$L$3:$L$66,1,0))&gt;3,IF(TYPE(VLOOKUP($A14,'4.kolo'!$O$3:$Q$66,3,0))&gt;3,0,VLOOKUP($A14,'4.kolo'!$O$3:$Q$66,3,0)),VLOOKUP($A14,'4.kolo'!$L$3:$N$66,3,0))</f>
        <v>4</v>
      </c>
      <c r="BK14" s="318">
        <f t="shared" ca="1" si="22"/>
        <v>0</v>
      </c>
      <c r="BL14" s="397">
        <v>12</v>
      </c>
      <c r="BM14" s="424" t="str">
        <f ca="1">IF(BL14="","",CONCATENATE(TEXT($O14,"0"),IF(Start.listina!$Y$5="","",TEXT(500+$P14,"000")),TEXT(999999*RAND(),"000000")))</f>
        <v>3252618</v>
      </c>
      <c r="BN14" s="318">
        <f t="shared" ca="1" si="5"/>
        <v>0</v>
      </c>
      <c r="BQ14" s="318">
        <f ca="1">IF(TYPE(VLOOKUP($A14,'5.kolo'!$L$3:$L$66,1,0))&gt;3,IF(TYPE(VLOOKUP($A14,'5.kolo'!$K$3:$L$66,2,0))&gt;3,0,VLOOKUP($A14,'5.kolo'!$K$3:$L$66,2,0)),VLOOKUP($A14,'5.kolo'!$L$3:$O$66,4,0))</f>
        <v>0</v>
      </c>
      <c r="BR14" s="318">
        <f ca="1">IF(TYPE(VLOOKUP($A14,'5.kolo'!$L$3:$L$66,1,0))&gt;3,IF(TYPE(VLOOKUP($A14,'5.kolo'!$O$3:$Q$66,2,0))&gt;3,0,VLOOKUP($A14,'5.kolo'!$O$3:$Q$66,2,0)),VLOOKUP($A14,'5.kolo'!$L$3:$N$66,2,0))</f>
        <v>0</v>
      </c>
      <c r="BS14" s="318">
        <f ca="1">IF(TYPE(VLOOKUP($A14,'5.kolo'!$L$3:$L$66,1,0))&gt;3,IF(TYPE(VLOOKUP($A14,'5.kolo'!$O$3:$Q$66,3,0))&gt;3,0,VLOOKUP($A14,'5.kolo'!$O$3:$Q$66,3,0)),VLOOKUP($A14,'5.kolo'!$L$3:$N$66,3,0))</f>
        <v>0</v>
      </c>
      <c r="BT14" s="318">
        <f t="shared" ca="1" si="23"/>
        <v>0</v>
      </c>
      <c r="BU14" s="397"/>
      <c r="BV14" s="424" t="str">
        <f ca="1">IF(BU14="","",CONCATENATE(TEXT($O14,"0"),IF(Start.listina!$Y$5="","",TEXT(500+$P14,"000")),TEXT(999999*RAND(),"000000")))</f>
        <v/>
      </c>
      <c r="BW14" s="318">
        <f t="shared" ca="1" si="6"/>
        <v>0</v>
      </c>
      <c r="BZ14" s="318">
        <f ca="1">IF(TYPE(VLOOKUP($A14,'6.kolo'!$L$3:$L$66,1,0))&gt;3,IF(TYPE(VLOOKUP($A14,'6.kolo'!$K$3:$L$66,2,0))&gt;3,0,VLOOKUP($A14,'6.kolo'!$K$3:$L$66,2,0)),VLOOKUP($A14,'6.kolo'!$L$3:$O$66,4,0))</f>
        <v>0</v>
      </c>
      <c r="CA14" s="318">
        <f ca="1">IF(TYPE(VLOOKUP($A14,'6.kolo'!$L$3:$L$66,1,0))&gt;3,IF(TYPE(VLOOKUP($A14,'6.kolo'!$O$3:$Q$66,2,0))&gt;3,0,VLOOKUP($A14,'6.kolo'!$O$3:$Q$66,2,0)),VLOOKUP($A14,'6.kolo'!$L$3:$N$66,2,0))</f>
        <v>0</v>
      </c>
      <c r="CB14" s="318">
        <f ca="1">IF(TYPE(VLOOKUP($A14,'6.kolo'!$L$3:$L$66,1,0))&gt;3,IF(TYPE(VLOOKUP($A14,'6.kolo'!$O$3:$Q$66,3,0))&gt;3,0,VLOOKUP($A14,'6.kolo'!$O$3:$Q$66,3,0)),VLOOKUP($A14,'6.kolo'!$L$3:$N$66,3,0))</f>
        <v>0</v>
      </c>
      <c r="CC14" s="318">
        <f t="shared" ca="1" si="24"/>
        <v>0</v>
      </c>
      <c r="CD14" s="397"/>
      <c r="CE14" s="424" t="str">
        <f ca="1">IF(CD14="","",CONCATENATE(TEXT($O14,"0"),IF(Start.listina!$Y$5="","",TEXT(500+$P14,"000")),TEXT(999999*RAND(),"000000")))</f>
        <v/>
      </c>
      <c r="CF14" s="318">
        <f t="shared" ca="1" si="7"/>
        <v>0</v>
      </c>
    </row>
    <row r="15" spans="1:84" x14ac:dyDescent="0.4">
      <c r="A15" s="318">
        <f ca="1">IF(OR(Start.listina!H23&gt;Start.listina!$K$7,Start.listina!G23=TRUE),"",Start.listina!H23)</f>
        <v>13</v>
      </c>
      <c r="B15" s="318">
        <f ca="1">IF($A15&gt;Start.listina!$K$7,"",INT(($A15-1)/Start.listina!$O$7)+1)</f>
        <v>1</v>
      </c>
      <c r="C15" s="421" t="str">
        <f ca="1">IF(OR(Start.listina!H23&gt;Start.listina!$K$7,Start.listina!G23=TRUE)," - ",Start.listina!AL23)</f>
        <v>13 PC Sokol Lipník - Froňková Blanka</v>
      </c>
      <c r="D15" s="318">
        <f ca="1">IF(OR(A15&gt;Start.listina!$K$7,TYPE(VLOOKUP(A15,$V$3:$X$130,3,0))&gt;3),"",VLOOKUP(A15,$V$3:$X$130,3,0))</f>
        <v>41</v>
      </c>
      <c r="E15" s="422">
        <f ca="1">IF(A15&gt;Start.listina!$K$7,"",IF(MIN(F15:K15)&gt;Start.listina!$Y$4,D15,MIN(F15:K15)))</f>
        <v>41</v>
      </c>
      <c r="F15" s="318">
        <f ca="1">IF(TYPE(VLOOKUP(C15,Konečné_pořadí_1_16!$B$2:$D$17,3,0))&lt;4,VLOOKUP(C15,Konečné_pořadí_1_16!$B$2:$D$17,3,0),999)</f>
        <v>999</v>
      </c>
      <c r="G15" s="318">
        <f ca="1">IF(TYPE(VLOOKUP(C15,'KO64'!$D$4:$D$129,1,0))&lt;4,64,999)</f>
        <v>999</v>
      </c>
      <c r="H15" s="318">
        <f ca="1">IF(TYPE(VLOOKUP(C15,'KO32'!$D$4:$D$65,1,0))&lt;4,32,999)</f>
        <v>999</v>
      </c>
      <c r="I15" s="318">
        <f ca="1">IF(TYPE(VLOOKUP(C15,'KO16'!$D$4:$D$33,1,0))&lt;4,16,999)</f>
        <v>999</v>
      </c>
      <c r="J15" s="318">
        <f ca="1">IF(TYPE(VLOOKUP(C15,'KO8'!$D$4:$D$17,1,0))&lt;4,8,999)</f>
        <v>999</v>
      </c>
      <c r="K15" s="318">
        <f ca="1">IF(TYPE(VLOOKUP(C15,'KO4'!$D$4:$D$9,1,0))&lt;4,4,999)</f>
        <v>999</v>
      </c>
      <c r="M15" s="319">
        <v>13</v>
      </c>
      <c r="O15" s="318">
        <f t="shared" ca="1" si="8"/>
        <v>1</v>
      </c>
      <c r="P15" s="318">
        <f t="shared" ca="1" si="9"/>
        <v>-1</v>
      </c>
      <c r="Q15" s="318">
        <f t="shared" ca="1" si="0"/>
        <v>10</v>
      </c>
      <c r="R15" s="318">
        <f t="shared" ca="1" si="1"/>
        <v>1</v>
      </c>
      <c r="S15" s="318">
        <f t="shared" ca="1" si="10"/>
        <v>27</v>
      </c>
      <c r="T15" s="318">
        <f t="shared" ca="1" si="11"/>
        <v>0</v>
      </c>
      <c r="U15" s="397">
        <f t="shared" si="25"/>
        <v>13</v>
      </c>
      <c r="V15" s="397">
        <v>52</v>
      </c>
      <c r="W15" s="423" t="str">
        <f ca="1">IF($V15="","",CONCATENATE(TEXT($O15,"0"),IF(Start.listina!$Y$5="","",TEXT(500+$P15,"0000")),IF(Start.listina!$Y$6="","",CHOOSE(Start.listina!$Y$7,TEXT($Q15,"00"),CONCATENATE(TEXT($Q15,"00"),TEXT($S15,"000")), TEXT($R15,"00"))),TEXT(500+$P15,"0000"),IF(Start.listina!$Y$8="","",TEXT($T15,"0")),TEXT(999999*RAND(),"000000")))</f>
        <v>1100270499508978</v>
      </c>
      <c r="X15" s="399">
        <f t="shared" si="12"/>
        <v>13</v>
      </c>
      <c r="Y15" s="397">
        <f t="shared" ca="1" si="2"/>
        <v>3</v>
      </c>
      <c r="Z15" s="318">
        <f t="shared" ca="1" si="13"/>
        <v>41</v>
      </c>
      <c r="AA15" s="318">
        <f t="shared" ca="1" si="14"/>
        <v>7</v>
      </c>
      <c r="AB15" s="318">
        <f t="shared" ca="1" si="15"/>
        <v>56</v>
      </c>
      <c r="AC15" s="318">
        <f t="shared" ca="1" si="16"/>
        <v>22</v>
      </c>
      <c r="AD15" s="318">
        <f t="shared" ca="1" si="17"/>
        <v>0</v>
      </c>
      <c r="AE15" s="318">
        <f t="shared" ca="1" si="18"/>
        <v>0</v>
      </c>
      <c r="AG15" s="318">
        <f ca="1">IF(TYPE(VLOOKUP($A15,'1.kolo'!$L$3:$L$66,1,0))&gt;3,VLOOKUP($A15,'1.kolo'!$K$3:$L$66,2,0),VLOOKUP($A15,'1.kolo'!$L$3:$O$66,4,0))</f>
        <v>41</v>
      </c>
      <c r="AH15" s="318">
        <f ca="1">IF(TYPE(VLOOKUP($A15,'1.kolo'!$L$3:$L$66,1,0))&gt;3,VLOOKUP($A15,'1.kolo'!$O$3:$Q$66,2,0),VLOOKUP($A15,'1.kolo'!$L$3:$N$66,2,0))</f>
        <v>1</v>
      </c>
      <c r="AI15" s="318">
        <f ca="1">IF(TYPE(VLOOKUP($A15,'1.kolo'!$L$3:$L$66,1,0))&gt;3,VLOOKUP($A15,'1.kolo'!$O$3:$Q$66,3,0),VLOOKUP($A15,'1.kolo'!$L$3:$N$66,3,0))</f>
        <v>9</v>
      </c>
      <c r="AJ15" s="318">
        <f t="shared" ca="1" si="19"/>
        <v>0</v>
      </c>
      <c r="AK15" s="318">
        <v>13</v>
      </c>
      <c r="AL15" s="424"/>
      <c r="AP15" s="318">
        <f ca="1">IF(TYPE(VLOOKUP($A15,'2.kolo'!$L$3:$L$66,1,0))&gt;3,IF(TYPE(VLOOKUP($A15,'2.kolo'!$K$3:$L$66,2,0))&gt;3,0,VLOOKUP($A15,'2.kolo'!$K$3:$L$66,2,0)),VLOOKUP($A15,'2.kolo'!$L$3:$O$66,4,0))</f>
        <v>7</v>
      </c>
      <c r="AQ15" s="318">
        <f ca="1">IF(TYPE(VLOOKUP($A15,'2.kolo'!$L$3:$L$66,1,0))&gt;3,IF(TYPE(VLOOKUP($A15,'2.kolo'!$O$3:$Q$66,2,0))&gt;3,0,VLOOKUP($A15,'2.kolo'!$O$3:$Q$66,2,0)),VLOOKUP($A15,'2.kolo'!$L$3:$N$66,2,0))</f>
        <v>0</v>
      </c>
      <c r="AR15" s="318">
        <f ca="1">IF(TYPE(VLOOKUP($A15,'2.kolo'!$L$3:$L$66,1,0))&gt;3,IF(TYPE(VLOOKUP($A15,'2.kolo'!$O$3:$Q$66,3,0))&gt;3,0,VLOOKUP($A15,'2.kolo'!$O$3:$Q$66,3,0)),VLOOKUP($A15,'2.kolo'!$L$3:$N$66,3,0))</f>
        <v>-3</v>
      </c>
      <c r="AS15" s="318">
        <f t="shared" ca="1" si="20"/>
        <v>0</v>
      </c>
      <c r="AT15" s="397">
        <v>44</v>
      </c>
      <c r="AU15" s="424" t="str">
        <f ca="1">IF(AT15="","",CONCATENATE(TEXT($O15,"0"),IF(Start.listina!$Y$5="","",TEXT(500+$P15,"000")),TEXT(999999*RAND(),"000000")))</f>
        <v>1528072</v>
      </c>
      <c r="AV15" s="318">
        <f t="shared" ca="1" si="3"/>
        <v>0</v>
      </c>
      <c r="AY15" s="318">
        <f ca="1">IF(TYPE(VLOOKUP($A15,'3.kolo'!$L$3:$L$66,1,0))&gt;3,IF(TYPE(VLOOKUP($A15,'3.kolo'!$K$3:$L$66,2,0))&gt;3,0,VLOOKUP($A15,'3.kolo'!$K$3:$L$66,2,0)),VLOOKUP($A15,'3.kolo'!$L$3:$O$66,4,0))</f>
        <v>56</v>
      </c>
      <c r="AZ15" s="318">
        <f ca="1">IF(TYPE(VLOOKUP($A15,'3.kolo'!$L$3:$L$66,1,0))&gt;3,IF(TYPE(VLOOKUP($A15,'3.kolo'!$O$3:$Q$66,2,0))&gt;3,0,VLOOKUP($A15,'3.kolo'!$O$3:$Q$66,2,0)),VLOOKUP($A15,'3.kolo'!$L$3:$N$66,2,0))</f>
        <v>0</v>
      </c>
      <c r="BA15" s="318">
        <f ca="1">IF(TYPE(VLOOKUP($A15,'3.kolo'!$L$3:$L$66,1,0))&gt;3,IF(TYPE(VLOOKUP($A15,'3.kolo'!$O$3:$Q$66,3,0))&gt;3,0,VLOOKUP($A15,'3.kolo'!$O$3:$Q$66,3,0)),VLOOKUP($A15,'3.kolo'!$L$3:$N$66,3,0))</f>
        <v>-6</v>
      </c>
      <c r="BB15" s="318">
        <f t="shared" ca="1" si="21"/>
        <v>0</v>
      </c>
      <c r="BC15" s="397">
        <v>12</v>
      </c>
      <c r="BD15" s="424" t="str">
        <f ca="1">IF(BC15="","",CONCATENATE(TEXT($O15,"0"),IF(Start.listina!$Y$5="","",TEXT(500+$P15,"000")),TEXT(999999*RAND(),"000000")))</f>
        <v>1768490</v>
      </c>
      <c r="BE15" s="318">
        <f t="shared" ca="1" si="4"/>
        <v>0</v>
      </c>
      <c r="BH15" s="318">
        <f ca="1">IF(TYPE(VLOOKUP($A15,'4.kolo'!$L$3:$L$66,1,0))&gt;3,IF(TYPE(VLOOKUP($A15,'4.kolo'!$K$3:$L$66,2,0))&gt;3,0,VLOOKUP($A15,'4.kolo'!$K$3:$L$66,2,0)),VLOOKUP($A15,'4.kolo'!$L$3:$O$66,4,0))</f>
        <v>22</v>
      </c>
      <c r="BI15" s="318">
        <f ca="1">IF(TYPE(VLOOKUP($A15,'4.kolo'!$L$3:$L$66,1,0))&gt;3,IF(TYPE(VLOOKUP($A15,'4.kolo'!$O$3:$Q$66,2,0))&gt;3,0,VLOOKUP($A15,'4.kolo'!$O$3:$Q$66,2,0)),VLOOKUP($A15,'4.kolo'!$L$3:$N$66,2,0))</f>
        <v>0</v>
      </c>
      <c r="BJ15" s="318">
        <f ca="1">IF(TYPE(VLOOKUP($A15,'4.kolo'!$L$3:$L$66,1,0))&gt;3,IF(TYPE(VLOOKUP($A15,'4.kolo'!$O$3:$Q$66,3,0))&gt;3,0,VLOOKUP($A15,'4.kolo'!$O$3:$Q$66,3,0)),VLOOKUP($A15,'4.kolo'!$L$3:$N$66,3,0))</f>
        <v>-1</v>
      </c>
      <c r="BK15" s="318">
        <f t="shared" ca="1" si="22"/>
        <v>0</v>
      </c>
      <c r="BL15" s="397">
        <v>39</v>
      </c>
      <c r="BM15" s="424" t="str">
        <f ca="1">IF(BL15="","",CONCATENATE(TEXT($O15,"0"),IF(Start.listina!$Y$5="","",TEXT(500+$P15,"000")),TEXT(999999*RAND(),"000000")))</f>
        <v>1844730</v>
      </c>
      <c r="BN15" s="318">
        <f t="shared" ca="1" si="5"/>
        <v>0</v>
      </c>
      <c r="BQ15" s="318">
        <f ca="1">IF(TYPE(VLOOKUP($A15,'5.kolo'!$L$3:$L$66,1,0))&gt;3,IF(TYPE(VLOOKUP($A15,'5.kolo'!$K$3:$L$66,2,0))&gt;3,0,VLOOKUP($A15,'5.kolo'!$K$3:$L$66,2,0)),VLOOKUP($A15,'5.kolo'!$L$3:$O$66,4,0))</f>
        <v>0</v>
      </c>
      <c r="BR15" s="318">
        <f ca="1">IF(TYPE(VLOOKUP($A15,'5.kolo'!$L$3:$L$66,1,0))&gt;3,IF(TYPE(VLOOKUP($A15,'5.kolo'!$O$3:$Q$66,2,0))&gt;3,0,VLOOKUP($A15,'5.kolo'!$O$3:$Q$66,2,0)),VLOOKUP($A15,'5.kolo'!$L$3:$N$66,2,0))</f>
        <v>0</v>
      </c>
      <c r="BS15" s="318">
        <f ca="1">IF(TYPE(VLOOKUP($A15,'5.kolo'!$L$3:$L$66,1,0))&gt;3,IF(TYPE(VLOOKUP($A15,'5.kolo'!$O$3:$Q$66,3,0))&gt;3,0,VLOOKUP($A15,'5.kolo'!$O$3:$Q$66,3,0)),VLOOKUP($A15,'5.kolo'!$L$3:$N$66,3,0))</f>
        <v>0</v>
      </c>
      <c r="BT15" s="318">
        <f t="shared" ca="1" si="23"/>
        <v>0</v>
      </c>
      <c r="BU15" s="397"/>
      <c r="BV15" s="424" t="str">
        <f ca="1">IF(BU15="","",CONCATENATE(TEXT($O15,"0"),IF(Start.listina!$Y$5="","",TEXT(500+$P15,"000")),TEXT(999999*RAND(),"000000")))</f>
        <v/>
      </c>
      <c r="BW15" s="318">
        <f t="shared" ca="1" si="6"/>
        <v>0</v>
      </c>
      <c r="BZ15" s="318">
        <f ca="1">IF(TYPE(VLOOKUP($A15,'6.kolo'!$L$3:$L$66,1,0))&gt;3,IF(TYPE(VLOOKUP($A15,'6.kolo'!$K$3:$L$66,2,0))&gt;3,0,VLOOKUP($A15,'6.kolo'!$K$3:$L$66,2,0)),VLOOKUP($A15,'6.kolo'!$L$3:$O$66,4,0))</f>
        <v>0</v>
      </c>
      <c r="CA15" s="318">
        <f ca="1">IF(TYPE(VLOOKUP($A15,'6.kolo'!$L$3:$L$66,1,0))&gt;3,IF(TYPE(VLOOKUP($A15,'6.kolo'!$O$3:$Q$66,2,0))&gt;3,0,VLOOKUP($A15,'6.kolo'!$O$3:$Q$66,2,0)),VLOOKUP($A15,'6.kolo'!$L$3:$N$66,2,0))</f>
        <v>0</v>
      </c>
      <c r="CB15" s="318">
        <f ca="1">IF(TYPE(VLOOKUP($A15,'6.kolo'!$L$3:$L$66,1,0))&gt;3,IF(TYPE(VLOOKUP($A15,'6.kolo'!$O$3:$Q$66,3,0))&gt;3,0,VLOOKUP($A15,'6.kolo'!$O$3:$Q$66,3,0)),VLOOKUP($A15,'6.kolo'!$L$3:$N$66,3,0))</f>
        <v>0</v>
      </c>
      <c r="CC15" s="318">
        <f t="shared" ca="1" si="24"/>
        <v>0</v>
      </c>
      <c r="CD15" s="397"/>
      <c r="CE15" s="424" t="str">
        <f ca="1">IF(CD15="","",CONCATENATE(TEXT($O15,"0"),IF(Start.listina!$Y$5="","",TEXT(500+$P15,"000")),TEXT(999999*RAND(),"000000")))</f>
        <v/>
      </c>
      <c r="CF15" s="318">
        <f t="shared" ca="1" si="7"/>
        <v>0</v>
      </c>
    </row>
    <row r="16" spans="1:84" x14ac:dyDescent="0.4">
      <c r="A16" s="318">
        <f ca="1">IF(OR(Start.listina!H24&gt;Start.listina!$K$7,Start.listina!G24=TRUE),"",Start.listina!H24)</f>
        <v>14</v>
      </c>
      <c r="B16" s="318">
        <f ca="1">IF($A16&gt;Start.listina!$K$7,"",INT(($A16-1)/Start.listina!$O$7)+1)</f>
        <v>1</v>
      </c>
      <c r="C16" s="421" t="str">
        <f ca="1">IF(OR(Start.listina!H24&gt;Start.listina!$K$7,Start.listina!G24=TRUE)," - ",Start.listina!AL24)</f>
        <v>14 PC Sokol Lipník - Morávek Petr</v>
      </c>
      <c r="D16" s="318">
        <f ca="1">IF(OR(A16&gt;Start.listina!$K$7,TYPE(VLOOKUP(A16,$V$3:$X$130,3,0))&gt;3),"",VLOOKUP(A16,$V$3:$X$130,3,0))</f>
        <v>7</v>
      </c>
      <c r="E16" s="422">
        <f ca="1">IF(A16&gt;Start.listina!$K$7,"",IF(MIN(F16:K16)&gt;Start.listina!$Y$4,D16,MIN(F16:K16)))</f>
        <v>2</v>
      </c>
      <c r="F16" s="318">
        <f ca="1">IF(TYPE(VLOOKUP(C16,Konečné_pořadí_1_16!$B$2:$D$17,3,0))&lt;4,VLOOKUP(C16,Konečné_pořadí_1_16!$B$2:$D$17,3,0),999)</f>
        <v>2</v>
      </c>
      <c r="G16" s="318">
        <f ca="1">IF(TYPE(VLOOKUP(C16,'KO64'!$D$4:$D$129,1,0))&lt;4,64,999)</f>
        <v>64</v>
      </c>
      <c r="H16" s="318">
        <f ca="1">IF(TYPE(VLOOKUP(C16,'KO32'!$D$4:$D$65,1,0))&lt;4,32,999)</f>
        <v>32</v>
      </c>
      <c r="I16" s="318">
        <f ca="1">IF(TYPE(VLOOKUP(C16,'KO16'!$D$4:$D$33,1,0))&lt;4,16,999)</f>
        <v>16</v>
      </c>
      <c r="J16" s="318">
        <f ca="1">IF(TYPE(VLOOKUP(C16,'KO8'!$D$4:$D$17,1,0))&lt;4,8,999)</f>
        <v>8</v>
      </c>
      <c r="K16" s="318">
        <f ca="1">IF(TYPE(VLOOKUP(C16,'KO4'!$D$4:$D$9,1,0))&lt;4,4,999)</f>
        <v>4</v>
      </c>
      <c r="M16" s="319">
        <v>14</v>
      </c>
      <c r="O16" s="318">
        <f t="shared" ca="1" si="8"/>
        <v>3</v>
      </c>
      <c r="P16" s="318">
        <f t="shared" ca="1" si="9"/>
        <v>13</v>
      </c>
      <c r="Q16" s="318">
        <f t="shared" ca="1" si="0"/>
        <v>11</v>
      </c>
      <c r="R16" s="318">
        <f t="shared" ca="1" si="1"/>
        <v>7</v>
      </c>
      <c r="S16" s="318">
        <f t="shared" ca="1" si="10"/>
        <v>33</v>
      </c>
      <c r="T16" s="318">
        <f t="shared" ca="1" si="11"/>
        <v>0</v>
      </c>
      <c r="U16" s="397">
        <f t="shared" si="25"/>
        <v>14</v>
      </c>
      <c r="V16" s="397">
        <v>9</v>
      </c>
      <c r="W16" s="423" t="str">
        <f ca="1">IF($V16="","",CONCATENATE(TEXT($O16,"0"),IF(Start.listina!$Y$5="","",TEXT(500+$P16,"0000")),IF(Start.listina!$Y$6="","",CHOOSE(Start.listina!$Y$7,TEXT($Q16,"00"),CONCATENATE(TEXT($Q16,"00"),TEXT($S16,"000")), TEXT($R16,"00"))),TEXT(500+$P16,"0000"),IF(Start.listina!$Y$8="","",TEXT($T16,"0")),TEXT(999999*RAND(),"000000")))</f>
        <v>3110330513210671</v>
      </c>
      <c r="X16" s="399">
        <f t="shared" si="12"/>
        <v>14</v>
      </c>
      <c r="Y16" s="397">
        <f t="shared" ca="1" si="2"/>
        <v>3</v>
      </c>
      <c r="Z16" s="318">
        <f t="shared" ca="1" si="13"/>
        <v>42</v>
      </c>
      <c r="AA16" s="318">
        <f t="shared" ca="1" si="14"/>
        <v>9</v>
      </c>
      <c r="AB16" s="318">
        <f t="shared" ca="1" si="15"/>
        <v>57</v>
      </c>
      <c r="AC16" s="318">
        <f t="shared" ca="1" si="16"/>
        <v>1</v>
      </c>
      <c r="AD16" s="318">
        <f t="shared" ca="1" si="17"/>
        <v>0</v>
      </c>
      <c r="AE16" s="318">
        <f t="shared" ca="1" si="18"/>
        <v>0</v>
      </c>
      <c r="AG16" s="318">
        <f ca="1">IF(TYPE(VLOOKUP($A16,'1.kolo'!$L$3:$L$66,1,0))&gt;3,VLOOKUP($A16,'1.kolo'!$K$3:$L$66,2,0),VLOOKUP($A16,'1.kolo'!$L$3:$O$66,4,0))</f>
        <v>42</v>
      </c>
      <c r="AH16" s="318">
        <f ca="1">IF(TYPE(VLOOKUP($A16,'1.kolo'!$L$3:$L$66,1,0))&gt;3,VLOOKUP($A16,'1.kolo'!$O$3:$Q$66,2,0),VLOOKUP($A16,'1.kolo'!$L$3:$N$66,2,0))</f>
        <v>1</v>
      </c>
      <c r="AI16" s="318">
        <f ca="1">IF(TYPE(VLOOKUP($A16,'1.kolo'!$L$3:$L$66,1,0))&gt;3,VLOOKUP($A16,'1.kolo'!$O$3:$Q$66,3,0),VLOOKUP($A16,'1.kolo'!$L$3:$N$66,3,0))</f>
        <v>11</v>
      </c>
      <c r="AJ16" s="318">
        <f t="shared" ca="1" si="19"/>
        <v>0</v>
      </c>
      <c r="AK16" s="318">
        <v>14</v>
      </c>
      <c r="AL16" s="424"/>
      <c r="AP16" s="318">
        <f ca="1">IF(TYPE(VLOOKUP($A16,'2.kolo'!$L$3:$L$66,1,0))&gt;3,IF(TYPE(VLOOKUP($A16,'2.kolo'!$K$3:$L$66,2,0))&gt;3,0,VLOOKUP($A16,'2.kolo'!$K$3:$L$66,2,0)),VLOOKUP($A16,'2.kolo'!$L$3:$O$66,4,0))</f>
        <v>9</v>
      </c>
      <c r="AQ16" s="318">
        <f ca="1">IF(TYPE(VLOOKUP($A16,'2.kolo'!$L$3:$L$66,1,0))&gt;3,IF(TYPE(VLOOKUP($A16,'2.kolo'!$O$3:$Q$66,2,0))&gt;3,0,VLOOKUP($A16,'2.kolo'!$O$3:$Q$66,2,0)),VLOOKUP($A16,'2.kolo'!$L$3:$N$66,2,0))</f>
        <v>1</v>
      </c>
      <c r="AR16" s="318">
        <f ca="1">IF(TYPE(VLOOKUP($A16,'2.kolo'!$L$3:$L$66,1,0))&gt;3,IF(TYPE(VLOOKUP($A16,'2.kolo'!$O$3:$Q$66,3,0))&gt;3,0,VLOOKUP($A16,'2.kolo'!$O$3:$Q$66,3,0)),VLOOKUP($A16,'2.kolo'!$L$3:$N$66,3,0))</f>
        <v>2</v>
      </c>
      <c r="AS16" s="318">
        <f t="shared" ca="1" si="20"/>
        <v>0</v>
      </c>
      <c r="AT16" s="397">
        <v>20</v>
      </c>
      <c r="AU16" s="424" t="str">
        <f ca="1">IF(AT16="","",CONCATENATE(TEXT($O16,"0"),IF(Start.listina!$Y$5="","",TEXT(500+$P16,"000")),TEXT(999999*RAND(),"000000")))</f>
        <v>3351800</v>
      </c>
      <c r="AV16" s="318">
        <f t="shared" ca="1" si="3"/>
        <v>0</v>
      </c>
      <c r="AY16" s="318">
        <f ca="1">IF(TYPE(VLOOKUP($A16,'3.kolo'!$L$3:$L$66,1,0))&gt;3,IF(TYPE(VLOOKUP($A16,'3.kolo'!$K$3:$L$66,2,0))&gt;3,0,VLOOKUP($A16,'3.kolo'!$K$3:$L$66,2,0)),VLOOKUP($A16,'3.kolo'!$L$3:$O$66,4,0))</f>
        <v>57</v>
      </c>
      <c r="AZ16" s="318">
        <f ca="1">IF(TYPE(VLOOKUP($A16,'3.kolo'!$L$3:$L$66,1,0))&gt;3,IF(TYPE(VLOOKUP($A16,'3.kolo'!$O$3:$Q$66,2,0))&gt;3,0,VLOOKUP($A16,'3.kolo'!$O$3:$Q$66,2,0)),VLOOKUP($A16,'3.kolo'!$L$3:$N$66,2,0))</f>
        <v>1</v>
      </c>
      <c r="BA16" s="318">
        <f ca="1">IF(TYPE(VLOOKUP($A16,'3.kolo'!$L$3:$L$66,1,0))&gt;3,IF(TYPE(VLOOKUP($A16,'3.kolo'!$O$3:$Q$66,3,0))&gt;3,0,VLOOKUP($A16,'3.kolo'!$O$3:$Q$66,3,0)),VLOOKUP($A16,'3.kolo'!$L$3:$N$66,3,0))</f>
        <v>10</v>
      </c>
      <c r="BB16" s="318">
        <f t="shared" ca="1" si="21"/>
        <v>0</v>
      </c>
      <c r="BC16" s="397">
        <v>21</v>
      </c>
      <c r="BD16" s="424" t="str">
        <f ca="1">IF(BC16="","",CONCATENATE(TEXT($O16,"0"),IF(Start.listina!$Y$5="","",TEXT(500+$P16,"000")),TEXT(999999*RAND(),"000000")))</f>
        <v>3965841</v>
      </c>
      <c r="BE16" s="318">
        <f t="shared" ca="1" si="4"/>
        <v>0</v>
      </c>
      <c r="BH16" s="318">
        <f ca="1">IF(TYPE(VLOOKUP($A16,'4.kolo'!$L$3:$L$66,1,0))&gt;3,IF(TYPE(VLOOKUP($A16,'4.kolo'!$K$3:$L$66,2,0))&gt;3,0,VLOOKUP($A16,'4.kolo'!$K$3:$L$66,2,0)),VLOOKUP($A16,'4.kolo'!$L$3:$O$66,4,0))</f>
        <v>1</v>
      </c>
      <c r="BI16" s="318">
        <f ca="1">IF(TYPE(VLOOKUP($A16,'4.kolo'!$L$3:$L$66,1,0))&gt;3,IF(TYPE(VLOOKUP($A16,'4.kolo'!$O$3:$Q$66,2,0))&gt;3,0,VLOOKUP($A16,'4.kolo'!$O$3:$Q$66,2,0)),VLOOKUP($A16,'4.kolo'!$L$3:$N$66,2,0))</f>
        <v>0</v>
      </c>
      <c r="BJ16" s="318">
        <f ca="1">IF(TYPE(VLOOKUP($A16,'4.kolo'!$L$3:$L$66,1,0))&gt;3,IF(TYPE(VLOOKUP($A16,'4.kolo'!$O$3:$Q$66,3,0))&gt;3,0,VLOOKUP($A16,'4.kolo'!$O$3:$Q$66,3,0)),VLOOKUP($A16,'4.kolo'!$L$3:$N$66,3,0))</f>
        <v>-10</v>
      </c>
      <c r="BK16" s="318">
        <f t="shared" ca="1" si="22"/>
        <v>0</v>
      </c>
      <c r="BL16" s="397">
        <v>56</v>
      </c>
      <c r="BM16" s="424" t="str">
        <f ca="1">IF(BL16="","",CONCATENATE(TEXT($O16,"0"),IF(Start.listina!$Y$5="","",TEXT(500+$P16,"000")),TEXT(999999*RAND(),"000000")))</f>
        <v>3037412</v>
      </c>
      <c r="BN16" s="318">
        <f t="shared" ca="1" si="5"/>
        <v>0</v>
      </c>
      <c r="BQ16" s="318">
        <f ca="1">IF(TYPE(VLOOKUP($A16,'5.kolo'!$L$3:$L$66,1,0))&gt;3,IF(TYPE(VLOOKUP($A16,'5.kolo'!$K$3:$L$66,2,0))&gt;3,0,VLOOKUP($A16,'5.kolo'!$K$3:$L$66,2,0)),VLOOKUP($A16,'5.kolo'!$L$3:$O$66,4,0))</f>
        <v>0</v>
      </c>
      <c r="BR16" s="318">
        <f ca="1">IF(TYPE(VLOOKUP($A16,'5.kolo'!$L$3:$L$66,1,0))&gt;3,IF(TYPE(VLOOKUP($A16,'5.kolo'!$O$3:$Q$66,2,0))&gt;3,0,VLOOKUP($A16,'5.kolo'!$O$3:$Q$66,2,0)),VLOOKUP($A16,'5.kolo'!$L$3:$N$66,2,0))</f>
        <v>0</v>
      </c>
      <c r="BS16" s="318">
        <f ca="1">IF(TYPE(VLOOKUP($A16,'5.kolo'!$L$3:$L$66,1,0))&gt;3,IF(TYPE(VLOOKUP($A16,'5.kolo'!$O$3:$Q$66,3,0))&gt;3,0,VLOOKUP($A16,'5.kolo'!$O$3:$Q$66,3,0)),VLOOKUP($A16,'5.kolo'!$L$3:$N$66,3,0))</f>
        <v>0</v>
      </c>
      <c r="BT16" s="318">
        <f t="shared" ca="1" si="23"/>
        <v>0</v>
      </c>
      <c r="BU16" s="397"/>
      <c r="BV16" s="424" t="str">
        <f ca="1">IF(BU16="","",CONCATENATE(TEXT($O16,"0"),IF(Start.listina!$Y$5="","",TEXT(500+$P16,"000")),TEXT(999999*RAND(),"000000")))</f>
        <v/>
      </c>
      <c r="BW16" s="318">
        <f t="shared" ca="1" si="6"/>
        <v>0</v>
      </c>
      <c r="BZ16" s="318">
        <f ca="1">IF(TYPE(VLOOKUP($A16,'6.kolo'!$L$3:$L$66,1,0))&gt;3,IF(TYPE(VLOOKUP($A16,'6.kolo'!$K$3:$L$66,2,0))&gt;3,0,VLOOKUP($A16,'6.kolo'!$K$3:$L$66,2,0)),VLOOKUP($A16,'6.kolo'!$L$3:$O$66,4,0))</f>
        <v>0</v>
      </c>
      <c r="CA16" s="318">
        <f ca="1">IF(TYPE(VLOOKUP($A16,'6.kolo'!$L$3:$L$66,1,0))&gt;3,IF(TYPE(VLOOKUP($A16,'6.kolo'!$O$3:$Q$66,2,0))&gt;3,0,VLOOKUP($A16,'6.kolo'!$O$3:$Q$66,2,0)),VLOOKUP($A16,'6.kolo'!$L$3:$N$66,2,0))</f>
        <v>0</v>
      </c>
      <c r="CB16" s="318">
        <f ca="1">IF(TYPE(VLOOKUP($A16,'6.kolo'!$L$3:$L$66,1,0))&gt;3,IF(TYPE(VLOOKUP($A16,'6.kolo'!$O$3:$Q$66,3,0))&gt;3,0,VLOOKUP($A16,'6.kolo'!$O$3:$Q$66,3,0)),VLOOKUP($A16,'6.kolo'!$L$3:$N$66,3,0))</f>
        <v>0</v>
      </c>
      <c r="CC16" s="318">
        <f t="shared" ca="1" si="24"/>
        <v>0</v>
      </c>
      <c r="CD16" s="397"/>
      <c r="CE16" s="424" t="str">
        <f ca="1">IF(CD16="","",CONCATENATE(TEXT($O16,"0"),IF(Start.listina!$Y$5="","",TEXT(500+$P16,"000")),TEXT(999999*RAND(),"000000")))</f>
        <v/>
      </c>
      <c r="CF16" s="318">
        <f t="shared" ca="1" si="7"/>
        <v>0</v>
      </c>
    </row>
    <row r="17" spans="1:84" x14ac:dyDescent="0.4">
      <c r="A17" s="318">
        <f ca="1">IF(OR(Start.listina!H25&gt;Start.listina!$K$7,Start.listina!G25=TRUE),"",Start.listina!H25)</f>
        <v>15</v>
      </c>
      <c r="B17" s="318">
        <f ca="1">IF($A17&gt;Start.listina!$K$7,"",INT(($A17-1)/Start.listina!$O$7)+1)</f>
        <v>1</v>
      </c>
      <c r="C17" s="421" t="str">
        <f ca="1">IF(OR(Start.listina!H25&gt;Start.listina!$K$7,Start.listina!G25=TRUE)," - ",Start.listina!AL25)</f>
        <v>15 Sokol Kostomlaty - Vlach Jaromír</v>
      </c>
      <c r="D17" s="318">
        <f ca="1">IF(OR(A17&gt;Start.listina!$K$7,TYPE(VLOOKUP(A17,$V$3:$X$130,3,0))&gt;3),"",VLOOKUP(A17,$V$3:$X$130,3,0))</f>
        <v>17</v>
      </c>
      <c r="E17" s="422">
        <f ca="1">IF(A17&gt;Start.listina!$K$7,"",IF(MIN(F17:K17)&gt;Start.listina!$Y$4,D17,MIN(F17:K17)))</f>
        <v>17</v>
      </c>
      <c r="F17" s="318">
        <f ca="1">IF(TYPE(VLOOKUP(C17,Konečné_pořadí_1_16!$B$2:$D$17,3,0))&lt;4,VLOOKUP(C17,Konečné_pořadí_1_16!$B$2:$D$17,3,0),999)</f>
        <v>999</v>
      </c>
      <c r="G17" s="318">
        <f ca="1">IF(TYPE(VLOOKUP(C17,'KO64'!$D$4:$D$129,1,0))&lt;4,64,999)</f>
        <v>999</v>
      </c>
      <c r="H17" s="318">
        <f ca="1">IF(TYPE(VLOOKUP(C17,'KO32'!$D$4:$D$65,1,0))&lt;4,32,999)</f>
        <v>999</v>
      </c>
      <c r="I17" s="318">
        <f ca="1">IF(TYPE(VLOOKUP(C17,'KO16'!$D$4:$D$33,1,0))&lt;4,16,999)</f>
        <v>999</v>
      </c>
      <c r="J17" s="318">
        <f ca="1">IF(TYPE(VLOOKUP(C17,'KO8'!$D$4:$D$17,1,0))&lt;4,8,999)</f>
        <v>999</v>
      </c>
      <c r="K17" s="318">
        <f ca="1">IF(TYPE(VLOOKUP(C17,'KO4'!$D$4:$D$9,1,0))&lt;4,4,999)</f>
        <v>999</v>
      </c>
      <c r="M17" s="319">
        <v>15</v>
      </c>
      <c r="O17" s="318">
        <f t="shared" ca="1" si="8"/>
        <v>3</v>
      </c>
      <c r="P17" s="318">
        <f t="shared" ca="1" si="9"/>
        <v>18</v>
      </c>
      <c r="Q17" s="318">
        <f t="shared" ca="1" si="0"/>
        <v>7</v>
      </c>
      <c r="R17" s="318">
        <f t="shared" ca="1" si="1"/>
        <v>4</v>
      </c>
      <c r="S17" s="318">
        <f t="shared" ca="1" si="10"/>
        <v>37</v>
      </c>
      <c r="T17" s="318">
        <f t="shared" ca="1" si="11"/>
        <v>0</v>
      </c>
      <c r="U17" s="397">
        <f t="shared" si="25"/>
        <v>15</v>
      </c>
      <c r="V17" s="397">
        <v>44</v>
      </c>
      <c r="W17" s="423" t="str">
        <f ca="1">IF($V17="","",CONCATENATE(TEXT($O17,"0"),IF(Start.listina!$Y$5="","",TEXT(500+$P17,"0000")),IF(Start.listina!$Y$6="","",CHOOSE(Start.listina!$Y$7,TEXT($Q17,"00"),CONCATENATE(TEXT($Q17,"00"),TEXT($S17,"000")), TEXT($R17,"00"))),TEXT(500+$P17,"0000"),IF(Start.listina!$Y$8="","",TEXT($T17,"0")),TEXT(999999*RAND(),"000000")))</f>
        <v>3070370518813054</v>
      </c>
      <c r="X17" s="399">
        <f t="shared" si="12"/>
        <v>15</v>
      </c>
      <c r="Y17" s="397">
        <f t="shared" ca="1" si="2"/>
        <v>3</v>
      </c>
      <c r="Z17" s="318">
        <f t="shared" ca="1" si="13"/>
        <v>43</v>
      </c>
      <c r="AA17" s="318">
        <f t="shared" ca="1" si="14"/>
        <v>34</v>
      </c>
      <c r="AB17" s="318">
        <f t="shared" ca="1" si="15"/>
        <v>22</v>
      </c>
      <c r="AC17" s="318">
        <f t="shared" ca="1" si="16"/>
        <v>54</v>
      </c>
      <c r="AD17" s="318">
        <f t="shared" ca="1" si="17"/>
        <v>0</v>
      </c>
      <c r="AE17" s="318">
        <f t="shared" ca="1" si="18"/>
        <v>0</v>
      </c>
      <c r="AG17" s="318">
        <f ca="1">IF(TYPE(VLOOKUP($A17,'1.kolo'!$L$3:$L$66,1,0))&gt;3,VLOOKUP($A17,'1.kolo'!$K$3:$L$66,2,0),VLOOKUP($A17,'1.kolo'!$L$3:$O$66,4,0))</f>
        <v>43</v>
      </c>
      <c r="AH17" s="318">
        <f ca="1">IF(TYPE(VLOOKUP($A17,'1.kolo'!$L$3:$L$66,1,0))&gt;3,VLOOKUP($A17,'1.kolo'!$O$3:$Q$66,2,0),VLOOKUP($A17,'1.kolo'!$L$3:$N$66,2,0))</f>
        <v>1</v>
      </c>
      <c r="AI17" s="318">
        <f ca="1">IF(TYPE(VLOOKUP($A17,'1.kolo'!$L$3:$L$66,1,0))&gt;3,VLOOKUP($A17,'1.kolo'!$O$3:$Q$66,3,0),VLOOKUP($A17,'1.kolo'!$L$3:$N$66,3,0))</f>
        <v>10</v>
      </c>
      <c r="AJ17" s="318">
        <f t="shared" ca="1" si="19"/>
        <v>0</v>
      </c>
      <c r="AK17" s="318">
        <v>15</v>
      </c>
      <c r="AL17" s="424"/>
      <c r="AP17" s="318">
        <f ca="1">IF(TYPE(VLOOKUP($A17,'2.kolo'!$L$3:$L$66,1,0))&gt;3,IF(TYPE(VLOOKUP($A17,'2.kolo'!$K$3:$L$66,2,0))&gt;3,0,VLOOKUP($A17,'2.kolo'!$K$3:$L$66,2,0)),VLOOKUP($A17,'2.kolo'!$L$3:$O$66,4,0))</f>
        <v>34</v>
      </c>
      <c r="AQ17" s="318">
        <f ca="1">IF(TYPE(VLOOKUP($A17,'2.kolo'!$L$3:$L$66,1,0))&gt;3,IF(TYPE(VLOOKUP($A17,'2.kolo'!$O$3:$Q$66,2,0))&gt;3,0,VLOOKUP($A17,'2.kolo'!$O$3:$Q$66,2,0)),VLOOKUP($A17,'2.kolo'!$L$3:$N$66,2,0))</f>
        <v>0</v>
      </c>
      <c r="AR17" s="318">
        <f ca="1">IF(TYPE(VLOOKUP($A17,'2.kolo'!$L$3:$L$66,1,0))&gt;3,IF(TYPE(VLOOKUP($A17,'2.kolo'!$O$3:$Q$66,3,0))&gt;3,0,VLOOKUP($A17,'2.kolo'!$O$3:$Q$66,3,0)),VLOOKUP($A17,'2.kolo'!$L$3:$N$66,3,0))</f>
        <v>-5</v>
      </c>
      <c r="AS17" s="318">
        <f t="shared" ca="1" si="20"/>
        <v>0</v>
      </c>
      <c r="AT17" s="397">
        <v>7</v>
      </c>
      <c r="AU17" s="424" t="str">
        <f ca="1">IF(AT17="","",CONCATENATE(TEXT($O17,"0"),IF(Start.listina!$Y$5="","",TEXT(500+$P17,"000")),TEXT(999999*RAND(),"000000")))</f>
        <v>3998622</v>
      </c>
      <c r="AV17" s="318">
        <f t="shared" ca="1" si="3"/>
        <v>0</v>
      </c>
      <c r="AY17" s="318">
        <f ca="1">IF(TYPE(VLOOKUP($A17,'3.kolo'!$L$3:$L$66,1,0))&gt;3,IF(TYPE(VLOOKUP($A17,'3.kolo'!$K$3:$L$66,2,0))&gt;3,0,VLOOKUP($A17,'3.kolo'!$K$3:$L$66,2,0)),VLOOKUP($A17,'3.kolo'!$L$3:$O$66,4,0))</f>
        <v>22</v>
      </c>
      <c r="AZ17" s="318">
        <f ca="1">IF(TYPE(VLOOKUP($A17,'3.kolo'!$L$3:$L$66,1,0))&gt;3,IF(TYPE(VLOOKUP($A17,'3.kolo'!$O$3:$Q$66,2,0))&gt;3,0,VLOOKUP($A17,'3.kolo'!$O$3:$Q$66,2,0)),VLOOKUP($A17,'3.kolo'!$L$3:$N$66,2,0))</f>
        <v>1</v>
      </c>
      <c r="BA17" s="318">
        <f ca="1">IF(TYPE(VLOOKUP($A17,'3.kolo'!$L$3:$L$66,1,0))&gt;3,IF(TYPE(VLOOKUP($A17,'3.kolo'!$O$3:$Q$66,3,0))&gt;3,0,VLOOKUP($A17,'3.kolo'!$O$3:$Q$66,3,0)),VLOOKUP($A17,'3.kolo'!$L$3:$N$66,3,0))</f>
        <v>4</v>
      </c>
      <c r="BB17" s="318">
        <f t="shared" ca="1" si="21"/>
        <v>0</v>
      </c>
      <c r="BC17" s="397">
        <v>1</v>
      </c>
      <c r="BD17" s="424" t="str">
        <f ca="1">IF(BC17="","",CONCATENATE(TEXT($O17,"0"),IF(Start.listina!$Y$5="","",TEXT(500+$P17,"000")),TEXT(999999*RAND(),"000000")))</f>
        <v>3174596</v>
      </c>
      <c r="BE17" s="318">
        <f t="shared" ca="1" si="4"/>
        <v>0</v>
      </c>
      <c r="BH17" s="318">
        <f ca="1">IF(TYPE(VLOOKUP($A17,'4.kolo'!$L$3:$L$66,1,0))&gt;3,IF(TYPE(VLOOKUP($A17,'4.kolo'!$K$3:$L$66,2,0))&gt;3,0,VLOOKUP($A17,'4.kolo'!$K$3:$L$66,2,0)),VLOOKUP($A17,'4.kolo'!$L$3:$O$66,4,0))</f>
        <v>54</v>
      </c>
      <c r="BI17" s="318">
        <f ca="1">IF(TYPE(VLOOKUP($A17,'4.kolo'!$L$3:$L$66,1,0))&gt;3,IF(TYPE(VLOOKUP($A17,'4.kolo'!$O$3:$Q$66,2,0))&gt;3,0,VLOOKUP($A17,'4.kolo'!$O$3:$Q$66,2,0)),VLOOKUP($A17,'4.kolo'!$L$3:$N$66,2,0))</f>
        <v>1</v>
      </c>
      <c r="BJ17" s="318">
        <f ca="1">IF(TYPE(VLOOKUP($A17,'4.kolo'!$L$3:$L$66,1,0))&gt;3,IF(TYPE(VLOOKUP($A17,'4.kolo'!$O$3:$Q$66,3,0))&gt;3,0,VLOOKUP($A17,'4.kolo'!$O$3:$Q$66,3,0)),VLOOKUP($A17,'4.kolo'!$L$3:$N$66,3,0))</f>
        <v>9</v>
      </c>
      <c r="BK17" s="318">
        <f t="shared" ca="1" si="22"/>
        <v>0</v>
      </c>
      <c r="BL17" s="397">
        <v>44</v>
      </c>
      <c r="BM17" s="424" t="str">
        <f ca="1">IF(BL17="","",CONCATENATE(TEXT($O17,"0"),IF(Start.listina!$Y$5="","",TEXT(500+$P17,"000")),TEXT(999999*RAND(),"000000")))</f>
        <v>3694077</v>
      </c>
      <c r="BN17" s="318">
        <f t="shared" ca="1" si="5"/>
        <v>0</v>
      </c>
      <c r="BQ17" s="318">
        <f ca="1">IF(TYPE(VLOOKUP($A17,'5.kolo'!$L$3:$L$66,1,0))&gt;3,IF(TYPE(VLOOKUP($A17,'5.kolo'!$K$3:$L$66,2,0))&gt;3,0,VLOOKUP($A17,'5.kolo'!$K$3:$L$66,2,0)),VLOOKUP($A17,'5.kolo'!$L$3:$O$66,4,0))</f>
        <v>0</v>
      </c>
      <c r="BR17" s="318">
        <f ca="1">IF(TYPE(VLOOKUP($A17,'5.kolo'!$L$3:$L$66,1,0))&gt;3,IF(TYPE(VLOOKUP($A17,'5.kolo'!$O$3:$Q$66,2,0))&gt;3,0,VLOOKUP($A17,'5.kolo'!$O$3:$Q$66,2,0)),VLOOKUP($A17,'5.kolo'!$L$3:$N$66,2,0))</f>
        <v>0</v>
      </c>
      <c r="BS17" s="318">
        <f ca="1">IF(TYPE(VLOOKUP($A17,'5.kolo'!$L$3:$L$66,1,0))&gt;3,IF(TYPE(VLOOKUP($A17,'5.kolo'!$O$3:$Q$66,3,0))&gt;3,0,VLOOKUP($A17,'5.kolo'!$O$3:$Q$66,3,0)),VLOOKUP($A17,'5.kolo'!$L$3:$N$66,3,0))</f>
        <v>0</v>
      </c>
      <c r="BT17" s="318">
        <f t="shared" ca="1" si="23"/>
        <v>0</v>
      </c>
      <c r="BU17" s="397"/>
      <c r="BV17" s="424" t="str">
        <f ca="1">IF(BU17="","",CONCATENATE(TEXT($O17,"0"),IF(Start.listina!$Y$5="","",TEXT(500+$P17,"000")),TEXT(999999*RAND(),"000000")))</f>
        <v/>
      </c>
      <c r="BW17" s="318">
        <f t="shared" ca="1" si="6"/>
        <v>0</v>
      </c>
      <c r="BZ17" s="318">
        <f ca="1">IF(TYPE(VLOOKUP($A17,'6.kolo'!$L$3:$L$66,1,0))&gt;3,IF(TYPE(VLOOKUP($A17,'6.kolo'!$K$3:$L$66,2,0))&gt;3,0,VLOOKUP($A17,'6.kolo'!$K$3:$L$66,2,0)),VLOOKUP($A17,'6.kolo'!$L$3:$O$66,4,0))</f>
        <v>0</v>
      </c>
      <c r="CA17" s="318">
        <f ca="1">IF(TYPE(VLOOKUP($A17,'6.kolo'!$L$3:$L$66,1,0))&gt;3,IF(TYPE(VLOOKUP($A17,'6.kolo'!$O$3:$Q$66,2,0))&gt;3,0,VLOOKUP($A17,'6.kolo'!$O$3:$Q$66,2,0)),VLOOKUP($A17,'6.kolo'!$L$3:$N$66,2,0))</f>
        <v>0</v>
      </c>
      <c r="CB17" s="318">
        <f ca="1">IF(TYPE(VLOOKUP($A17,'6.kolo'!$L$3:$L$66,1,0))&gt;3,IF(TYPE(VLOOKUP($A17,'6.kolo'!$O$3:$Q$66,3,0))&gt;3,0,VLOOKUP($A17,'6.kolo'!$O$3:$Q$66,3,0)),VLOOKUP($A17,'6.kolo'!$L$3:$N$66,3,0))</f>
        <v>0</v>
      </c>
      <c r="CC17" s="318">
        <f t="shared" ca="1" si="24"/>
        <v>0</v>
      </c>
      <c r="CD17" s="397"/>
      <c r="CE17" s="424" t="str">
        <f ca="1">IF(CD17="","",CONCATENATE(TEXT($O17,"0"),IF(Start.listina!$Y$5="","",TEXT(500+$P17,"000")),TEXT(999999*RAND(),"000000")))</f>
        <v/>
      </c>
      <c r="CF17" s="318">
        <f t="shared" ca="1" si="7"/>
        <v>0</v>
      </c>
    </row>
    <row r="18" spans="1:84" x14ac:dyDescent="0.4">
      <c r="A18" s="318">
        <f ca="1">IF(OR(Start.listina!H26&gt;Start.listina!$K$7,Start.listina!G26=TRUE),"",Start.listina!H26)</f>
        <v>16</v>
      </c>
      <c r="B18" s="318">
        <f ca="1">IF($A18&gt;Start.listina!$K$7,"",INT(($A18-1)/Start.listina!$O$7)+1)</f>
        <v>1</v>
      </c>
      <c r="C18" s="421" t="str">
        <f ca="1">IF(OR(Start.listina!H26&gt;Start.listina!$K$7,Start.listina!G26=TRUE)," - ",Start.listina!AL26)</f>
        <v>16 PC Sokol Lipník - Vyoral Hynek</v>
      </c>
      <c r="D18" s="318">
        <f ca="1">IF(OR(A18&gt;Start.listina!$K$7,TYPE(VLOOKUP(A18,$V$3:$X$130,3,0))&gt;3),"",VLOOKUP(A18,$V$3:$X$130,3,0))</f>
        <v>46</v>
      </c>
      <c r="E18" s="422">
        <f ca="1">IF(A18&gt;Start.listina!$K$7,"",IF(MIN(F18:K18)&gt;Start.listina!$Y$4,D18,MIN(F18:K18)))</f>
        <v>46</v>
      </c>
      <c r="F18" s="318">
        <f ca="1">IF(TYPE(VLOOKUP(C18,Konečné_pořadí_1_16!$B$2:$D$17,3,0))&lt;4,VLOOKUP(C18,Konečné_pořadí_1_16!$B$2:$D$17,3,0),999)</f>
        <v>999</v>
      </c>
      <c r="G18" s="318">
        <f ca="1">IF(TYPE(VLOOKUP(C18,'KO64'!$D$4:$D$129,1,0))&lt;4,64,999)</f>
        <v>999</v>
      </c>
      <c r="H18" s="318">
        <f ca="1">IF(TYPE(VLOOKUP(C18,'KO32'!$D$4:$D$65,1,0))&lt;4,32,999)</f>
        <v>999</v>
      </c>
      <c r="I18" s="318">
        <f ca="1">IF(TYPE(VLOOKUP(C18,'KO16'!$D$4:$D$33,1,0))&lt;4,16,999)</f>
        <v>999</v>
      </c>
      <c r="J18" s="318">
        <f ca="1">IF(TYPE(VLOOKUP(C18,'KO8'!$D$4:$D$17,1,0))&lt;4,8,999)</f>
        <v>999</v>
      </c>
      <c r="K18" s="318">
        <f ca="1">IF(TYPE(VLOOKUP(C18,'KO4'!$D$4:$D$9,1,0))&lt;4,4,999)</f>
        <v>999</v>
      </c>
      <c r="M18" s="319">
        <v>16</v>
      </c>
      <c r="O18" s="318">
        <f t="shared" ca="1" si="8"/>
        <v>1</v>
      </c>
      <c r="P18" s="318">
        <f t="shared" ca="1" si="9"/>
        <v>2</v>
      </c>
      <c r="Q18" s="318">
        <f t="shared" ca="1" si="0"/>
        <v>8</v>
      </c>
      <c r="R18" s="318">
        <f t="shared" ca="1" si="1"/>
        <v>1</v>
      </c>
      <c r="S18" s="318">
        <f t="shared" ca="1" si="10"/>
        <v>29</v>
      </c>
      <c r="T18" s="318">
        <f t="shared" ca="1" si="11"/>
        <v>0</v>
      </c>
      <c r="U18" s="397">
        <f t="shared" si="25"/>
        <v>16</v>
      </c>
      <c r="V18" s="397">
        <v>24</v>
      </c>
      <c r="W18" s="423" t="str">
        <f ca="1">IF($V18="","",CONCATENATE(TEXT($O18,"0"),IF(Start.listina!$Y$5="","",TEXT(500+$P18,"0000")),IF(Start.listina!$Y$6="","",CHOOSE(Start.listina!$Y$7,TEXT($Q18,"00"),CONCATENATE(TEXT($Q18,"00"),TEXT($S18,"000")), TEXT($R18,"00"))),TEXT(500+$P18,"0000"),IF(Start.listina!$Y$8="","",TEXT($T18,"0")),TEXT(999999*RAND(),"000000")))</f>
        <v>1080290502399493</v>
      </c>
      <c r="X18" s="399">
        <f t="shared" si="12"/>
        <v>16</v>
      </c>
      <c r="Y18" s="397">
        <f t="shared" ca="1" si="2"/>
        <v>3</v>
      </c>
      <c r="Z18" s="318">
        <f t="shared" ca="1" si="13"/>
        <v>44</v>
      </c>
      <c r="AA18" s="318">
        <f t="shared" ca="1" si="14"/>
        <v>26</v>
      </c>
      <c r="AB18" s="318">
        <f t="shared" ca="1" si="15"/>
        <v>17</v>
      </c>
      <c r="AC18" s="318">
        <f t="shared" ca="1" si="16"/>
        <v>37</v>
      </c>
      <c r="AD18" s="318">
        <f t="shared" ca="1" si="17"/>
        <v>0</v>
      </c>
      <c r="AE18" s="318">
        <f t="shared" ca="1" si="18"/>
        <v>0</v>
      </c>
      <c r="AG18" s="318">
        <f ca="1">IF(TYPE(VLOOKUP($A18,'1.kolo'!$L$3:$L$66,1,0))&gt;3,VLOOKUP($A18,'1.kolo'!$K$3:$L$66,2,0),VLOOKUP($A18,'1.kolo'!$L$3:$O$66,4,0))</f>
        <v>44</v>
      </c>
      <c r="AH18" s="318">
        <f ca="1">IF(TYPE(VLOOKUP($A18,'1.kolo'!$L$3:$L$66,1,0))&gt;3,VLOOKUP($A18,'1.kolo'!$O$3:$Q$66,2,0),VLOOKUP($A18,'1.kolo'!$L$3:$N$66,2,0))</f>
        <v>0</v>
      </c>
      <c r="AI18" s="318">
        <f ca="1">IF(TYPE(VLOOKUP($A18,'1.kolo'!$L$3:$L$66,1,0))&gt;3,VLOOKUP($A18,'1.kolo'!$O$3:$Q$66,3,0),VLOOKUP($A18,'1.kolo'!$L$3:$N$66,3,0))</f>
        <v>-4</v>
      </c>
      <c r="AJ18" s="318">
        <f t="shared" ca="1" si="19"/>
        <v>0</v>
      </c>
      <c r="AK18" s="318">
        <v>16</v>
      </c>
      <c r="AL18" s="424"/>
      <c r="AP18" s="318">
        <f ca="1">IF(TYPE(VLOOKUP($A18,'2.kolo'!$L$3:$L$66,1,0))&gt;3,IF(TYPE(VLOOKUP($A18,'2.kolo'!$K$3:$L$66,2,0))&gt;3,0,VLOOKUP($A18,'2.kolo'!$K$3:$L$66,2,0)),VLOOKUP($A18,'2.kolo'!$L$3:$O$66,4,0))</f>
        <v>26</v>
      </c>
      <c r="AQ18" s="318">
        <f ca="1">IF(TYPE(VLOOKUP($A18,'2.kolo'!$L$3:$L$66,1,0))&gt;3,IF(TYPE(VLOOKUP($A18,'2.kolo'!$O$3:$Q$66,2,0))&gt;3,0,VLOOKUP($A18,'2.kolo'!$O$3:$Q$66,2,0)),VLOOKUP($A18,'2.kolo'!$L$3:$N$66,2,0))</f>
        <v>1</v>
      </c>
      <c r="AR18" s="318">
        <f ca="1">IF(TYPE(VLOOKUP($A18,'2.kolo'!$L$3:$L$66,1,0))&gt;3,IF(TYPE(VLOOKUP($A18,'2.kolo'!$O$3:$Q$66,3,0))&gt;3,0,VLOOKUP($A18,'2.kolo'!$O$3:$Q$66,3,0)),VLOOKUP($A18,'2.kolo'!$L$3:$N$66,3,0))</f>
        <v>13</v>
      </c>
      <c r="AS18" s="318">
        <f t="shared" ca="1" si="20"/>
        <v>0</v>
      </c>
      <c r="AT18" s="397">
        <v>13</v>
      </c>
      <c r="AU18" s="424" t="str">
        <f ca="1">IF(AT18="","",CONCATENATE(TEXT($O18,"0"),IF(Start.listina!$Y$5="","",TEXT(500+$P18,"000")),TEXT(999999*RAND(),"000000")))</f>
        <v>1007503</v>
      </c>
      <c r="AV18" s="318">
        <f t="shared" ca="1" si="3"/>
        <v>0</v>
      </c>
      <c r="AY18" s="318">
        <f ca="1">IF(TYPE(VLOOKUP($A18,'3.kolo'!$L$3:$L$66,1,0))&gt;3,IF(TYPE(VLOOKUP($A18,'3.kolo'!$K$3:$L$66,2,0))&gt;3,0,VLOOKUP($A18,'3.kolo'!$K$3:$L$66,2,0)),VLOOKUP($A18,'3.kolo'!$L$3:$O$66,4,0))</f>
        <v>17</v>
      </c>
      <c r="AZ18" s="318">
        <f ca="1">IF(TYPE(VLOOKUP($A18,'3.kolo'!$L$3:$L$66,1,0))&gt;3,IF(TYPE(VLOOKUP($A18,'3.kolo'!$O$3:$Q$66,2,0))&gt;3,0,VLOOKUP($A18,'3.kolo'!$O$3:$Q$66,2,0)),VLOOKUP($A18,'3.kolo'!$L$3:$N$66,2,0))</f>
        <v>0</v>
      </c>
      <c r="BA18" s="318">
        <f ca="1">IF(TYPE(VLOOKUP($A18,'3.kolo'!$L$3:$L$66,1,0))&gt;3,IF(TYPE(VLOOKUP($A18,'3.kolo'!$O$3:$Q$66,3,0))&gt;3,0,VLOOKUP($A18,'3.kolo'!$O$3:$Q$66,3,0)),VLOOKUP($A18,'3.kolo'!$L$3:$N$66,3,0))</f>
        <v>-3</v>
      </c>
      <c r="BB18" s="318">
        <f t="shared" ca="1" si="21"/>
        <v>0</v>
      </c>
      <c r="BC18" s="397">
        <v>49</v>
      </c>
      <c r="BD18" s="424" t="str">
        <f ca="1">IF(BC18="","",CONCATENATE(TEXT($O18,"0"),IF(Start.listina!$Y$5="","",TEXT(500+$P18,"000")),TEXT(999999*RAND(),"000000")))</f>
        <v>1234752</v>
      </c>
      <c r="BE18" s="318">
        <f t="shared" ca="1" si="4"/>
        <v>0</v>
      </c>
      <c r="BH18" s="318">
        <f ca="1">IF(TYPE(VLOOKUP($A18,'4.kolo'!$L$3:$L$66,1,0))&gt;3,IF(TYPE(VLOOKUP($A18,'4.kolo'!$K$3:$L$66,2,0))&gt;3,0,VLOOKUP($A18,'4.kolo'!$K$3:$L$66,2,0)),VLOOKUP($A18,'4.kolo'!$L$3:$O$66,4,0))</f>
        <v>37</v>
      </c>
      <c r="BI18" s="318">
        <f ca="1">IF(TYPE(VLOOKUP($A18,'4.kolo'!$L$3:$L$66,1,0))&gt;3,IF(TYPE(VLOOKUP($A18,'4.kolo'!$O$3:$Q$66,2,0))&gt;3,0,VLOOKUP($A18,'4.kolo'!$O$3:$Q$66,2,0)),VLOOKUP($A18,'4.kolo'!$L$3:$N$66,2,0))</f>
        <v>0</v>
      </c>
      <c r="BJ18" s="318">
        <f ca="1">IF(TYPE(VLOOKUP($A18,'4.kolo'!$L$3:$L$66,1,0))&gt;3,IF(TYPE(VLOOKUP($A18,'4.kolo'!$O$3:$Q$66,3,0))&gt;3,0,VLOOKUP($A18,'4.kolo'!$O$3:$Q$66,3,0)),VLOOKUP($A18,'4.kolo'!$L$3:$N$66,3,0))</f>
        <v>-4</v>
      </c>
      <c r="BK18" s="318">
        <f t="shared" ca="1" si="22"/>
        <v>0</v>
      </c>
      <c r="BL18" s="397">
        <v>11</v>
      </c>
      <c r="BM18" s="424" t="str">
        <f ca="1">IF(BL18="","",CONCATENATE(TEXT($O18,"0"),IF(Start.listina!$Y$5="","",TEXT(500+$P18,"000")),TEXT(999999*RAND(),"000000")))</f>
        <v>1053351</v>
      </c>
      <c r="BN18" s="318">
        <f t="shared" ca="1" si="5"/>
        <v>0</v>
      </c>
      <c r="BQ18" s="318">
        <f ca="1">IF(TYPE(VLOOKUP($A18,'5.kolo'!$L$3:$L$66,1,0))&gt;3,IF(TYPE(VLOOKUP($A18,'5.kolo'!$K$3:$L$66,2,0))&gt;3,0,VLOOKUP($A18,'5.kolo'!$K$3:$L$66,2,0)),VLOOKUP($A18,'5.kolo'!$L$3:$O$66,4,0))</f>
        <v>0</v>
      </c>
      <c r="BR18" s="318">
        <f ca="1">IF(TYPE(VLOOKUP($A18,'5.kolo'!$L$3:$L$66,1,0))&gt;3,IF(TYPE(VLOOKUP($A18,'5.kolo'!$O$3:$Q$66,2,0))&gt;3,0,VLOOKUP($A18,'5.kolo'!$O$3:$Q$66,2,0)),VLOOKUP($A18,'5.kolo'!$L$3:$N$66,2,0))</f>
        <v>0</v>
      </c>
      <c r="BS18" s="318">
        <f ca="1">IF(TYPE(VLOOKUP($A18,'5.kolo'!$L$3:$L$66,1,0))&gt;3,IF(TYPE(VLOOKUP($A18,'5.kolo'!$O$3:$Q$66,3,0))&gt;3,0,VLOOKUP($A18,'5.kolo'!$O$3:$Q$66,3,0)),VLOOKUP($A18,'5.kolo'!$L$3:$N$66,3,0))</f>
        <v>0</v>
      </c>
      <c r="BT18" s="318">
        <f t="shared" ca="1" si="23"/>
        <v>0</v>
      </c>
      <c r="BU18" s="397"/>
      <c r="BV18" s="424" t="str">
        <f ca="1">IF(BU18="","",CONCATENATE(TEXT($O18,"0"),IF(Start.listina!$Y$5="","",TEXT(500+$P18,"000")),TEXT(999999*RAND(),"000000")))</f>
        <v/>
      </c>
      <c r="BW18" s="318">
        <f t="shared" ca="1" si="6"/>
        <v>0</v>
      </c>
      <c r="BZ18" s="318">
        <f ca="1">IF(TYPE(VLOOKUP($A18,'6.kolo'!$L$3:$L$66,1,0))&gt;3,IF(TYPE(VLOOKUP($A18,'6.kolo'!$K$3:$L$66,2,0))&gt;3,0,VLOOKUP($A18,'6.kolo'!$K$3:$L$66,2,0)),VLOOKUP($A18,'6.kolo'!$L$3:$O$66,4,0))</f>
        <v>0</v>
      </c>
      <c r="CA18" s="318">
        <f ca="1">IF(TYPE(VLOOKUP($A18,'6.kolo'!$L$3:$L$66,1,0))&gt;3,IF(TYPE(VLOOKUP($A18,'6.kolo'!$O$3:$Q$66,2,0))&gt;3,0,VLOOKUP($A18,'6.kolo'!$O$3:$Q$66,2,0)),VLOOKUP($A18,'6.kolo'!$L$3:$N$66,2,0))</f>
        <v>0</v>
      </c>
      <c r="CB18" s="318">
        <f ca="1">IF(TYPE(VLOOKUP($A18,'6.kolo'!$L$3:$L$66,1,0))&gt;3,IF(TYPE(VLOOKUP($A18,'6.kolo'!$O$3:$Q$66,3,0))&gt;3,0,VLOOKUP($A18,'6.kolo'!$O$3:$Q$66,3,0)),VLOOKUP($A18,'6.kolo'!$L$3:$N$66,3,0))</f>
        <v>0</v>
      </c>
      <c r="CC18" s="318">
        <f t="shared" ca="1" si="24"/>
        <v>0</v>
      </c>
      <c r="CD18" s="397"/>
      <c r="CE18" s="424" t="str">
        <f ca="1">IF(CD18="","",CONCATENATE(TEXT($O18,"0"),IF(Start.listina!$Y$5="","",TEXT(500+$P18,"000")),TEXT(999999*RAND(),"000000")))</f>
        <v/>
      </c>
      <c r="CF18" s="318">
        <f t="shared" ca="1" si="7"/>
        <v>0</v>
      </c>
    </row>
    <row r="19" spans="1:84" x14ac:dyDescent="0.4">
      <c r="A19" s="318">
        <f ca="1">IF(OR(Start.listina!H27&gt;Start.listina!$K$7,Start.listina!G27=TRUE),"",Start.listina!H27)</f>
        <v>17</v>
      </c>
      <c r="B19" s="318">
        <f ca="1">IF($A19&gt;Start.listina!$K$7,"",INT(($A19-1)/Start.listina!$O$7)+1)</f>
        <v>1</v>
      </c>
      <c r="C19" s="421" t="str">
        <f ca="1">IF(OR(Start.listina!H27&gt;Start.listina!$K$7,Start.listina!G27=TRUE)," - ",Start.listina!AL27)</f>
        <v>17 PC Damníkov - Brandes Valter</v>
      </c>
      <c r="D19" s="318">
        <f ca="1">IF(OR(A19&gt;Start.listina!$K$7,TYPE(VLOOKUP(A19,$V$3:$X$130,3,0))&gt;3),"",VLOOKUP(A19,$V$3:$X$130,3,0))</f>
        <v>25</v>
      </c>
      <c r="E19" s="422">
        <f ca="1">IF(A19&gt;Start.listina!$K$7,"",IF(MIN(F19:K19)&gt;Start.listina!$Y$4,D19,MIN(F19:K19)))</f>
        <v>25</v>
      </c>
      <c r="F19" s="318">
        <f ca="1">IF(TYPE(VLOOKUP(C19,Konečné_pořadí_1_16!$B$2:$D$17,3,0))&lt;4,VLOOKUP(C19,Konečné_pořadí_1_16!$B$2:$D$17,3,0),999)</f>
        <v>999</v>
      </c>
      <c r="G19" s="318">
        <f ca="1">IF(TYPE(VLOOKUP(C19,'KO64'!$D$4:$D$129,1,0))&lt;4,64,999)</f>
        <v>999</v>
      </c>
      <c r="H19" s="318">
        <f ca="1">IF(TYPE(VLOOKUP(C19,'KO32'!$D$4:$D$65,1,0))&lt;4,32,999)</f>
        <v>999</v>
      </c>
      <c r="I19" s="318">
        <f ca="1">IF(TYPE(VLOOKUP(C19,'KO16'!$D$4:$D$33,1,0))&lt;4,16,999)</f>
        <v>999</v>
      </c>
      <c r="J19" s="318">
        <f ca="1">IF(TYPE(VLOOKUP(C19,'KO8'!$D$4:$D$17,1,0))&lt;4,8,999)</f>
        <v>999</v>
      </c>
      <c r="K19" s="318">
        <f ca="1">IF(TYPE(VLOOKUP(C19,'KO4'!$D$4:$D$9,1,0))&lt;4,4,999)</f>
        <v>999</v>
      </c>
      <c r="M19" s="319">
        <v>17</v>
      </c>
      <c r="O19" s="318">
        <f t="shared" ca="1" si="8"/>
        <v>2</v>
      </c>
      <c r="P19" s="318">
        <f t="shared" ca="1" si="9"/>
        <v>-10</v>
      </c>
      <c r="Q19" s="318">
        <f t="shared" ca="1" si="0"/>
        <v>9</v>
      </c>
      <c r="R19" s="318">
        <f t="shared" ca="1" si="1"/>
        <v>3</v>
      </c>
      <c r="S19" s="318">
        <f t="shared" ca="1" si="10"/>
        <v>31</v>
      </c>
      <c r="T19" s="318">
        <f t="shared" ca="1" si="11"/>
        <v>0</v>
      </c>
      <c r="U19" s="397">
        <f t="shared" si="25"/>
        <v>17</v>
      </c>
      <c r="V19" s="397">
        <v>15</v>
      </c>
      <c r="W19" s="423" t="str">
        <f ca="1">IF($V19="","",CONCATENATE(TEXT($O19,"0"),IF(Start.listina!$Y$5="","",TEXT(500+$P19,"0000")),IF(Start.listina!$Y$6="","",CHOOSE(Start.listina!$Y$7,TEXT($Q19,"00"),CONCATENATE(TEXT($Q19,"00"),TEXT($S19,"000")), TEXT($R19,"00"))),TEXT(500+$P19,"0000"),IF(Start.listina!$Y$8="","",TEXT($T19,"0")),TEXT(999999*RAND(),"000000")))</f>
        <v>2090310490253992</v>
      </c>
      <c r="X19" s="399">
        <f t="shared" si="12"/>
        <v>17</v>
      </c>
      <c r="Y19" s="397">
        <f t="shared" ca="1" si="2"/>
        <v>3</v>
      </c>
      <c r="Z19" s="318">
        <f t="shared" ca="1" si="13"/>
        <v>45</v>
      </c>
      <c r="AA19" s="318">
        <f t="shared" ca="1" si="14"/>
        <v>12</v>
      </c>
      <c r="AB19" s="318">
        <f t="shared" ca="1" si="15"/>
        <v>16</v>
      </c>
      <c r="AC19" s="318">
        <f t="shared" ca="1" si="16"/>
        <v>52</v>
      </c>
      <c r="AD19" s="318">
        <f t="shared" ca="1" si="17"/>
        <v>0</v>
      </c>
      <c r="AE19" s="318">
        <f t="shared" ca="1" si="18"/>
        <v>0</v>
      </c>
      <c r="AG19" s="318">
        <f ca="1">IF(TYPE(VLOOKUP($A19,'1.kolo'!$L$3:$L$66,1,0))&gt;3,VLOOKUP($A19,'1.kolo'!$K$3:$L$66,2,0),VLOOKUP($A19,'1.kolo'!$L$3:$O$66,4,0))</f>
        <v>45</v>
      </c>
      <c r="AH19" s="318">
        <f ca="1">IF(TYPE(VLOOKUP($A19,'1.kolo'!$L$3:$L$66,1,0))&gt;3,VLOOKUP($A19,'1.kolo'!$O$3:$Q$66,2,0),VLOOKUP($A19,'1.kolo'!$L$3:$N$66,2,0))</f>
        <v>1</v>
      </c>
      <c r="AI19" s="318">
        <f ca="1">IF(TYPE(VLOOKUP($A19,'1.kolo'!$L$3:$L$66,1,0))&gt;3,VLOOKUP($A19,'1.kolo'!$O$3:$Q$66,3,0),VLOOKUP($A19,'1.kolo'!$L$3:$N$66,3,0))</f>
        <v>3</v>
      </c>
      <c r="AJ19" s="318">
        <f t="shared" ca="1" si="19"/>
        <v>0</v>
      </c>
      <c r="AK19" s="318">
        <v>17</v>
      </c>
      <c r="AL19" s="424"/>
      <c r="AP19" s="318">
        <f ca="1">IF(TYPE(VLOOKUP($A19,'2.kolo'!$L$3:$L$66,1,0))&gt;3,IF(TYPE(VLOOKUP($A19,'2.kolo'!$K$3:$L$66,2,0))&gt;3,0,VLOOKUP($A19,'2.kolo'!$K$3:$L$66,2,0)),VLOOKUP($A19,'2.kolo'!$L$3:$O$66,4,0))</f>
        <v>12</v>
      </c>
      <c r="AQ19" s="318">
        <f ca="1">IF(TYPE(VLOOKUP($A19,'2.kolo'!$L$3:$L$66,1,0))&gt;3,IF(TYPE(VLOOKUP($A19,'2.kolo'!$O$3:$Q$66,2,0))&gt;3,0,VLOOKUP($A19,'2.kolo'!$O$3:$Q$66,2,0)),VLOOKUP($A19,'2.kolo'!$L$3:$N$66,2,0))</f>
        <v>0</v>
      </c>
      <c r="AR19" s="318">
        <f ca="1">IF(TYPE(VLOOKUP($A19,'2.kolo'!$L$3:$L$66,1,0))&gt;3,IF(TYPE(VLOOKUP($A19,'2.kolo'!$O$3:$Q$66,3,0))&gt;3,0,VLOOKUP($A19,'2.kolo'!$O$3:$Q$66,3,0)),VLOOKUP($A19,'2.kolo'!$L$3:$N$66,3,0))</f>
        <v>-8</v>
      </c>
      <c r="AS19" s="318">
        <f t="shared" ca="1" si="20"/>
        <v>0</v>
      </c>
      <c r="AT19" s="397">
        <v>8</v>
      </c>
      <c r="AU19" s="424" t="str">
        <f ca="1">IF(AT19="","",CONCATENATE(TEXT($O19,"0"),IF(Start.listina!$Y$5="","",TEXT(500+$P19,"000")),TEXT(999999*RAND(),"000000")))</f>
        <v>2407360</v>
      </c>
      <c r="AV19" s="318">
        <f t="shared" ca="1" si="3"/>
        <v>0</v>
      </c>
      <c r="AY19" s="318">
        <f ca="1">IF(TYPE(VLOOKUP($A19,'3.kolo'!$L$3:$L$66,1,0))&gt;3,IF(TYPE(VLOOKUP($A19,'3.kolo'!$K$3:$L$66,2,0))&gt;3,0,VLOOKUP($A19,'3.kolo'!$K$3:$L$66,2,0)),VLOOKUP($A19,'3.kolo'!$L$3:$O$66,4,0))</f>
        <v>16</v>
      </c>
      <c r="AZ19" s="318">
        <f ca="1">IF(TYPE(VLOOKUP($A19,'3.kolo'!$L$3:$L$66,1,0))&gt;3,IF(TYPE(VLOOKUP($A19,'3.kolo'!$O$3:$Q$66,2,0))&gt;3,0,VLOOKUP($A19,'3.kolo'!$O$3:$Q$66,2,0)),VLOOKUP($A19,'3.kolo'!$L$3:$N$66,2,0))</f>
        <v>1</v>
      </c>
      <c r="BA19" s="318">
        <f ca="1">IF(TYPE(VLOOKUP($A19,'3.kolo'!$L$3:$L$66,1,0))&gt;3,IF(TYPE(VLOOKUP($A19,'3.kolo'!$O$3:$Q$66,3,0))&gt;3,0,VLOOKUP($A19,'3.kolo'!$O$3:$Q$66,3,0)),VLOOKUP($A19,'3.kolo'!$L$3:$N$66,3,0))</f>
        <v>3</v>
      </c>
      <c r="BB19" s="318">
        <f t="shared" ca="1" si="21"/>
        <v>0</v>
      </c>
      <c r="BC19" s="397">
        <v>8</v>
      </c>
      <c r="BD19" s="424" t="str">
        <f ca="1">IF(BC19="","",CONCATENATE(TEXT($O19,"0"),IF(Start.listina!$Y$5="","",TEXT(500+$P19,"000")),TEXT(999999*RAND(),"000000")))</f>
        <v>2223825</v>
      </c>
      <c r="BE19" s="318">
        <f t="shared" ca="1" si="4"/>
        <v>0</v>
      </c>
      <c r="BH19" s="318">
        <f ca="1">IF(TYPE(VLOOKUP($A19,'4.kolo'!$L$3:$L$66,1,0))&gt;3,IF(TYPE(VLOOKUP($A19,'4.kolo'!$K$3:$L$66,2,0))&gt;3,0,VLOOKUP($A19,'4.kolo'!$K$3:$L$66,2,0)),VLOOKUP($A19,'4.kolo'!$L$3:$O$66,4,0))</f>
        <v>52</v>
      </c>
      <c r="BI19" s="318">
        <f ca="1">IF(TYPE(VLOOKUP($A19,'4.kolo'!$L$3:$L$66,1,0))&gt;3,IF(TYPE(VLOOKUP($A19,'4.kolo'!$O$3:$Q$66,2,0))&gt;3,0,VLOOKUP($A19,'4.kolo'!$O$3:$Q$66,2,0)),VLOOKUP($A19,'4.kolo'!$L$3:$N$66,2,0))</f>
        <v>0</v>
      </c>
      <c r="BJ19" s="318">
        <f ca="1">IF(TYPE(VLOOKUP($A19,'4.kolo'!$L$3:$L$66,1,0))&gt;3,IF(TYPE(VLOOKUP($A19,'4.kolo'!$O$3:$Q$66,3,0))&gt;3,0,VLOOKUP($A19,'4.kolo'!$O$3:$Q$66,3,0)),VLOOKUP($A19,'4.kolo'!$L$3:$N$66,3,0))</f>
        <v>-8</v>
      </c>
      <c r="BK19" s="318">
        <f t="shared" ca="1" si="22"/>
        <v>0</v>
      </c>
      <c r="BL19" s="397">
        <v>10</v>
      </c>
      <c r="BM19" s="424" t="str">
        <f ca="1">IF(BL19="","",CONCATENATE(TEXT($O19,"0"),IF(Start.listina!$Y$5="","",TEXT(500+$P19,"000")),TEXT(999999*RAND(),"000000")))</f>
        <v>2451088</v>
      </c>
      <c r="BN19" s="318">
        <f t="shared" ca="1" si="5"/>
        <v>0</v>
      </c>
      <c r="BQ19" s="318">
        <f ca="1">IF(TYPE(VLOOKUP($A19,'5.kolo'!$L$3:$L$66,1,0))&gt;3,IF(TYPE(VLOOKUP($A19,'5.kolo'!$K$3:$L$66,2,0))&gt;3,0,VLOOKUP($A19,'5.kolo'!$K$3:$L$66,2,0)),VLOOKUP($A19,'5.kolo'!$L$3:$O$66,4,0))</f>
        <v>0</v>
      </c>
      <c r="BR19" s="318">
        <f ca="1">IF(TYPE(VLOOKUP($A19,'5.kolo'!$L$3:$L$66,1,0))&gt;3,IF(TYPE(VLOOKUP($A19,'5.kolo'!$O$3:$Q$66,2,0))&gt;3,0,VLOOKUP($A19,'5.kolo'!$O$3:$Q$66,2,0)),VLOOKUP($A19,'5.kolo'!$L$3:$N$66,2,0))</f>
        <v>0</v>
      </c>
      <c r="BS19" s="318">
        <f ca="1">IF(TYPE(VLOOKUP($A19,'5.kolo'!$L$3:$L$66,1,0))&gt;3,IF(TYPE(VLOOKUP($A19,'5.kolo'!$O$3:$Q$66,3,0))&gt;3,0,VLOOKUP($A19,'5.kolo'!$O$3:$Q$66,3,0)),VLOOKUP($A19,'5.kolo'!$L$3:$N$66,3,0))</f>
        <v>0</v>
      </c>
      <c r="BT19" s="318">
        <f t="shared" ca="1" si="23"/>
        <v>0</v>
      </c>
      <c r="BU19" s="397"/>
      <c r="BV19" s="424" t="str">
        <f ca="1">IF(BU19="","",CONCATENATE(TEXT($O19,"0"),IF(Start.listina!$Y$5="","",TEXT(500+$P19,"000")),TEXT(999999*RAND(),"000000")))</f>
        <v/>
      </c>
      <c r="BW19" s="318">
        <f t="shared" ca="1" si="6"/>
        <v>0</v>
      </c>
      <c r="BZ19" s="318">
        <f ca="1">IF(TYPE(VLOOKUP($A19,'6.kolo'!$L$3:$L$66,1,0))&gt;3,IF(TYPE(VLOOKUP($A19,'6.kolo'!$K$3:$L$66,2,0))&gt;3,0,VLOOKUP($A19,'6.kolo'!$K$3:$L$66,2,0)),VLOOKUP($A19,'6.kolo'!$L$3:$O$66,4,0))</f>
        <v>0</v>
      </c>
      <c r="CA19" s="318">
        <f ca="1">IF(TYPE(VLOOKUP($A19,'6.kolo'!$L$3:$L$66,1,0))&gt;3,IF(TYPE(VLOOKUP($A19,'6.kolo'!$O$3:$Q$66,2,0))&gt;3,0,VLOOKUP($A19,'6.kolo'!$O$3:$Q$66,2,0)),VLOOKUP($A19,'6.kolo'!$L$3:$N$66,2,0))</f>
        <v>0</v>
      </c>
      <c r="CB19" s="318">
        <f ca="1">IF(TYPE(VLOOKUP($A19,'6.kolo'!$L$3:$L$66,1,0))&gt;3,IF(TYPE(VLOOKUP($A19,'6.kolo'!$O$3:$Q$66,3,0))&gt;3,0,VLOOKUP($A19,'6.kolo'!$O$3:$Q$66,3,0)),VLOOKUP($A19,'6.kolo'!$L$3:$N$66,3,0))</f>
        <v>0</v>
      </c>
      <c r="CC19" s="318">
        <f t="shared" ca="1" si="24"/>
        <v>0</v>
      </c>
      <c r="CD19" s="397"/>
      <c r="CE19" s="424" t="str">
        <f ca="1">IF(CD19="","",CONCATENATE(TEXT($O19,"0"),IF(Start.listina!$Y$5="","",TEXT(500+$P19,"000")),TEXT(999999*RAND(),"000000")))</f>
        <v/>
      </c>
      <c r="CF19" s="318">
        <f t="shared" ca="1" si="7"/>
        <v>0</v>
      </c>
    </row>
    <row r="20" spans="1:84" x14ac:dyDescent="0.4">
      <c r="A20" s="318">
        <f ca="1">IF(OR(Start.listina!H28&gt;Start.listina!$K$7,Start.listina!G28=TRUE),"",Start.listina!H28)</f>
        <v>18</v>
      </c>
      <c r="B20" s="318">
        <f ca="1">IF($A20&gt;Start.listina!$K$7,"",INT(($A20-1)/Start.listina!$O$7)+1)</f>
        <v>1</v>
      </c>
      <c r="C20" s="421" t="str">
        <f ca="1">IF(OR(Start.listina!H28&gt;Start.listina!$K$7,Start.listina!G28=TRUE)," - ",Start.listina!AL28)</f>
        <v>18 Petank Club Praha - Kašparová Barbora</v>
      </c>
      <c r="D20" s="318">
        <f ca="1">IF(OR(A20&gt;Start.listina!$K$7,TYPE(VLOOKUP(A20,$V$3:$X$130,3,0))&gt;3),"",VLOOKUP(A20,$V$3:$X$130,3,0))</f>
        <v>37</v>
      </c>
      <c r="E20" s="422">
        <f ca="1">IF(A20&gt;Start.listina!$K$7,"",IF(MIN(F20:K20)&gt;Start.listina!$Y$4,D20,MIN(F20:K20)))</f>
        <v>37</v>
      </c>
      <c r="F20" s="318">
        <f ca="1">IF(TYPE(VLOOKUP(C20,Konečné_pořadí_1_16!$B$2:$D$17,3,0))&lt;4,VLOOKUP(C20,Konečné_pořadí_1_16!$B$2:$D$17,3,0),999)</f>
        <v>999</v>
      </c>
      <c r="G20" s="318">
        <f ca="1">IF(TYPE(VLOOKUP(C20,'KO64'!$D$4:$D$129,1,0))&lt;4,64,999)</f>
        <v>999</v>
      </c>
      <c r="H20" s="318">
        <f ca="1">IF(TYPE(VLOOKUP(C20,'KO32'!$D$4:$D$65,1,0))&lt;4,32,999)</f>
        <v>999</v>
      </c>
      <c r="I20" s="318">
        <f ca="1">IF(TYPE(VLOOKUP(C20,'KO16'!$D$4:$D$33,1,0))&lt;4,16,999)</f>
        <v>999</v>
      </c>
      <c r="J20" s="318">
        <f ca="1">IF(TYPE(VLOOKUP(C20,'KO8'!$D$4:$D$17,1,0))&lt;4,8,999)</f>
        <v>999</v>
      </c>
      <c r="K20" s="318">
        <f ca="1">IF(TYPE(VLOOKUP(C20,'KO4'!$D$4:$D$9,1,0))&lt;4,4,999)</f>
        <v>999</v>
      </c>
      <c r="M20" s="319">
        <v>18</v>
      </c>
      <c r="O20" s="318">
        <f t="shared" ca="1" si="8"/>
        <v>2</v>
      </c>
      <c r="P20" s="318">
        <f t="shared" ca="1" si="9"/>
        <v>4</v>
      </c>
      <c r="Q20" s="318">
        <f t="shared" ca="1" si="0"/>
        <v>6</v>
      </c>
      <c r="R20" s="318">
        <f t="shared" ca="1" si="1"/>
        <v>2</v>
      </c>
      <c r="S20" s="318">
        <f t="shared" ca="1" si="10"/>
        <v>31</v>
      </c>
      <c r="T20" s="318">
        <f t="shared" ca="1" si="11"/>
        <v>0</v>
      </c>
      <c r="U20" s="397">
        <f t="shared" si="25"/>
        <v>18</v>
      </c>
      <c r="V20" s="397">
        <v>56</v>
      </c>
      <c r="W20" s="423" t="str">
        <f ca="1">IF($V20="","",CONCATENATE(TEXT($O20,"0"),IF(Start.listina!$Y$5="","",TEXT(500+$P20,"0000")),IF(Start.listina!$Y$6="","",CHOOSE(Start.listina!$Y$7,TEXT($Q20,"00"),CONCATENATE(TEXT($Q20,"00"),TEXT($S20,"000")), TEXT($R20,"00"))),TEXT(500+$P20,"0000"),IF(Start.listina!$Y$8="","",TEXT($T20,"0")),TEXT(999999*RAND(),"000000")))</f>
        <v>2060310504526018</v>
      </c>
      <c r="X20" s="399">
        <f t="shared" si="12"/>
        <v>18</v>
      </c>
      <c r="Y20" s="397">
        <f t="shared" ca="1" si="2"/>
        <v>3</v>
      </c>
      <c r="Z20" s="318">
        <f t="shared" ca="1" si="13"/>
        <v>46</v>
      </c>
      <c r="AA20" s="318">
        <f t="shared" ca="1" si="14"/>
        <v>57</v>
      </c>
      <c r="AB20" s="318">
        <f t="shared" ca="1" si="15"/>
        <v>39</v>
      </c>
      <c r="AC20" s="318">
        <f t="shared" ca="1" si="16"/>
        <v>41</v>
      </c>
      <c r="AD20" s="318">
        <f t="shared" ca="1" si="17"/>
        <v>0</v>
      </c>
      <c r="AE20" s="318">
        <f t="shared" ca="1" si="18"/>
        <v>0</v>
      </c>
      <c r="AG20" s="318">
        <f ca="1">IF(TYPE(VLOOKUP($A20,'1.kolo'!$L$3:$L$66,1,0))&gt;3,VLOOKUP($A20,'1.kolo'!$K$3:$L$66,2,0),VLOOKUP($A20,'1.kolo'!$L$3:$O$66,4,0))</f>
        <v>46</v>
      </c>
      <c r="AH20" s="318">
        <f ca="1">IF(TYPE(VLOOKUP($A20,'1.kolo'!$L$3:$L$66,1,0))&gt;3,VLOOKUP($A20,'1.kolo'!$O$3:$Q$66,2,0),VLOOKUP($A20,'1.kolo'!$L$3:$N$66,2,0))</f>
        <v>1</v>
      </c>
      <c r="AI20" s="318">
        <f ca="1">IF(TYPE(VLOOKUP($A20,'1.kolo'!$L$3:$L$66,1,0))&gt;3,VLOOKUP($A20,'1.kolo'!$O$3:$Q$66,3,0),VLOOKUP($A20,'1.kolo'!$L$3:$N$66,3,0))</f>
        <v>6</v>
      </c>
      <c r="AJ20" s="318">
        <f t="shared" ca="1" si="19"/>
        <v>0</v>
      </c>
      <c r="AK20" s="318">
        <v>18</v>
      </c>
      <c r="AL20" s="424"/>
      <c r="AP20" s="318">
        <f ca="1">IF(TYPE(VLOOKUP($A20,'2.kolo'!$L$3:$L$66,1,0))&gt;3,IF(TYPE(VLOOKUP($A20,'2.kolo'!$K$3:$L$66,2,0))&gt;3,0,VLOOKUP($A20,'2.kolo'!$K$3:$L$66,2,0)),VLOOKUP($A20,'2.kolo'!$L$3:$O$66,4,0))</f>
        <v>57</v>
      </c>
      <c r="AQ20" s="318">
        <f ca="1">IF(TYPE(VLOOKUP($A20,'2.kolo'!$L$3:$L$66,1,0))&gt;3,IF(TYPE(VLOOKUP($A20,'2.kolo'!$O$3:$Q$66,2,0))&gt;3,0,VLOOKUP($A20,'2.kolo'!$O$3:$Q$66,2,0)),VLOOKUP($A20,'2.kolo'!$L$3:$N$66,2,0))</f>
        <v>0</v>
      </c>
      <c r="AR20" s="318">
        <f ca="1">IF(TYPE(VLOOKUP($A20,'2.kolo'!$L$3:$L$66,1,0))&gt;3,IF(TYPE(VLOOKUP($A20,'2.kolo'!$O$3:$Q$66,3,0))&gt;3,0,VLOOKUP($A20,'2.kolo'!$O$3:$Q$66,3,0)),VLOOKUP($A20,'2.kolo'!$L$3:$N$66,3,0))</f>
        <v>-4</v>
      </c>
      <c r="AS20" s="318">
        <f t="shared" ca="1" si="20"/>
        <v>0</v>
      </c>
      <c r="AT20" s="397">
        <v>2</v>
      </c>
      <c r="AU20" s="424" t="str">
        <f ca="1">IF(AT20="","",CONCATENATE(TEXT($O20,"0"),IF(Start.listina!$Y$5="","",TEXT(500+$P20,"000")),TEXT(999999*RAND(),"000000")))</f>
        <v>2675625</v>
      </c>
      <c r="AV20" s="318">
        <f t="shared" ca="1" si="3"/>
        <v>0</v>
      </c>
      <c r="AY20" s="318">
        <f ca="1">IF(TYPE(VLOOKUP($A20,'3.kolo'!$L$3:$L$66,1,0))&gt;3,IF(TYPE(VLOOKUP($A20,'3.kolo'!$K$3:$L$66,2,0))&gt;3,0,VLOOKUP($A20,'3.kolo'!$K$3:$L$66,2,0)),VLOOKUP($A20,'3.kolo'!$L$3:$O$66,4,0))</f>
        <v>39</v>
      </c>
      <c r="AZ20" s="318">
        <f ca="1">IF(TYPE(VLOOKUP($A20,'3.kolo'!$L$3:$L$66,1,0))&gt;3,IF(TYPE(VLOOKUP($A20,'3.kolo'!$O$3:$Q$66,2,0))&gt;3,0,VLOOKUP($A20,'3.kolo'!$O$3:$Q$66,2,0)),VLOOKUP($A20,'3.kolo'!$L$3:$N$66,2,0))</f>
        <v>0</v>
      </c>
      <c r="BA20" s="318">
        <f ca="1">IF(TYPE(VLOOKUP($A20,'3.kolo'!$L$3:$L$66,1,0))&gt;3,IF(TYPE(VLOOKUP($A20,'3.kolo'!$O$3:$Q$66,3,0))&gt;3,0,VLOOKUP($A20,'3.kolo'!$O$3:$Q$66,3,0)),VLOOKUP($A20,'3.kolo'!$L$3:$N$66,3,0))</f>
        <v>-4</v>
      </c>
      <c r="BB20" s="318">
        <f t="shared" ca="1" si="21"/>
        <v>0</v>
      </c>
      <c r="BC20" s="397">
        <v>45</v>
      </c>
      <c r="BD20" s="424" t="str">
        <f ca="1">IF(BC20="","",CONCATENATE(TEXT($O20,"0"),IF(Start.listina!$Y$5="","",TEXT(500+$P20,"000")),TEXT(999999*RAND(),"000000")))</f>
        <v>2507261</v>
      </c>
      <c r="BE20" s="318">
        <f t="shared" ca="1" si="4"/>
        <v>0</v>
      </c>
      <c r="BH20" s="318">
        <f ca="1">IF(TYPE(VLOOKUP($A20,'4.kolo'!$L$3:$L$66,1,0))&gt;3,IF(TYPE(VLOOKUP($A20,'4.kolo'!$K$3:$L$66,2,0))&gt;3,0,VLOOKUP($A20,'4.kolo'!$K$3:$L$66,2,0)),VLOOKUP($A20,'4.kolo'!$L$3:$O$66,4,0))</f>
        <v>41</v>
      </c>
      <c r="BI20" s="318">
        <f ca="1">IF(TYPE(VLOOKUP($A20,'4.kolo'!$L$3:$L$66,1,0))&gt;3,IF(TYPE(VLOOKUP($A20,'4.kolo'!$O$3:$Q$66,2,0))&gt;3,0,VLOOKUP($A20,'4.kolo'!$O$3:$Q$66,2,0)),VLOOKUP($A20,'4.kolo'!$L$3:$N$66,2,0))</f>
        <v>1</v>
      </c>
      <c r="BJ20" s="318">
        <f ca="1">IF(TYPE(VLOOKUP($A20,'4.kolo'!$L$3:$L$66,1,0))&gt;3,IF(TYPE(VLOOKUP($A20,'4.kolo'!$O$3:$Q$66,3,0))&gt;3,0,VLOOKUP($A20,'4.kolo'!$O$3:$Q$66,3,0)),VLOOKUP($A20,'4.kolo'!$L$3:$N$66,3,0))</f>
        <v>6</v>
      </c>
      <c r="BK20" s="318">
        <f t="shared" ca="1" si="22"/>
        <v>0</v>
      </c>
      <c r="BL20" s="397">
        <v>34</v>
      </c>
      <c r="BM20" s="424" t="str">
        <f ca="1">IF(BL20="","",CONCATENATE(TEXT($O20,"0"),IF(Start.listina!$Y$5="","",TEXT(500+$P20,"000")),TEXT(999999*RAND(),"000000")))</f>
        <v>2298749</v>
      </c>
      <c r="BN20" s="318">
        <f t="shared" ca="1" si="5"/>
        <v>0</v>
      </c>
      <c r="BQ20" s="318">
        <f ca="1">IF(TYPE(VLOOKUP($A20,'5.kolo'!$L$3:$L$66,1,0))&gt;3,IF(TYPE(VLOOKUP($A20,'5.kolo'!$K$3:$L$66,2,0))&gt;3,0,VLOOKUP($A20,'5.kolo'!$K$3:$L$66,2,0)),VLOOKUP($A20,'5.kolo'!$L$3:$O$66,4,0))</f>
        <v>0</v>
      </c>
      <c r="BR20" s="318">
        <f ca="1">IF(TYPE(VLOOKUP($A20,'5.kolo'!$L$3:$L$66,1,0))&gt;3,IF(TYPE(VLOOKUP($A20,'5.kolo'!$O$3:$Q$66,2,0))&gt;3,0,VLOOKUP($A20,'5.kolo'!$O$3:$Q$66,2,0)),VLOOKUP($A20,'5.kolo'!$L$3:$N$66,2,0))</f>
        <v>0</v>
      </c>
      <c r="BS20" s="318">
        <f ca="1">IF(TYPE(VLOOKUP($A20,'5.kolo'!$L$3:$L$66,1,0))&gt;3,IF(TYPE(VLOOKUP($A20,'5.kolo'!$O$3:$Q$66,3,0))&gt;3,0,VLOOKUP($A20,'5.kolo'!$O$3:$Q$66,3,0)),VLOOKUP($A20,'5.kolo'!$L$3:$N$66,3,0))</f>
        <v>0</v>
      </c>
      <c r="BT20" s="318">
        <f t="shared" ca="1" si="23"/>
        <v>0</v>
      </c>
      <c r="BU20" s="397"/>
      <c r="BV20" s="424" t="str">
        <f ca="1">IF(BU20="","",CONCATENATE(TEXT($O20,"0"),IF(Start.listina!$Y$5="","",TEXT(500+$P20,"000")),TEXT(999999*RAND(),"000000")))</f>
        <v/>
      </c>
      <c r="BW20" s="318">
        <f t="shared" ca="1" si="6"/>
        <v>0</v>
      </c>
      <c r="BZ20" s="318">
        <f ca="1">IF(TYPE(VLOOKUP($A20,'6.kolo'!$L$3:$L$66,1,0))&gt;3,IF(TYPE(VLOOKUP($A20,'6.kolo'!$K$3:$L$66,2,0))&gt;3,0,VLOOKUP($A20,'6.kolo'!$K$3:$L$66,2,0)),VLOOKUP($A20,'6.kolo'!$L$3:$O$66,4,0))</f>
        <v>0</v>
      </c>
      <c r="CA20" s="318">
        <f ca="1">IF(TYPE(VLOOKUP($A20,'6.kolo'!$L$3:$L$66,1,0))&gt;3,IF(TYPE(VLOOKUP($A20,'6.kolo'!$O$3:$Q$66,2,0))&gt;3,0,VLOOKUP($A20,'6.kolo'!$O$3:$Q$66,2,0)),VLOOKUP($A20,'6.kolo'!$L$3:$N$66,2,0))</f>
        <v>0</v>
      </c>
      <c r="CB20" s="318">
        <f ca="1">IF(TYPE(VLOOKUP($A20,'6.kolo'!$L$3:$L$66,1,0))&gt;3,IF(TYPE(VLOOKUP($A20,'6.kolo'!$O$3:$Q$66,3,0))&gt;3,0,VLOOKUP($A20,'6.kolo'!$O$3:$Q$66,3,0)),VLOOKUP($A20,'6.kolo'!$L$3:$N$66,3,0))</f>
        <v>0</v>
      </c>
      <c r="CC20" s="318">
        <f t="shared" ca="1" si="24"/>
        <v>0</v>
      </c>
      <c r="CD20" s="397"/>
      <c r="CE20" s="424" t="str">
        <f ca="1">IF(CD20="","",CONCATENATE(TEXT($O20,"0"),IF(Start.listina!$Y$5="","",TEXT(500+$P20,"000")),TEXT(999999*RAND(),"000000")))</f>
        <v/>
      </c>
      <c r="CF20" s="318">
        <f t="shared" ca="1" si="7"/>
        <v>0</v>
      </c>
    </row>
    <row r="21" spans="1:84" x14ac:dyDescent="0.4">
      <c r="A21" s="318">
        <f ca="1">IF(OR(Start.listina!H29&gt;Start.listina!$K$7,Start.listina!G29=TRUE),"",Start.listina!H29)</f>
        <v>19</v>
      </c>
      <c r="B21" s="318">
        <f ca="1">IF($A21&gt;Start.listina!$K$7,"",INT(($A21-1)/Start.listina!$O$7)+1)</f>
        <v>1</v>
      </c>
      <c r="C21" s="421" t="str">
        <f ca="1">IF(OR(Start.listina!H29&gt;Start.listina!$K$7,Start.listina!G29=TRUE)," - ",Start.listina!AL29)</f>
        <v>19 UBU Únětice - Křížek Evžen</v>
      </c>
      <c r="D21" s="318">
        <f ca="1">IF(OR(A21&gt;Start.listina!$K$7,TYPE(VLOOKUP(A21,$V$3:$X$130,3,0))&gt;3),"",VLOOKUP(A21,$V$3:$X$130,3,0))</f>
        <v>52</v>
      </c>
      <c r="E21" s="422">
        <f ca="1">IF(A21&gt;Start.listina!$K$7,"",IF(MIN(F21:K21)&gt;Start.listina!$Y$4,D21,MIN(F21:K21)))</f>
        <v>52</v>
      </c>
      <c r="F21" s="318">
        <f ca="1">IF(TYPE(VLOOKUP(C21,Konečné_pořadí_1_16!$B$2:$D$17,3,0))&lt;4,VLOOKUP(C21,Konečné_pořadí_1_16!$B$2:$D$17,3,0),999)</f>
        <v>999</v>
      </c>
      <c r="G21" s="318">
        <f ca="1">IF(TYPE(VLOOKUP(C21,'KO64'!$D$4:$D$129,1,0))&lt;4,64,999)</f>
        <v>999</v>
      </c>
      <c r="H21" s="318">
        <f ca="1">IF(TYPE(VLOOKUP(C21,'KO32'!$D$4:$D$65,1,0))&lt;4,32,999)</f>
        <v>999</v>
      </c>
      <c r="I21" s="318">
        <f ca="1">IF(TYPE(VLOOKUP(C21,'KO16'!$D$4:$D$33,1,0))&lt;4,16,999)</f>
        <v>999</v>
      </c>
      <c r="J21" s="318">
        <f ca="1">IF(TYPE(VLOOKUP(C21,'KO8'!$D$4:$D$17,1,0))&lt;4,8,999)</f>
        <v>999</v>
      </c>
      <c r="K21" s="318">
        <f ca="1">IF(TYPE(VLOOKUP(C21,'KO4'!$D$4:$D$9,1,0))&lt;4,4,999)</f>
        <v>999</v>
      </c>
      <c r="M21" s="319">
        <v>19</v>
      </c>
      <c r="O21" s="318">
        <f t="shared" ca="1" si="8"/>
        <v>1</v>
      </c>
      <c r="P21" s="318">
        <f t="shared" ca="1" si="9"/>
        <v>-9</v>
      </c>
      <c r="Q21" s="318">
        <f t="shared" ca="1" si="0"/>
        <v>5</v>
      </c>
      <c r="R21" s="318">
        <f t="shared" ca="1" si="1"/>
        <v>1</v>
      </c>
      <c r="S21" s="318">
        <f t="shared" ca="1" si="10"/>
        <v>32</v>
      </c>
      <c r="T21" s="318">
        <f t="shared" ca="1" si="11"/>
        <v>0</v>
      </c>
      <c r="U21" s="397">
        <f t="shared" si="25"/>
        <v>19</v>
      </c>
      <c r="V21" s="397">
        <v>10</v>
      </c>
      <c r="W21" s="423" t="str">
        <f ca="1">IF($V21="","",CONCATENATE(TEXT($O21,"0"),IF(Start.listina!$Y$5="","",TEXT(500+$P21,"0000")),IF(Start.listina!$Y$6="","",CHOOSE(Start.listina!$Y$7,TEXT($Q21,"00"),CONCATENATE(TEXT($Q21,"00"),TEXT($S21,"000")), TEXT($R21,"00"))),TEXT(500+$P21,"0000"),IF(Start.listina!$Y$8="","",TEXT($T21,"0")),TEXT(999999*RAND(),"000000")))</f>
        <v>1050320491423548</v>
      </c>
      <c r="X21" s="399">
        <f t="shared" si="12"/>
        <v>19</v>
      </c>
      <c r="Y21" s="397">
        <f t="shared" ca="1" si="2"/>
        <v>2</v>
      </c>
      <c r="Z21" s="318">
        <f t="shared" ca="1" si="13"/>
        <v>47</v>
      </c>
      <c r="AA21" s="318">
        <f t="shared" ca="1" si="14"/>
        <v>35</v>
      </c>
      <c r="AB21" s="318">
        <f t="shared" ca="1" si="15"/>
        <v>33</v>
      </c>
      <c r="AC21" s="318">
        <f t="shared" ca="1" si="16"/>
        <v>53</v>
      </c>
      <c r="AD21" s="318">
        <f t="shared" ca="1" si="17"/>
        <v>0</v>
      </c>
      <c r="AE21" s="318">
        <f t="shared" ca="1" si="18"/>
        <v>0</v>
      </c>
      <c r="AG21" s="318">
        <f ca="1">IF(TYPE(VLOOKUP($A21,'1.kolo'!$L$3:$L$66,1,0))&gt;3,VLOOKUP($A21,'1.kolo'!$K$3:$L$66,2,0),VLOOKUP($A21,'1.kolo'!$L$3:$O$66,4,0))</f>
        <v>47</v>
      </c>
      <c r="AH21" s="318">
        <f ca="1">IF(TYPE(VLOOKUP($A21,'1.kolo'!$L$3:$L$66,1,0))&gt;3,VLOOKUP($A21,'1.kolo'!$O$3:$Q$66,2,0),VLOOKUP($A21,'1.kolo'!$L$3:$N$66,2,0))</f>
        <v>0</v>
      </c>
      <c r="AI21" s="318">
        <f ca="1">IF(TYPE(VLOOKUP($A21,'1.kolo'!$L$3:$L$66,1,0))&gt;3,VLOOKUP($A21,'1.kolo'!$O$3:$Q$66,3,0),VLOOKUP($A21,'1.kolo'!$L$3:$N$66,3,0))</f>
        <v>-4</v>
      </c>
      <c r="AJ21" s="318">
        <f t="shared" ca="1" si="19"/>
        <v>0</v>
      </c>
      <c r="AK21" s="318">
        <v>19</v>
      </c>
      <c r="AL21" s="424"/>
      <c r="AP21" s="318">
        <f ca="1">IF(TYPE(VLOOKUP($A21,'2.kolo'!$L$3:$L$66,1,0))&gt;3,IF(TYPE(VLOOKUP($A21,'2.kolo'!$K$3:$L$66,2,0))&gt;3,0,VLOOKUP($A21,'2.kolo'!$K$3:$L$66,2,0)),VLOOKUP($A21,'2.kolo'!$L$3:$O$66,4,0))</f>
        <v>35</v>
      </c>
      <c r="AQ21" s="318">
        <f ca="1">IF(TYPE(VLOOKUP($A21,'2.kolo'!$L$3:$L$66,1,0))&gt;3,IF(TYPE(VLOOKUP($A21,'2.kolo'!$O$3:$Q$66,2,0))&gt;3,0,VLOOKUP($A21,'2.kolo'!$O$3:$Q$66,2,0)),VLOOKUP($A21,'2.kolo'!$L$3:$N$66,2,0))</f>
        <v>0</v>
      </c>
      <c r="AR21" s="318">
        <f ca="1">IF(TYPE(VLOOKUP($A21,'2.kolo'!$L$3:$L$66,1,0))&gt;3,IF(TYPE(VLOOKUP($A21,'2.kolo'!$O$3:$Q$66,3,0))&gt;3,0,VLOOKUP($A21,'2.kolo'!$O$3:$Q$66,3,0)),VLOOKUP($A21,'2.kolo'!$L$3:$N$66,3,0))</f>
        <v>-11</v>
      </c>
      <c r="AS21" s="318">
        <f t="shared" ca="1" si="20"/>
        <v>0</v>
      </c>
      <c r="AT21" s="397">
        <v>23</v>
      </c>
      <c r="AU21" s="424" t="str">
        <f ca="1">IF(AT21="","",CONCATENATE(TEXT($O21,"0"),IF(Start.listina!$Y$5="","",TEXT(500+$P21,"000")),TEXT(999999*RAND(),"000000")))</f>
        <v>1111675</v>
      </c>
      <c r="AV21" s="318">
        <f t="shared" ca="1" si="3"/>
        <v>0</v>
      </c>
      <c r="AY21" s="318">
        <f ca="1">IF(TYPE(VLOOKUP($A21,'3.kolo'!$L$3:$L$66,1,0))&gt;3,IF(TYPE(VLOOKUP($A21,'3.kolo'!$K$3:$L$66,2,0))&gt;3,0,VLOOKUP($A21,'3.kolo'!$K$3:$L$66,2,0)),VLOOKUP($A21,'3.kolo'!$L$3:$O$66,4,0))</f>
        <v>33</v>
      </c>
      <c r="AZ21" s="318">
        <f ca="1">IF(TYPE(VLOOKUP($A21,'3.kolo'!$L$3:$L$66,1,0))&gt;3,IF(TYPE(VLOOKUP($A21,'3.kolo'!$O$3:$Q$66,2,0))&gt;3,0,VLOOKUP($A21,'3.kolo'!$O$3:$Q$66,2,0)),VLOOKUP($A21,'3.kolo'!$L$3:$N$66,2,0))</f>
        <v>1</v>
      </c>
      <c r="BA21" s="318">
        <f ca="1">IF(TYPE(VLOOKUP($A21,'3.kolo'!$L$3:$L$66,1,0))&gt;3,IF(TYPE(VLOOKUP($A21,'3.kolo'!$O$3:$Q$66,3,0))&gt;3,0,VLOOKUP($A21,'3.kolo'!$O$3:$Q$66,3,0)),VLOOKUP($A21,'3.kolo'!$L$3:$N$66,3,0))</f>
        <v>7</v>
      </c>
      <c r="BB21" s="318">
        <f t="shared" ca="1" si="21"/>
        <v>0</v>
      </c>
      <c r="BC21" s="397">
        <v>35</v>
      </c>
      <c r="BD21" s="424" t="str">
        <f ca="1">IF(BC21="","",CONCATENATE(TEXT($O21,"0"),IF(Start.listina!$Y$5="","",TEXT(500+$P21,"000")),TEXT(999999*RAND(),"000000")))</f>
        <v>1389755</v>
      </c>
      <c r="BE21" s="318">
        <f t="shared" ca="1" si="4"/>
        <v>0</v>
      </c>
      <c r="BH21" s="318">
        <f ca="1">IF(TYPE(VLOOKUP($A21,'4.kolo'!$L$3:$L$66,1,0))&gt;3,IF(TYPE(VLOOKUP($A21,'4.kolo'!$K$3:$L$66,2,0))&gt;3,0,VLOOKUP($A21,'4.kolo'!$K$3:$L$66,2,0)),VLOOKUP($A21,'4.kolo'!$L$3:$O$66,4,0))</f>
        <v>53</v>
      </c>
      <c r="BI21" s="318">
        <f ca="1">IF(TYPE(VLOOKUP($A21,'4.kolo'!$L$3:$L$66,1,0))&gt;3,IF(TYPE(VLOOKUP($A21,'4.kolo'!$O$3:$Q$66,2,0))&gt;3,0,VLOOKUP($A21,'4.kolo'!$O$3:$Q$66,2,0)),VLOOKUP($A21,'4.kolo'!$L$3:$N$66,2,0))</f>
        <v>0</v>
      </c>
      <c r="BJ21" s="318">
        <f ca="1">IF(TYPE(VLOOKUP($A21,'4.kolo'!$L$3:$L$66,1,0))&gt;3,IF(TYPE(VLOOKUP($A21,'4.kolo'!$O$3:$Q$66,3,0))&gt;3,0,VLOOKUP($A21,'4.kolo'!$O$3:$Q$66,3,0)),VLOOKUP($A21,'4.kolo'!$L$3:$N$66,3,0))</f>
        <v>-1</v>
      </c>
      <c r="BK21" s="318">
        <f t="shared" ca="1" si="22"/>
        <v>0</v>
      </c>
      <c r="BL21" s="397">
        <v>51</v>
      </c>
      <c r="BM21" s="424" t="str">
        <f ca="1">IF(BL21="","",CONCATENATE(TEXT($O21,"0"),IF(Start.listina!$Y$5="","",TEXT(500+$P21,"000")),TEXT(999999*RAND(),"000000")))</f>
        <v>1001125</v>
      </c>
      <c r="BN21" s="318">
        <f t="shared" ca="1" si="5"/>
        <v>0</v>
      </c>
      <c r="BQ21" s="318">
        <f ca="1">IF(TYPE(VLOOKUP($A21,'5.kolo'!$L$3:$L$66,1,0))&gt;3,IF(TYPE(VLOOKUP($A21,'5.kolo'!$K$3:$L$66,2,0))&gt;3,0,VLOOKUP($A21,'5.kolo'!$K$3:$L$66,2,0)),VLOOKUP($A21,'5.kolo'!$L$3:$O$66,4,0))</f>
        <v>0</v>
      </c>
      <c r="BR21" s="318">
        <f ca="1">IF(TYPE(VLOOKUP($A21,'5.kolo'!$L$3:$L$66,1,0))&gt;3,IF(TYPE(VLOOKUP($A21,'5.kolo'!$O$3:$Q$66,2,0))&gt;3,0,VLOOKUP($A21,'5.kolo'!$O$3:$Q$66,2,0)),VLOOKUP($A21,'5.kolo'!$L$3:$N$66,2,0))</f>
        <v>0</v>
      </c>
      <c r="BS21" s="318">
        <f ca="1">IF(TYPE(VLOOKUP($A21,'5.kolo'!$L$3:$L$66,1,0))&gt;3,IF(TYPE(VLOOKUP($A21,'5.kolo'!$O$3:$Q$66,3,0))&gt;3,0,VLOOKUP($A21,'5.kolo'!$O$3:$Q$66,3,0)),VLOOKUP($A21,'5.kolo'!$L$3:$N$66,3,0))</f>
        <v>0</v>
      </c>
      <c r="BT21" s="318">
        <f t="shared" ca="1" si="23"/>
        <v>0</v>
      </c>
      <c r="BU21" s="397"/>
      <c r="BV21" s="424" t="str">
        <f ca="1">IF(BU21="","",CONCATENATE(TEXT($O21,"0"),IF(Start.listina!$Y$5="","",TEXT(500+$P21,"000")),TEXT(999999*RAND(),"000000")))</f>
        <v/>
      </c>
      <c r="BW21" s="318">
        <f t="shared" ca="1" si="6"/>
        <v>0</v>
      </c>
      <c r="BZ21" s="318">
        <f ca="1">IF(TYPE(VLOOKUP($A21,'6.kolo'!$L$3:$L$66,1,0))&gt;3,IF(TYPE(VLOOKUP($A21,'6.kolo'!$K$3:$L$66,2,0))&gt;3,0,VLOOKUP($A21,'6.kolo'!$K$3:$L$66,2,0)),VLOOKUP($A21,'6.kolo'!$L$3:$O$66,4,0))</f>
        <v>0</v>
      </c>
      <c r="CA21" s="318">
        <f ca="1">IF(TYPE(VLOOKUP($A21,'6.kolo'!$L$3:$L$66,1,0))&gt;3,IF(TYPE(VLOOKUP($A21,'6.kolo'!$O$3:$Q$66,2,0))&gt;3,0,VLOOKUP($A21,'6.kolo'!$O$3:$Q$66,2,0)),VLOOKUP($A21,'6.kolo'!$L$3:$N$66,2,0))</f>
        <v>0</v>
      </c>
      <c r="CB21" s="318">
        <f ca="1">IF(TYPE(VLOOKUP($A21,'6.kolo'!$L$3:$L$66,1,0))&gt;3,IF(TYPE(VLOOKUP($A21,'6.kolo'!$O$3:$Q$66,3,0))&gt;3,0,VLOOKUP($A21,'6.kolo'!$O$3:$Q$66,3,0)),VLOOKUP($A21,'6.kolo'!$L$3:$N$66,3,0))</f>
        <v>0</v>
      </c>
      <c r="CC21" s="318">
        <f t="shared" ca="1" si="24"/>
        <v>0</v>
      </c>
      <c r="CD21" s="397"/>
      <c r="CE21" s="424" t="str">
        <f ca="1">IF(CD21="","",CONCATENATE(TEXT($O21,"0"),IF(Start.listina!$Y$5="","",TEXT(500+$P21,"000")),TEXT(999999*RAND(),"000000")))</f>
        <v/>
      </c>
      <c r="CF21" s="318">
        <f t="shared" ca="1" si="7"/>
        <v>0</v>
      </c>
    </row>
    <row r="22" spans="1:84" x14ac:dyDescent="0.4">
      <c r="A22" s="318">
        <f ca="1">IF(OR(Start.listina!H30&gt;Start.listina!$K$7,Start.listina!G30=TRUE),"",Start.listina!H30)</f>
        <v>20</v>
      </c>
      <c r="B22" s="318">
        <f ca="1">IF($A22&gt;Start.listina!$K$7,"",INT(($A22-1)/Start.listina!$O$7)+1)</f>
        <v>1</v>
      </c>
      <c r="C22" s="421" t="str">
        <f ca="1">IF(OR(Start.listina!H30&gt;Start.listina!$K$7,Start.listina!G30=TRUE)," - ",Start.listina!AL30)</f>
        <v>20 HRODE KRUMSÍN - Marcián Vladimír</v>
      </c>
      <c r="D22" s="318">
        <f ca="1">IF(OR(A22&gt;Start.listina!$K$7,TYPE(VLOOKUP(A22,$V$3:$X$130,3,0))&gt;3),"",VLOOKUP(A22,$V$3:$X$130,3,0))</f>
        <v>40</v>
      </c>
      <c r="E22" s="422">
        <f ca="1">IF(A22&gt;Start.listina!$K$7,"",IF(MIN(F22:K22)&gt;Start.listina!$Y$4,D22,MIN(F22:K22)))</f>
        <v>40</v>
      </c>
      <c r="F22" s="318">
        <f ca="1">IF(TYPE(VLOOKUP(C22,Konečné_pořadí_1_16!$B$2:$D$17,3,0))&lt;4,VLOOKUP(C22,Konečné_pořadí_1_16!$B$2:$D$17,3,0),999)</f>
        <v>999</v>
      </c>
      <c r="G22" s="318">
        <f ca="1">IF(TYPE(VLOOKUP(C22,'KO64'!$D$4:$D$129,1,0))&lt;4,64,999)</f>
        <v>999</v>
      </c>
      <c r="H22" s="318">
        <f ca="1">IF(TYPE(VLOOKUP(C22,'KO32'!$D$4:$D$65,1,0))&lt;4,32,999)</f>
        <v>999</v>
      </c>
      <c r="I22" s="318">
        <f ca="1">IF(TYPE(VLOOKUP(C22,'KO16'!$D$4:$D$33,1,0))&lt;4,16,999)</f>
        <v>999</v>
      </c>
      <c r="J22" s="318">
        <f ca="1">IF(TYPE(VLOOKUP(C22,'KO8'!$D$4:$D$17,1,0))&lt;4,8,999)</f>
        <v>999</v>
      </c>
      <c r="K22" s="318">
        <f ca="1">IF(TYPE(VLOOKUP(C22,'KO4'!$D$4:$D$9,1,0))&lt;4,4,999)</f>
        <v>999</v>
      </c>
      <c r="M22" s="319">
        <v>20</v>
      </c>
      <c r="O22" s="318">
        <f t="shared" ca="1" si="8"/>
        <v>2</v>
      </c>
      <c r="P22" s="318">
        <f t="shared" ca="1" si="9"/>
        <v>0</v>
      </c>
      <c r="Q22" s="318">
        <f t="shared" ca="1" si="0"/>
        <v>5</v>
      </c>
      <c r="R22" s="318">
        <f t="shared" ca="1" si="1"/>
        <v>1</v>
      </c>
      <c r="S22" s="318">
        <f t="shared" ca="1" si="10"/>
        <v>31</v>
      </c>
      <c r="T22" s="318">
        <f t="shared" ca="1" si="11"/>
        <v>0</v>
      </c>
      <c r="U22" s="397">
        <f t="shared" si="25"/>
        <v>20</v>
      </c>
      <c r="V22" s="397">
        <v>49</v>
      </c>
      <c r="W22" s="423" t="str">
        <f ca="1">IF($V22="","",CONCATENATE(TEXT($O22,"0"),IF(Start.listina!$Y$5="","",TEXT(500+$P22,"0000")),IF(Start.listina!$Y$6="","",CHOOSE(Start.listina!$Y$7,TEXT($Q22,"00"),CONCATENATE(TEXT($Q22,"00"),TEXT($S22,"000")), TEXT($R22,"00"))),TEXT(500+$P22,"0000"),IF(Start.listina!$Y$8="","",TEXT($T22,"0")),TEXT(999999*RAND(),"000000")))</f>
        <v>2050310500199930</v>
      </c>
      <c r="X22" s="399">
        <f t="shared" si="12"/>
        <v>20</v>
      </c>
      <c r="Y22" s="397">
        <f t="shared" ca="1" si="2"/>
        <v>2</v>
      </c>
      <c r="Z22" s="318">
        <f t="shared" ca="1" si="13"/>
        <v>48</v>
      </c>
      <c r="AA22" s="318">
        <f t="shared" ca="1" si="14"/>
        <v>44</v>
      </c>
      <c r="AB22" s="318">
        <f t="shared" ca="1" si="15"/>
        <v>46</v>
      </c>
      <c r="AC22" s="318">
        <f t="shared" ca="1" si="16"/>
        <v>36</v>
      </c>
      <c r="AD22" s="318">
        <f t="shared" ca="1" si="17"/>
        <v>0</v>
      </c>
      <c r="AE22" s="318">
        <f t="shared" ca="1" si="18"/>
        <v>0</v>
      </c>
      <c r="AG22" s="318">
        <f ca="1">IF(TYPE(VLOOKUP($A22,'1.kolo'!$L$3:$L$66,1,0))&gt;3,VLOOKUP($A22,'1.kolo'!$K$3:$L$66,2,0),VLOOKUP($A22,'1.kolo'!$L$3:$O$66,4,0))</f>
        <v>48</v>
      </c>
      <c r="AH22" s="318">
        <f ca="1">IF(TYPE(VLOOKUP($A22,'1.kolo'!$L$3:$L$66,1,0))&gt;3,VLOOKUP($A22,'1.kolo'!$O$3:$Q$66,2,0),VLOOKUP($A22,'1.kolo'!$L$3:$N$66,2,0))</f>
        <v>1</v>
      </c>
      <c r="AI22" s="318">
        <f ca="1">IF(TYPE(VLOOKUP($A22,'1.kolo'!$L$3:$L$66,1,0))&gt;3,VLOOKUP($A22,'1.kolo'!$O$3:$Q$66,3,0),VLOOKUP($A22,'1.kolo'!$L$3:$N$66,3,0))</f>
        <v>8</v>
      </c>
      <c r="AJ22" s="318">
        <f t="shared" ca="1" si="19"/>
        <v>0</v>
      </c>
      <c r="AK22" s="318">
        <v>20</v>
      </c>
      <c r="AL22" s="424"/>
      <c r="AP22" s="318">
        <f ca="1">IF(TYPE(VLOOKUP($A22,'2.kolo'!$L$3:$L$66,1,0))&gt;3,IF(TYPE(VLOOKUP($A22,'2.kolo'!$K$3:$L$66,2,0))&gt;3,0,VLOOKUP($A22,'2.kolo'!$K$3:$L$66,2,0)),VLOOKUP($A22,'2.kolo'!$L$3:$O$66,4,0))</f>
        <v>44</v>
      </c>
      <c r="AQ22" s="318">
        <f ca="1">IF(TYPE(VLOOKUP($A22,'2.kolo'!$L$3:$L$66,1,0))&gt;3,IF(TYPE(VLOOKUP($A22,'2.kolo'!$O$3:$Q$66,2,0))&gt;3,0,VLOOKUP($A22,'2.kolo'!$O$3:$Q$66,2,0)),VLOOKUP($A22,'2.kolo'!$L$3:$N$66,2,0))</f>
        <v>0</v>
      </c>
      <c r="AR22" s="318">
        <f ca="1">IF(TYPE(VLOOKUP($A22,'2.kolo'!$L$3:$L$66,1,0))&gt;3,IF(TYPE(VLOOKUP($A22,'2.kolo'!$O$3:$Q$66,3,0))&gt;3,0,VLOOKUP($A22,'2.kolo'!$O$3:$Q$66,3,0)),VLOOKUP($A22,'2.kolo'!$L$3:$N$66,3,0))</f>
        <v>-6</v>
      </c>
      <c r="AS22" s="318">
        <f t="shared" ca="1" si="20"/>
        <v>0</v>
      </c>
      <c r="AT22" s="397">
        <v>47</v>
      </c>
      <c r="AU22" s="424" t="str">
        <f ca="1">IF(AT22="","",CONCATENATE(TEXT($O22,"0"),IF(Start.listina!$Y$5="","",TEXT(500+$P22,"000")),TEXT(999999*RAND(),"000000")))</f>
        <v>2287898</v>
      </c>
      <c r="AV22" s="318">
        <f t="shared" ca="1" si="3"/>
        <v>0</v>
      </c>
      <c r="AY22" s="318">
        <f ca="1">IF(TYPE(VLOOKUP($A22,'3.kolo'!$L$3:$L$66,1,0))&gt;3,IF(TYPE(VLOOKUP($A22,'3.kolo'!$K$3:$L$66,2,0))&gt;3,0,VLOOKUP($A22,'3.kolo'!$K$3:$L$66,2,0)),VLOOKUP($A22,'3.kolo'!$L$3:$O$66,4,0))</f>
        <v>46</v>
      </c>
      <c r="AZ22" s="318">
        <f ca="1">IF(TYPE(VLOOKUP($A22,'3.kolo'!$L$3:$L$66,1,0))&gt;3,IF(TYPE(VLOOKUP($A22,'3.kolo'!$O$3:$Q$66,2,0))&gt;3,0,VLOOKUP($A22,'3.kolo'!$O$3:$Q$66,2,0)),VLOOKUP($A22,'3.kolo'!$L$3:$N$66,2,0))</f>
        <v>0</v>
      </c>
      <c r="BA22" s="318">
        <f ca="1">IF(TYPE(VLOOKUP($A22,'3.kolo'!$L$3:$L$66,1,0))&gt;3,IF(TYPE(VLOOKUP($A22,'3.kolo'!$O$3:$Q$66,3,0))&gt;3,0,VLOOKUP($A22,'3.kolo'!$O$3:$Q$66,3,0)),VLOOKUP($A22,'3.kolo'!$L$3:$N$66,3,0))</f>
        <v>-4</v>
      </c>
      <c r="BB22" s="318">
        <f t="shared" ca="1" si="21"/>
        <v>0</v>
      </c>
      <c r="BC22" s="397">
        <v>3</v>
      </c>
      <c r="BD22" s="424" t="str">
        <f ca="1">IF(BC22="","",CONCATENATE(TEXT($O22,"0"),IF(Start.listina!$Y$5="","",TEXT(500+$P22,"000")),TEXT(999999*RAND(),"000000")))</f>
        <v>2755254</v>
      </c>
      <c r="BE22" s="318">
        <f t="shared" ca="1" si="4"/>
        <v>0</v>
      </c>
      <c r="BH22" s="318">
        <f ca="1">IF(TYPE(VLOOKUP($A22,'4.kolo'!$L$3:$L$66,1,0))&gt;3,IF(TYPE(VLOOKUP($A22,'4.kolo'!$K$3:$L$66,2,0))&gt;3,0,VLOOKUP($A22,'4.kolo'!$K$3:$L$66,2,0)),VLOOKUP($A22,'4.kolo'!$L$3:$O$66,4,0))</f>
        <v>36</v>
      </c>
      <c r="BI22" s="318">
        <f ca="1">IF(TYPE(VLOOKUP($A22,'4.kolo'!$L$3:$L$66,1,0))&gt;3,IF(TYPE(VLOOKUP($A22,'4.kolo'!$O$3:$Q$66,2,0))&gt;3,0,VLOOKUP($A22,'4.kolo'!$O$3:$Q$66,2,0)),VLOOKUP($A22,'4.kolo'!$L$3:$N$66,2,0))</f>
        <v>1</v>
      </c>
      <c r="BJ22" s="318">
        <f ca="1">IF(TYPE(VLOOKUP($A22,'4.kolo'!$L$3:$L$66,1,0))&gt;3,IF(TYPE(VLOOKUP($A22,'4.kolo'!$O$3:$Q$66,3,0))&gt;3,0,VLOOKUP($A22,'4.kolo'!$O$3:$Q$66,3,0)),VLOOKUP($A22,'4.kolo'!$L$3:$N$66,3,0))</f>
        <v>2</v>
      </c>
      <c r="BK22" s="318">
        <f t="shared" ca="1" si="22"/>
        <v>0</v>
      </c>
      <c r="BL22" s="397">
        <v>38</v>
      </c>
      <c r="BM22" s="424" t="str">
        <f ca="1">IF(BL22="","",CONCATENATE(TEXT($O22,"0"),IF(Start.listina!$Y$5="","",TEXT(500+$P22,"000")),TEXT(999999*RAND(),"000000")))</f>
        <v>2517718</v>
      </c>
      <c r="BN22" s="318">
        <f t="shared" ca="1" si="5"/>
        <v>0</v>
      </c>
      <c r="BQ22" s="318">
        <f ca="1">IF(TYPE(VLOOKUP($A22,'5.kolo'!$L$3:$L$66,1,0))&gt;3,IF(TYPE(VLOOKUP($A22,'5.kolo'!$K$3:$L$66,2,0))&gt;3,0,VLOOKUP($A22,'5.kolo'!$K$3:$L$66,2,0)),VLOOKUP($A22,'5.kolo'!$L$3:$O$66,4,0))</f>
        <v>0</v>
      </c>
      <c r="BR22" s="318">
        <f ca="1">IF(TYPE(VLOOKUP($A22,'5.kolo'!$L$3:$L$66,1,0))&gt;3,IF(TYPE(VLOOKUP($A22,'5.kolo'!$O$3:$Q$66,2,0))&gt;3,0,VLOOKUP($A22,'5.kolo'!$O$3:$Q$66,2,0)),VLOOKUP($A22,'5.kolo'!$L$3:$N$66,2,0))</f>
        <v>0</v>
      </c>
      <c r="BS22" s="318">
        <f ca="1">IF(TYPE(VLOOKUP($A22,'5.kolo'!$L$3:$L$66,1,0))&gt;3,IF(TYPE(VLOOKUP($A22,'5.kolo'!$O$3:$Q$66,3,0))&gt;3,0,VLOOKUP($A22,'5.kolo'!$O$3:$Q$66,3,0)),VLOOKUP($A22,'5.kolo'!$L$3:$N$66,3,0))</f>
        <v>0</v>
      </c>
      <c r="BT22" s="318">
        <f t="shared" ca="1" si="23"/>
        <v>0</v>
      </c>
      <c r="BU22" s="397"/>
      <c r="BV22" s="424" t="str">
        <f ca="1">IF(BU22="","",CONCATENATE(TEXT($O22,"0"),IF(Start.listina!$Y$5="","",TEXT(500+$P22,"000")),TEXT(999999*RAND(),"000000")))</f>
        <v/>
      </c>
      <c r="BW22" s="318">
        <f t="shared" ca="1" si="6"/>
        <v>0</v>
      </c>
      <c r="BZ22" s="318">
        <f ca="1">IF(TYPE(VLOOKUP($A22,'6.kolo'!$L$3:$L$66,1,0))&gt;3,IF(TYPE(VLOOKUP($A22,'6.kolo'!$K$3:$L$66,2,0))&gt;3,0,VLOOKUP($A22,'6.kolo'!$K$3:$L$66,2,0)),VLOOKUP($A22,'6.kolo'!$L$3:$O$66,4,0))</f>
        <v>0</v>
      </c>
      <c r="CA22" s="318">
        <f ca="1">IF(TYPE(VLOOKUP($A22,'6.kolo'!$L$3:$L$66,1,0))&gt;3,IF(TYPE(VLOOKUP($A22,'6.kolo'!$O$3:$Q$66,2,0))&gt;3,0,VLOOKUP($A22,'6.kolo'!$O$3:$Q$66,2,0)),VLOOKUP($A22,'6.kolo'!$L$3:$N$66,2,0))</f>
        <v>0</v>
      </c>
      <c r="CB22" s="318">
        <f ca="1">IF(TYPE(VLOOKUP($A22,'6.kolo'!$L$3:$L$66,1,0))&gt;3,IF(TYPE(VLOOKUP($A22,'6.kolo'!$O$3:$Q$66,3,0))&gt;3,0,VLOOKUP($A22,'6.kolo'!$O$3:$Q$66,3,0)),VLOOKUP($A22,'6.kolo'!$L$3:$N$66,3,0))</f>
        <v>0</v>
      </c>
      <c r="CC22" s="318">
        <f t="shared" ca="1" si="24"/>
        <v>0</v>
      </c>
      <c r="CD22" s="397"/>
      <c r="CE22" s="424" t="str">
        <f ca="1">IF(CD22="","",CONCATENATE(TEXT($O22,"0"),IF(Start.listina!$Y$5="","",TEXT(500+$P22,"000")),TEXT(999999*RAND(),"000000")))</f>
        <v/>
      </c>
      <c r="CF22" s="318">
        <f t="shared" ca="1" si="7"/>
        <v>0</v>
      </c>
    </row>
    <row r="23" spans="1:84" x14ac:dyDescent="0.4">
      <c r="A23" s="318">
        <f ca="1">IF(OR(Start.listina!H31&gt;Start.listina!$K$7,Start.listina!G31=TRUE),"",Start.listina!H31)</f>
        <v>21</v>
      </c>
      <c r="B23" s="318">
        <f ca="1">IF($A23&gt;Start.listina!$K$7,"",INT(($A23-1)/Start.listina!$O$7)+1)</f>
        <v>1</v>
      </c>
      <c r="C23" s="421" t="str">
        <f ca="1">IF(OR(Start.listina!H31&gt;Start.listina!$K$7,Start.listina!G31=TRUE)," - ",Start.listina!AL31)</f>
        <v>21 SK Pétanque Řepy - Pastorek Jaroslav</v>
      </c>
      <c r="D23" s="318">
        <f ca="1">IF(OR(A23&gt;Start.listina!$K$7,TYPE(VLOOKUP(A23,$V$3:$X$130,3,0))&gt;3),"",VLOOKUP(A23,$V$3:$X$130,3,0))</f>
        <v>6</v>
      </c>
      <c r="E23" s="422">
        <f ca="1">IF(A23&gt;Start.listina!$K$7,"",IF(MIN(F23:K23)&gt;Start.listina!$Y$4,D23,MIN(F23:K23)))</f>
        <v>16</v>
      </c>
      <c r="F23" s="318">
        <f ca="1">IF(TYPE(VLOOKUP(C23,Konečné_pořadí_1_16!$B$2:$D$17,3,0))&lt;4,VLOOKUP(C23,Konečné_pořadí_1_16!$B$2:$D$17,3,0),999)</f>
        <v>999</v>
      </c>
      <c r="G23" s="318">
        <f ca="1">IF(TYPE(VLOOKUP(C23,'KO64'!$D$4:$D$129,1,0))&lt;4,64,999)</f>
        <v>64</v>
      </c>
      <c r="H23" s="318">
        <f ca="1">IF(TYPE(VLOOKUP(C23,'KO32'!$D$4:$D$65,1,0))&lt;4,32,999)</f>
        <v>32</v>
      </c>
      <c r="I23" s="318">
        <f ca="1">IF(TYPE(VLOOKUP(C23,'KO16'!$D$4:$D$33,1,0))&lt;4,16,999)</f>
        <v>16</v>
      </c>
      <c r="J23" s="318">
        <f ca="1">IF(TYPE(VLOOKUP(C23,'KO8'!$D$4:$D$17,1,0))&lt;4,8,999)</f>
        <v>999</v>
      </c>
      <c r="K23" s="318">
        <f ca="1">IF(TYPE(VLOOKUP(C23,'KO4'!$D$4:$D$9,1,0))&lt;4,4,999)</f>
        <v>999</v>
      </c>
      <c r="M23" s="319">
        <v>21</v>
      </c>
      <c r="O23" s="318">
        <f t="shared" ca="1" si="8"/>
        <v>3</v>
      </c>
      <c r="P23" s="318">
        <f t="shared" ca="1" si="9"/>
        <v>16</v>
      </c>
      <c r="Q23" s="318">
        <f t="shared" ca="1" si="0"/>
        <v>11</v>
      </c>
      <c r="R23" s="318">
        <f t="shared" ca="1" si="1"/>
        <v>7</v>
      </c>
      <c r="S23" s="318">
        <f t="shared" ca="1" si="10"/>
        <v>34</v>
      </c>
      <c r="T23" s="318">
        <f t="shared" ca="1" si="11"/>
        <v>0</v>
      </c>
      <c r="U23" s="397">
        <f t="shared" si="25"/>
        <v>21</v>
      </c>
      <c r="V23" s="397">
        <v>27</v>
      </c>
      <c r="W23" s="423" t="str">
        <f ca="1">IF($V23="","",CONCATENATE(TEXT($O23,"0"),IF(Start.listina!$Y$5="","",TEXT(500+$P23,"0000")),IF(Start.listina!$Y$6="","",CHOOSE(Start.listina!$Y$7,TEXT($Q23,"00"),CONCATENATE(TEXT($Q23,"00"),TEXT($S23,"000")), TEXT($R23,"00"))),TEXT(500+$P23,"0000"),IF(Start.listina!$Y$8="","",TEXT($T23,"0")),TEXT(999999*RAND(),"000000")))</f>
        <v>3110340516773898</v>
      </c>
      <c r="X23" s="399">
        <f t="shared" si="12"/>
        <v>21</v>
      </c>
      <c r="Y23" s="397">
        <f t="shared" ca="1" si="2"/>
        <v>2</v>
      </c>
      <c r="Z23" s="318">
        <f t="shared" ca="1" si="13"/>
        <v>49</v>
      </c>
      <c r="AA23" s="318">
        <f t="shared" ca="1" si="14"/>
        <v>53</v>
      </c>
      <c r="AB23" s="318">
        <f t="shared" ca="1" si="15"/>
        <v>12</v>
      </c>
      <c r="AC23" s="318">
        <f t="shared" ca="1" si="16"/>
        <v>7</v>
      </c>
      <c r="AD23" s="318">
        <f t="shared" ca="1" si="17"/>
        <v>0</v>
      </c>
      <c r="AE23" s="318">
        <f t="shared" ca="1" si="18"/>
        <v>0</v>
      </c>
      <c r="AG23" s="318">
        <f ca="1">IF(TYPE(VLOOKUP($A23,'1.kolo'!$L$3:$L$66,1,0))&gt;3,VLOOKUP($A23,'1.kolo'!$K$3:$L$66,2,0),VLOOKUP($A23,'1.kolo'!$L$3:$O$66,4,0))</f>
        <v>49</v>
      </c>
      <c r="AH23" s="318">
        <f ca="1">IF(TYPE(VLOOKUP($A23,'1.kolo'!$L$3:$L$66,1,0))&gt;3,VLOOKUP($A23,'1.kolo'!$O$3:$Q$66,2,0),VLOOKUP($A23,'1.kolo'!$L$3:$N$66,2,0))</f>
        <v>1</v>
      </c>
      <c r="AI23" s="318">
        <f ca="1">IF(TYPE(VLOOKUP($A23,'1.kolo'!$L$3:$L$66,1,0))&gt;3,VLOOKUP($A23,'1.kolo'!$O$3:$Q$66,3,0),VLOOKUP($A23,'1.kolo'!$L$3:$N$66,3,0))</f>
        <v>11</v>
      </c>
      <c r="AJ23" s="318">
        <f t="shared" ca="1" si="19"/>
        <v>0</v>
      </c>
      <c r="AK23" s="318">
        <v>21</v>
      </c>
      <c r="AL23" s="424"/>
      <c r="AP23" s="318">
        <f ca="1">IF(TYPE(VLOOKUP($A23,'2.kolo'!$L$3:$L$66,1,0))&gt;3,IF(TYPE(VLOOKUP($A23,'2.kolo'!$K$3:$L$66,2,0))&gt;3,0,VLOOKUP($A23,'2.kolo'!$K$3:$L$66,2,0)),VLOOKUP($A23,'2.kolo'!$L$3:$O$66,4,0))</f>
        <v>53</v>
      </c>
      <c r="AQ23" s="318">
        <f ca="1">IF(TYPE(VLOOKUP($A23,'2.kolo'!$L$3:$L$66,1,0))&gt;3,IF(TYPE(VLOOKUP($A23,'2.kolo'!$O$3:$Q$66,2,0))&gt;3,0,VLOOKUP($A23,'2.kolo'!$O$3:$Q$66,2,0)),VLOOKUP($A23,'2.kolo'!$L$3:$N$66,2,0))</f>
        <v>1</v>
      </c>
      <c r="AR23" s="318">
        <f ca="1">IF(TYPE(VLOOKUP($A23,'2.kolo'!$L$3:$L$66,1,0))&gt;3,IF(TYPE(VLOOKUP($A23,'2.kolo'!$O$3:$Q$66,3,0))&gt;3,0,VLOOKUP($A23,'2.kolo'!$O$3:$Q$66,3,0)),VLOOKUP($A23,'2.kolo'!$L$3:$N$66,3,0))</f>
        <v>3</v>
      </c>
      <c r="AS23" s="318">
        <f t="shared" ca="1" si="20"/>
        <v>0</v>
      </c>
      <c r="AT23" s="397">
        <v>9</v>
      </c>
      <c r="AU23" s="424" t="str">
        <f ca="1">IF(AT23="","",CONCATENATE(TEXT($O23,"0"),IF(Start.listina!$Y$5="","",TEXT(500+$P23,"000")),TEXT(999999*RAND(),"000000")))</f>
        <v>3731988</v>
      </c>
      <c r="AV23" s="318">
        <f t="shared" ca="1" si="3"/>
        <v>0</v>
      </c>
      <c r="AY23" s="318">
        <f ca="1">IF(TYPE(VLOOKUP($A23,'3.kolo'!$L$3:$L$66,1,0))&gt;3,IF(TYPE(VLOOKUP($A23,'3.kolo'!$K$3:$L$66,2,0))&gt;3,0,VLOOKUP($A23,'3.kolo'!$K$3:$L$66,2,0)),VLOOKUP($A23,'3.kolo'!$L$3:$O$66,4,0))</f>
        <v>12</v>
      </c>
      <c r="AZ23" s="318">
        <f ca="1">IF(TYPE(VLOOKUP($A23,'3.kolo'!$L$3:$L$66,1,0))&gt;3,IF(TYPE(VLOOKUP($A23,'3.kolo'!$O$3:$Q$66,2,0))&gt;3,0,VLOOKUP($A23,'3.kolo'!$O$3:$Q$66,2,0)),VLOOKUP($A23,'3.kolo'!$L$3:$N$66,2,0))</f>
        <v>1</v>
      </c>
      <c r="BA23" s="318">
        <f ca="1">IF(TYPE(VLOOKUP($A23,'3.kolo'!$L$3:$L$66,1,0))&gt;3,IF(TYPE(VLOOKUP($A23,'3.kolo'!$O$3:$Q$66,3,0))&gt;3,0,VLOOKUP($A23,'3.kolo'!$O$3:$Q$66,3,0)),VLOOKUP($A23,'3.kolo'!$L$3:$N$66,3,0))</f>
        <v>9</v>
      </c>
      <c r="BB23" s="318">
        <f t="shared" ca="1" si="21"/>
        <v>0</v>
      </c>
      <c r="BC23" s="397">
        <v>27</v>
      </c>
      <c r="BD23" s="424" t="str">
        <f ca="1">IF(BC23="","",CONCATENATE(TEXT($O23,"0"),IF(Start.listina!$Y$5="","",TEXT(500+$P23,"000")),TEXT(999999*RAND(),"000000")))</f>
        <v>3438431</v>
      </c>
      <c r="BE23" s="318">
        <f t="shared" ca="1" si="4"/>
        <v>0</v>
      </c>
      <c r="BH23" s="318">
        <f ca="1">IF(TYPE(VLOOKUP($A23,'4.kolo'!$L$3:$L$66,1,0))&gt;3,IF(TYPE(VLOOKUP($A23,'4.kolo'!$K$3:$L$66,2,0))&gt;3,0,VLOOKUP($A23,'4.kolo'!$K$3:$L$66,2,0)),VLOOKUP($A23,'4.kolo'!$L$3:$O$66,4,0))</f>
        <v>7</v>
      </c>
      <c r="BI23" s="318">
        <f ca="1">IF(TYPE(VLOOKUP($A23,'4.kolo'!$L$3:$L$66,1,0))&gt;3,IF(TYPE(VLOOKUP($A23,'4.kolo'!$O$3:$Q$66,2,0))&gt;3,0,VLOOKUP($A23,'4.kolo'!$O$3:$Q$66,2,0)),VLOOKUP($A23,'4.kolo'!$L$3:$N$66,2,0))</f>
        <v>0</v>
      </c>
      <c r="BJ23" s="318">
        <f ca="1">IF(TYPE(VLOOKUP($A23,'4.kolo'!$L$3:$L$66,1,0))&gt;3,IF(TYPE(VLOOKUP($A23,'4.kolo'!$O$3:$Q$66,3,0))&gt;3,0,VLOOKUP($A23,'4.kolo'!$O$3:$Q$66,3,0)),VLOOKUP($A23,'4.kolo'!$L$3:$N$66,3,0))</f>
        <v>-7</v>
      </c>
      <c r="BK23" s="318">
        <f t="shared" ca="1" si="22"/>
        <v>0</v>
      </c>
      <c r="BL23" s="397">
        <v>5</v>
      </c>
      <c r="BM23" s="424" t="str">
        <f ca="1">IF(BL23="","",CONCATENATE(TEXT($O23,"0"),IF(Start.listina!$Y$5="","",TEXT(500+$P23,"000")),TEXT(999999*RAND(),"000000")))</f>
        <v>3753140</v>
      </c>
      <c r="BN23" s="318">
        <f t="shared" ca="1" si="5"/>
        <v>0</v>
      </c>
      <c r="BQ23" s="318">
        <f ca="1">IF(TYPE(VLOOKUP($A23,'5.kolo'!$L$3:$L$66,1,0))&gt;3,IF(TYPE(VLOOKUP($A23,'5.kolo'!$K$3:$L$66,2,0))&gt;3,0,VLOOKUP($A23,'5.kolo'!$K$3:$L$66,2,0)),VLOOKUP($A23,'5.kolo'!$L$3:$O$66,4,0))</f>
        <v>0</v>
      </c>
      <c r="BR23" s="318">
        <f ca="1">IF(TYPE(VLOOKUP($A23,'5.kolo'!$L$3:$L$66,1,0))&gt;3,IF(TYPE(VLOOKUP($A23,'5.kolo'!$O$3:$Q$66,2,0))&gt;3,0,VLOOKUP($A23,'5.kolo'!$O$3:$Q$66,2,0)),VLOOKUP($A23,'5.kolo'!$L$3:$N$66,2,0))</f>
        <v>0</v>
      </c>
      <c r="BS23" s="318">
        <f ca="1">IF(TYPE(VLOOKUP($A23,'5.kolo'!$L$3:$L$66,1,0))&gt;3,IF(TYPE(VLOOKUP($A23,'5.kolo'!$O$3:$Q$66,3,0))&gt;3,0,VLOOKUP($A23,'5.kolo'!$O$3:$Q$66,3,0)),VLOOKUP($A23,'5.kolo'!$L$3:$N$66,3,0))</f>
        <v>0</v>
      </c>
      <c r="BT23" s="318">
        <f t="shared" ca="1" si="23"/>
        <v>0</v>
      </c>
      <c r="BU23" s="397"/>
      <c r="BV23" s="424" t="str">
        <f ca="1">IF(BU23="","",CONCATENATE(TEXT($O23,"0"),IF(Start.listina!$Y$5="","",TEXT(500+$P23,"000")),TEXT(999999*RAND(),"000000")))</f>
        <v/>
      </c>
      <c r="BW23" s="318">
        <f t="shared" ca="1" si="6"/>
        <v>0</v>
      </c>
      <c r="BZ23" s="318">
        <f ca="1">IF(TYPE(VLOOKUP($A23,'6.kolo'!$L$3:$L$66,1,0))&gt;3,IF(TYPE(VLOOKUP($A23,'6.kolo'!$K$3:$L$66,2,0))&gt;3,0,VLOOKUP($A23,'6.kolo'!$K$3:$L$66,2,0)),VLOOKUP($A23,'6.kolo'!$L$3:$O$66,4,0))</f>
        <v>0</v>
      </c>
      <c r="CA23" s="318">
        <f ca="1">IF(TYPE(VLOOKUP($A23,'6.kolo'!$L$3:$L$66,1,0))&gt;3,IF(TYPE(VLOOKUP($A23,'6.kolo'!$O$3:$Q$66,2,0))&gt;3,0,VLOOKUP($A23,'6.kolo'!$O$3:$Q$66,2,0)),VLOOKUP($A23,'6.kolo'!$L$3:$N$66,2,0))</f>
        <v>0</v>
      </c>
      <c r="CB23" s="318">
        <f ca="1">IF(TYPE(VLOOKUP($A23,'6.kolo'!$L$3:$L$66,1,0))&gt;3,IF(TYPE(VLOOKUP($A23,'6.kolo'!$O$3:$Q$66,3,0))&gt;3,0,VLOOKUP($A23,'6.kolo'!$O$3:$Q$66,3,0)),VLOOKUP($A23,'6.kolo'!$L$3:$N$66,3,0))</f>
        <v>0</v>
      </c>
      <c r="CC23" s="318">
        <f t="shared" ca="1" si="24"/>
        <v>0</v>
      </c>
      <c r="CD23" s="397"/>
      <c r="CE23" s="424" t="str">
        <f ca="1">IF(CD23="","",CONCATENATE(TEXT($O23,"0"),IF(Start.listina!$Y$5="","",TEXT(500+$P23,"000")),TEXT(999999*RAND(),"000000")))</f>
        <v/>
      </c>
      <c r="CF23" s="318">
        <f t="shared" ca="1" si="7"/>
        <v>0</v>
      </c>
    </row>
    <row r="24" spans="1:84" x14ac:dyDescent="0.4">
      <c r="A24" s="318">
        <f ca="1">IF(OR(Start.listina!H32&gt;Start.listina!$K$7,Start.listina!G32=TRUE),"",Start.listina!H32)</f>
        <v>22</v>
      </c>
      <c r="B24" s="318">
        <f ca="1">IF($A24&gt;Start.listina!$K$7,"",INT(($A24-1)/Start.listina!$O$7)+1)</f>
        <v>1</v>
      </c>
      <c r="C24" s="421" t="str">
        <f ca="1">IF(OR(Start.listina!H32&gt;Start.listina!$K$7,Start.listina!G32=TRUE)," - ",Start.listina!AL32)</f>
        <v>22 SKP Kulová osma - Pilát Petr</v>
      </c>
      <c r="D24" s="318">
        <f ca="1">IF(OR(A24&gt;Start.listina!$K$7,TYPE(VLOOKUP(A24,$V$3:$X$130,3,0))&gt;3),"",VLOOKUP(A24,$V$3:$X$130,3,0))</f>
        <v>23</v>
      </c>
      <c r="E24" s="422">
        <f ca="1">IF(A24&gt;Start.listina!$K$7,"",IF(MIN(F24:K24)&gt;Start.listina!$Y$4,D24,MIN(F24:K24)))</f>
        <v>23</v>
      </c>
      <c r="F24" s="318">
        <f ca="1">IF(TYPE(VLOOKUP(C24,Konečné_pořadí_1_16!$B$2:$D$17,3,0))&lt;4,VLOOKUP(C24,Konečné_pořadí_1_16!$B$2:$D$17,3,0),999)</f>
        <v>999</v>
      </c>
      <c r="G24" s="318">
        <f ca="1">IF(TYPE(VLOOKUP(C24,'KO64'!$D$4:$D$129,1,0))&lt;4,64,999)</f>
        <v>999</v>
      </c>
      <c r="H24" s="318">
        <f ca="1">IF(TYPE(VLOOKUP(C24,'KO32'!$D$4:$D$65,1,0))&lt;4,32,999)</f>
        <v>999</v>
      </c>
      <c r="I24" s="318">
        <f ca="1">IF(TYPE(VLOOKUP(C24,'KO16'!$D$4:$D$33,1,0))&lt;4,16,999)</f>
        <v>999</v>
      </c>
      <c r="J24" s="318">
        <f ca="1">IF(TYPE(VLOOKUP(C24,'KO8'!$D$4:$D$17,1,0))&lt;4,8,999)</f>
        <v>999</v>
      </c>
      <c r="K24" s="318">
        <f ca="1">IF(TYPE(VLOOKUP(C24,'KO4'!$D$4:$D$9,1,0))&lt;4,4,999)</f>
        <v>999</v>
      </c>
      <c r="M24" s="319">
        <v>22</v>
      </c>
      <c r="O24" s="318">
        <f t="shared" ca="1" si="8"/>
        <v>2</v>
      </c>
      <c r="P24" s="318">
        <f t="shared" ca="1" si="9"/>
        <v>8</v>
      </c>
      <c r="Q24" s="318">
        <f t="shared" ca="1" si="0"/>
        <v>9</v>
      </c>
      <c r="R24" s="318">
        <f t="shared" ca="1" si="1"/>
        <v>3</v>
      </c>
      <c r="S24" s="318">
        <f t="shared" ca="1" si="10"/>
        <v>33</v>
      </c>
      <c r="T24" s="318">
        <f t="shared" ca="1" si="11"/>
        <v>0</v>
      </c>
      <c r="U24" s="397">
        <f t="shared" si="25"/>
        <v>22</v>
      </c>
      <c r="V24" s="397">
        <v>39</v>
      </c>
      <c r="W24" s="423" t="str">
        <f ca="1">IF($V24="","",CONCATENATE(TEXT($O24,"0"),IF(Start.listina!$Y$5="","",TEXT(500+$P24,"0000")),IF(Start.listina!$Y$6="","",CHOOSE(Start.listina!$Y$7,TEXT($Q24,"00"),CONCATENATE(TEXT($Q24,"00"),TEXT($S24,"000")), TEXT($R24,"00"))),TEXT(500+$P24,"0000"),IF(Start.listina!$Y$8="","",TEXT($T24,"0")),TEXT(999999*RAND(),"000000")))</f>
        <v>2090330508778121</v>
      </c>
      <c r="X24" s="399">
        <f t="shared" si="12"/>
        <v>22</v>
      </c>
      <c r="Y24" s="397">
        <f t="shared" ca="1" si="2"/>
        <v>2</v>
      </c>
      <c r="Z24" s="318">
        <f t="shared" ca="1" si="13"/>
        <v>50</v>
      </c>
      <c r="AA24" s="318">
        <f t="shared" ca="1" si="14"/>
        <v>28</v>
      </c>
      <c r="AB24" s="318">
        <f t="shared" ca="1" si="15"/>
        <v>15</v>
      </c>
      <c r="AC24" s="318">
        <f t="shared" ca="1" si="16"/>
        <v>13</v>
      </c>
      <c r="AD24" s="318">
        <f t="shared" ca="1" si="17"/>
        <v>0</v>
      </c>
      <c r="AE24" s="318">
        <f t="shared" ca="1" si="18"/>
        <v>0</v>
      </c>
      <c r="AG24" s="318">
        <f ca="1">IF(TYPE(VLOOKUP($A24,'1.kolo'!$L$3:$L$66,1,0))&gt;3,VLOOKUP($A24,'1.kolo'!$K$3:$L$66,2,0),VLOOKUP($A24,'1.kolo'!$L$3:$O$66,4,0))</f>
        <v>50</v>
      </c>
      <c r="AH24" s="318">
        <f ca="1">IF(TYPE(VLOOKUP($A24,'1.kolo'!$L$3:$L$66,1,0))&gt;3,VLOOKUP($A24,'1.kolo'!$O$3:$Q$66,2,0),VLOOKUP($A24,'1.kolo'!$L$3:$N$66,2,0))</f>
        <v>1</v>
      </c>
      <c r="AI24" s="318">
        <f ca="1">IF(TYPE(VLOOKUP($A24,'1.kolo'!$L$3:$L$66,1,0))&gt;3,VLOOKUP($A24,'1.kolo'!$O$3:$Q$66,3,0),VLOOKUP($A24,'1.kolo'!$L$3:$N$66,3,0))</f>
        <v>12</v>
      </c>
      <c r="AJ24" s="318">
        <f t="shared" ca="1" si="19"/>
        <v>0</v>
      </c>
      <c r="AK24" s="318">
        <v>22</v>
      </c>
      <c r="AL24" s="424"/>
      <c r="AP24" s="318">
        <f ca="1">IF(TYPE(VLOOKUP($A24,'2.kolo'!$L$3:$L$66,1,0))&gt;3,IF(TYPE(VLOOKUP($A24,'2.kolo'!$K$3:$L$66,2,0))&gt;3,0,VLOOKUP($A24,'2.kolo'!$K$3:$L$66,2,0)),VLOOKUP($A24,'2.kolo'!$L$3:$O$66,4,0))</f>
        <v>28</v>
      </c>
      <c r="AQ24" s="318">
        <f ca="1">IF(TYPE(VLOOKUP($A24,'2.kolo'!$L$3:$L$66,1,0))&gt;3,IF(TYPE(VLOOKUP($A24,'2.kolo'!$O$3:$Q$66,2,0))&gt;3,0,VLOOKUP($A24,'2.kolo'!$O$3:$Q$66,2,0)),VLOOKUP($A24,'2.kolo'!$L$3:$N$66,2,0))</f>
        <v>0</v>
      </c>
      <c r="AR24" s="318">
        <f ca="1">IF(TYPE(VLOOKUP($A24,'2.kolo'!$L$3:$L$66,1,0))&gt;3,IF(TYPE(VLOOKUP($A24,'2.kolo'!$O$3:$Q$66,3,0))&gt;3,0,VLOOKUP($A24,'2.kolo'!$O$3:$Q$66,3,0)),VLOOKUP($A24,'2.kolo'!$L$3:$N$66,3,0))</f>
        <v>-1</v>
      </c>
      <c r="AS24" s="318">
        <f t="shared" ca="1" si="20"/>
        <v>0</v>
      </c>
      <c r="AT24" s="397">
        <v>14</v>
      </c>
      <c r="AU24" s="424" t="str">
        <f ca="1">IF(AT24="","",CONCATENATE(TEXT($O24,"0"),IF(Start.listina!$Y$5="","",TEXT(500+$P24,"000")),TEXT(999999*RAND(),"000000")))</f>
        <v>2391049</v>
      </c>
      <c r="AV24" s="318">
        <f t="shared" ca="1" si="3"/>
        <v>0</v>
      </c>
      <c r="AY24" s="318">
        <f ca="1">IF(TYPE(VLOOKUP($A24,'3.kolo'!$L$3:$L$66,1,0))&gt;3,IF(TYPE(VLOOKUP($A24,'3.kolo'!$K$3:$L$66,2,0))&gt;3,0,VLOOKUP($A24,'3.kolo'!$K$3:$L$66,2,0)),VLOOKUP($A24,'3.kolo'!$L$3:$O$66,4,0))</f>
        <v>15</v>
      </c>
      <c r="AZ24" s="318">
        <f ca="1">IF(TYPE(VLOOKUP($A24,'3.kolo'!$L$3:$L$66,1,0))&gt;3,IF(TYPE(VLOOKUP($A24,'3.kolo'!$O$3:$Q$66,2,0))&gt;3,0,VLOOKUP($A24,'3.kolo'!$O$3:$Q$66,2,0)),VLOOKUP($A24,'3.kolo'!$L$3:$N$66,2,0))</f>
        <v>0</v>
      </c>
      <c r="BA24" s="318">
        <f ca="1">IF(TYPE(VLOOKUP($A24,'3.kolo'!$L$3:$L$66,1,0))&gt;3,IF(TYPE(VLOOKUP($A24,'3.kolo'!$O$3:$Q$66,3,0))&gt;3,0,VLOOKUP($A24,'3.kolo'!$O$3:$Q$66,3,0)),VLOOKUP($A24,'3.kolo'!$L$3:$N$66,3,0))</f>
        <v>-4</v>
      </c>
      <c r="BB24" s="318">
        <f t="shared" ca="1" si="21"/>
        <v>0</v>
      </c>
      <c r="BC24" s="397">
        <v>37</v>
      </c>
      <c r="BD24" s="424" t="str">
        <f ca="1">IF(BC24="","",CONCATENATE(TEXT($O24,"0"),IF(Start.listina!$Y$5="","",TEXT(500+$P24,"000")),TEXT(999999*RAND(),"000000")))</f>
        <v>2127593</v>
      </c>
      <c r="BE24" s="318">
        <f t="shared" ca="1" si="4"/>
        <v>0</v>
      </c>
      <c r="BH24" s="318">
        <f ca="1">IF(TYPE(VLOOKUP($A24,'4.kolo'!$L$3:$L$66,1,0))&gt;3,IF(TYPE(VLOOKUP($A24,'4.kolo'!$K$3:$L$66,2,0))&gt;3,0,VLOOKUP($A24,'4.kolo'!$K$3:$L$66,2,0)),VLOOKUP($A24,'4.kolo'!$L$3:$O$66,4,0))</f>
        <v>13</v>
      </c>
      <c r="BI24" s="318">
        <f ca="1">IF(TYPE(VLOOKUP($A24,'4.kolo'!$L$3:$L$66,1,0))&gt;3,IF(TYPE(VLOOKUP($A24,'4.kolo'!$O$3:$Q$66,2,0))&gt;3,0,VLOOKUP($A24,'4.kolo'!$O$3:$Q$66,2,0)),VLOOKUP($A24,'4.kolo'!$L$3:$N$66,2,0))</f>
        <v>1</v>
      </c>
      <c r="BJ24" s="318">
        <f ca="1">IF(TYPE(VLOOKUP($A24,'4.kolo'!$L$3:$L$66,1,0))&gt;3,IF(TYPE(VLOOKUP($A24,'4.kolo'!$O$3:$Q$66,3,0))&gt;3,0,VLOOKUP($A24,'4.kolo'!$O$3:$Q$66,3,0)),VLOOKUP($A24,'4.kolo'!$L$3:$N$66,3,0))</f>
        <v>1</v>
      </c>
      <c r="BK24" s="318">
        <f t="shared" ca="1" si="22"/>
        <v>0</v>
      </c>
      <c r="BL24" s="397">
        <v>57</v>
      </c>
      <c r="BM24" s="424" t="str">
        <f ca="1">IF(BL24="","",CONCATENATE(TEXT($O24,"0"),IF(Start.listina!$Y$5="","",TEXT(500+$P24,"000")),TEXT(999999*RAND(),"000000")))</f>
        <v>2206140</v>
      </c>
      <c r="BN24" s="318">
        <f t="shared" ca="1" si="5"/>
        <v>0</v>
      </c>
      <c r="BQ24" s="318">
        <f ca="1">IF(TYPE(VLOOKUP($A24,'5.kolo'!$L$3:$L$66,1,0))&gt;3,IF(TYPE(VLOOKUP($A24,'5.kolo'!$K$3:$L$66,2,0))&gt;3,0,VLOOKUP($A24,'5.kolo'!$K$3:$L$66,2,0)),VLOOKUP($A24,'5.kolo'!$L$3:$O$66,4,0))</f>
        <v>0</v>
      </c>
      <c r="BR24" s="318">
        <f ca="1">IF(TYPE(VLOOKUP($A24,'5.kolo'!$L$3:$L$66,1,0))&gt;3,IF(TYPE(VLOOKUP($A24,'5.kolo'!$O$3:$Q$66,2,0))&gt;3,0,VLOOKUP($A24,'5.kolo'!$O$3:$Q$66,2,0)),VLOOKUP($A24,'5.kolo'!$L$3:$N$66,2,0))</f>
        <v>0</v>
      </c>
      <c r="BS24" s="318">
        <f ca="1">IF(TYPE(VLOOKUP($A24,'5.kolo'!$L$3:$L$66,1,0))&gt;3,IF(TYPE(VLOOKUP($A24,'5.kolo'!$O$3:$Q$66,3,0))&gt;3,0,VLOOKUP($A24,'5.kolo'!$O$3:$Q$66,3,0)),VLOOKUP($A24,'5.kolo'!$L$3:$N$66,3,0))</f>
        <v>0</v>
      </c>
      <c r="BT24" s="318">
        <f t="shared" ca="1" si="23"/>
        <v>0</v>
      </c>
      <c r="BU24" s="397"/>
      <c r="BV24" s="424" t="str">
        <f ca="1">IF(BU24="","",CONCATENATE(TEXT($O24,"0"),IF(Start.listina!$Y$5="","",TEXT(500+$P24,"000")),TEXT(999999*RAND(),"000000")))</f>
        <v/>
      </c>
      <c r="BW24" s="318">
        <f t="shared" ca="1" si="6"/>
        <v>0</v>
      </c>
      <c r="BZ24" s="318">
        <f ca="1">IF(TYPE(VLOOKUP($A24,'6.kolo'!$L$3:$L$66,1,0))&gt;3,IF(TYPE(VLOOKUP($A24,'6.kolo'!$K$3:$L$66,2,0))&gt;3,0,VLOOKUP($A24,'6.kolo'!$K$3:$L$66,2,0)),VLOOKUP($A24,'6.kolo'!$L$3:$O$66,4,0))</f>
        <v>0</v>
      </c>
      <c r="CA24" s="318">
        <f ca="1">IF(TYPE(VLOOKUP($A24,'6.kolo'!$L$3:$L$66,1,0))&gt;3,IF(TYPE(VLOOKUP($A24,'6.kolo'!$O$3:$Q$66,2,0))&gt;3,0,VLOOKUP($A24,'6.kolo'!$O$3:$Q$66,2,0)),VLOOKUP($A24,'6.kolo'!$L$3:$N$66,2,0))</f>
        <v>0</v>
      </c>
      <c r="CB24" s="318">
        <f ca="1">IF(TYPE(VLOOKUP($A24,'6.kolo'!$L$3:$L$66,1,0))&gt;3,IF(TYPE(VLOOKUP($A24,'6.kolo'!$O$3:$Q$66,3,0))&gt;3,0,VLOOKUP($A24,'6.kolo'!$O$3:$Q$66,3,0)),VLOOKUP($A24,'6.kolo'!$L$3:$N$66,3,0))</f>
        <v>0</v>
      </c>
      <c r="CC24" s="318">
        <f t="shared" ca="1" si="24"/>
        <v>0</v>
      </c>
      <c r="CD24" s="397"/>
      <c r="CE24" s="424" t="str">
        <f ca="1">IF(CD24="","",CONCATENATE(TEXT($O24,"0"),IF(Start.listina!$Y$5="","",TEXT(500+$P24,"000")),TEXT(999999*RAND(),"000000")))</f>
        <v/>
      </c>
      <c r="CF24" s="318">
        <f t="shared" ca="1" si="7"/>
        <v>0</v>
      </c>
    </row>
    <row r="25" spans="1:84" x14ac:dyDescent="0.4">
      <c r="A25" s="318">
        <f ca="1">IF(OR(Start.listina!H33&gt;Start.listina!$K$7,Start.listina!G33=TRUE),"",Start.listina!H33)</f>
        <v>23</v>
      </c>
      <c r="B25" s="318">
        <f ca="1">IF($A25&gt;Start.listina!$K$7,"",INT(($A25-1)/Start.listina!$O$7)+1)</f>
        <v>1</v>
      </c>
      <c r="C25" s="421" t="str">
        <f ca="1">IF(OR(Start.listina!H33&gt;Start.listina!$K$7,Start.listina!G33=TRUE)," - ",Start.listina!AL33)</f>
        <v>23 PC Kolová - Horáček Jindřich</v>
      </c>
      <c r="D25" s="318">
        <f ca="1">IF(OR(A25&gt;Start.listina!$K$7,TYPE(VLOOKUP(A25,$V$3:$X$130,3,0))&gt;3),"",VLOOKUP(A25,$V$3:$X$130,3,0))</f>
        <v>5</v>
      </c>
      <c r="E25" s="422">
        <f ca="1">IF(A25&gt;Start.listina!$K$7,"",IF(MIN(F25:K25)&gt;Start.listina!$Y$4,D25,MIN(F25:K25)))</f>
        <v>16</v>
      </c>
      <c r="F25" s="318">
        <f ca="1">IF(TYPE(VLOOKUP(C25,Konečné_pořadí_1_16!$B$2:$D$17,3,0))&lt;4,VLOOKUP(C25,Konečné_pořadí_1_16!$B$2:$D$17,3,0),999)</f>
        <v>999</v>
      </c>
      <c r="G25" s="318">
        <f ca="1">IF(TYPE(VLOOKUP(C25,'KO64'!$D$4:$D$129,1,0))&lt;4,64,999)</f>
        <v>64</v>
      </c>
      <c r="H25" s="318">
        <f ca="1">IF(TYPE(VLOOKUP(C25,'KO32'!$D$4:$D$65,1,0))&lt;4,32,999)</f>
        <v>32</v>
      </c>
      <c r="I25" s="318">
        <f ca="1">IF(TYPE(VLOOKUP(C25,'KO16'!$D$4:$D$33,1,0))&lt;4,16,999)</f>
        <v>16</v>
      </c>
      <c r="J25" s="318">
        <f ca="1">IF(TYPE(VLOOKUP(C25,'KO8'!$D$4:$D$17,1,0))&lt;4,8,999)</f>
        <v>999</v>
      </c>
      <c r="K25" s="318">
        <f ca="1">IF(TYPE(VLOOKUP(C25,'KO4'!$D$4:$D$9,1,0))&lt;4,4,999)</f>
        <v>999</v>
      </c>
      <c r="M25" s="319">
        <v>23</v>
      </c>
      <c r="O25" s="318">
        <f t="shared" ca="1" si="8"/>
        <v>3</v>
      </c>
      <c r="P25" s="318">
        <f t="shared" ca="1" si="9"/>
        <v>24</v>
      </c>
      <c r="Q25" s="318">
        <f t="shared" ca="1" si="0"/>
        <v>11</v>
      </c>
      <c r="R25" s="318">
        <f t="shared" ca="1" si="1"/>
        <v>7</v>
      </c>
      <c r="S25" s="318">
        <f t="shared" ca="1" si="10"/>
        <v>35</v>
      </c>
      <c r="T25" s="318">
        <f t="shared" ca="1" si="11"/>
        <v>0</v>
      </c>
      <c r="U25" s="397">
        <f t="shared" si="25"/>
        <v>23</v>
      </c>
      <c r="V25" s="397">
        <v>22</v>
      </c>
      <c r="W25" s="423" t="str">
        <f ca="1">IF($V25="","",CONCATENATE(TEXT($O25,"0"),IF(Start.listina!$Y$5="","",TEXT(500+$P25,"0000")),IF(Start.listina!$Y$6="","",CHOOSE(Start.listina!$Y$7,TEXT($Q25,"00"),CONCATENATE(TEXT($Q25,"00"),TEXT($S25,"000")), TEXT($R25,"00"))),TEXT(500+$P25,"0000"),IF(Start.listina!$Y$8="","",TEXT($T25,"0")),TEXT(999999*RAND(),"000000")))</f>
        <v>3110350524430827</v>
      </c>
      <c r="X25" s="399">
        <f t="shared" si="12"/>
        <v>23</v>
      </c>
      <c r="Y25" s="397">
        <f t="shared" ca="1" si="2"/>
        <v>2</v>
      </c>
      <c r="Z25" s="318">
        <f t="shared" ca="1" si="13"/>
        <v>51</v>
      </c>
      <c r="AA25" s="318">
        <f t="shared" ca="1" si="14"/>
        <v>47</v>
      </c>
      <c r="AB25" s="318">
        <f t="shared" ca="1" si="15"/>
        <v>44</v>
      </c>
      <c r="AC25" s="318">
        <f t="shared" ca="1" si="16"/>
        <v>4</v>
      </c>
      <c r="AD25" s="318">
        <f t="shared" ca="1" si="17"/>
        <v>0</v>
      </c>
      <c r="AE25" s="318">
        <f t="shared" ca="1" si="18"/>
        <v>0</v>
      </c>
      <c r="AG25" s="318">
        <f ca="1">IF(TYPE(VLOOKUP($A25,'1.kolo'!$L$3:$L$66,1,0))&gt;3,VLOOKUP($A25,'1.kolo'!$K$3:$L$66,2,0),VLOOKUP($A25,'1.kolo'!$L$3:$O$66,4,0))</f>
        <v>51</v>
      </c>
      <c r="AH25" s="318">
        <f ca="1">IF(TYPE(VLOOKUP($A25,'1.kolo'!$L$3:$L$66,1,0))&gt;3,VLOOKUP($A25,'1.kolo'!$O$3:$Q$66,2,0),VLOOKUP($A25,'1.kolo'!$L$3:$N$66,2,0))</f>
        <v>1</v>
      </c>
      <c r="AI25" s="318">
        <f ca="1">IF(TYPE(VLOOKUP($A25,'1.kolo'!$L$3:$L$66,1,0))&gt;3,VLOOKUP($A25,'1.kolo'!$O$3:$Q$66,3,0),VLOOKUP($A25,'1.kolo'!$L$3:$N$66,3,0))</f>
        <v>4</v>
      </c>
      <c r="AJ25" s="318">
        <f t="shared" ca="1" si="19"/>
        <v>0</v>
      </c>
      <c r="AK25" s="318">
        <v>23</v>
      </c>
      <c r="AL25" s="424"/>
      <c r="AP25" s="318">
        <f ca="1">IF(TYPE(VLOOKUP($A25,'2.kolo'!$L$3:$L$66,1,0))&gt;3,IF(TYPE(VLOOKUP($A25,'2.kolo'!$K$3:$L$66,2,0))&gt;3,0,VLOOKUP($A25,'2.kolo'!$K$3:$L$66,2,0)),VLOOKUP($A25,'2.kolo'!$L$3:$O$66,4,0))</f>
        <v>47</v>
      </c>
      <c r="AQ25" s="318">
        <f ca="1">IF(TYPE(VLOOKUP($A25,'2.kolo'!$L$3:$L$66,1,0))&gt;3,IF(TYPE(VLOOKUP($A25,'2.kolo'!$O$3:$Q$66,2,0))&gt;3,0,VLOOKUP($A25,'2.kolo'!$O$3:$Q$66,2,0)),VLOOKUP($A25,'2.kolo'!$L$3:$N$66,2,0))</f>
        <v>1</v>
      </c>
      <c r="AR25" s="318">
        <f ca="1">IF(TYPE(VLOOKUP($A25,'2.kolo'!$L$3:$L$66,1,0))&gt;3,IF(TYPE(VLOOKUP($A25,'2.kolo'!$O$3:$Q$66,3,0))&gt;3,0,VLOOKUP($A25,'2.kolo'!$O$3:$Q$66,3,0)),VLOOKUP($A25,'2.kolo'!$L$3:$N$66,3,0))</f>
        <v>12</v>
      </c>
      <c r="AS25" s="318">
        <f t="shared" ca="1" si="20"/>
        <v>0</v>
      </c>
      <c r="AT25" s="397">
        <v>4</v>
      </c>
      <c r="AU25" s="424" t="str">
        <f ca="1">IF(AT25="","",CONCATENATE(TEXT($O25,"0"),IF(Start.listina!$Y$5="","",TEXT(500+$P25,"000")),TEXT(999999*RAND(),"000000")))</f>
        <v>3089820</v>
      </c>
      <c r="AV25" s="318">
        <f t="shared" ca="1" si="3"/>
        <v>0</v>
      </c>
      <c r="AY25" s="318">
        <f ca="1">IF(TYPE(VLOOKUP($A25,'3.kolo'!$L$3:$L$66,1,0))&gt;3,IF(TYPE(VLOOKUP($A25,'3.kolo'!$K$3:$L$66,2,0))&gt;3,0,VLOOKUP($A25,'3.kolo'!$K$3:$L$66,2,0)),VLOOKUP($A25,'3.kolo'!$L$3:$O$66,4,0))</f>
        <v>44</v>
      </c>
      <c r="AZ25" s="318">
        <f ca="1">IF(TYPE(VLOOKUP($A25,'3.kolo'!$L$3:$L$66,1,0))&gt;3,IF(TYPE(VLOOKUP($A25,'3.kolo'!$O$3:$Q$66,2,0))&gt;3,0,VLOOKUP($A25,'3.kolo'!$O$3:$Q$66,2,0)),VLOOKUP($A25,'3.kolo'!$L$3:$N$66,2,0))</f>
        <v>1</v>
      </c>
      <c r="BA25" s="318">
        <f ca="1">IF(TYPE(VLOOKUP($A25,'3.kolo'!$L$3:$L$66,1,0))&gt;3,IF(TYPE(VLOOKUP($A25,'3.kolo'!$O$3:$Q$66,3,0))&gt;3,0,VLOOKUP($A25,'3.kolo'!$O$3:$Q$66,3,0)),VLOOKUP($A25,'3.kolo'!$L$3:$N$66,3,0))</f>
        <v>10</v>
      </c>
      <c r="BB25" s="318">
        <f t="shared" ca="1" si="21"/>
        <v>0</v>
      </c>
      <c r="BC25" s="397">
        <v>25</v>
      </c>
      <c r="BD25" s="424" t="str">
        <f ca="1">IF(BC25="","",CONCATENATE(TEXT($O25,"0"),IF(Start.listina!$Y$5="","",TEXT(500+$P25,"000")),TEXT(999999*RAND(),"000000")))</f>
        <v>3625989</v>
      </c>
      <c r="BE25" s="318">
        <f t="shared" ca="1" si="4"/>
        <v>0</v>
      </c>
      <c r="BH25" s="318">
        <f ca="1">IF(TYPE(VLOOKUP($A25,'4.kolo'!$L$3:$L$66,1,0))&gt;3,IF(TYPE(VLOOKUP($A25,'4.kolo'!$K$3:$L$66,2,0))&gt;3,0,VLOOKUP($A25,'4.kolo'!$K$3:$L$66,2,0)),VLOOKUP($A25,'4.kolo'!$L$3:$O$66,4,0))</f>
        <v>4</v>
      </c>
      <c r="BI25" s="318">
        <f ca="1">IF(TYPE(VLOOKUP($A25,'4.kolo'!$L$3:$L$66,1,0))&gt;3,IF(TYPE(VLOOKUP($A25,'4.kolo'!$O$3:$Q$66,2,0))&gt;3,0,VLOOKUP($A25,'4.kolo'!$O$3:$Q$66,2,0)),VLOOKUP($A25,'4.kolo'!$L$3:$N$66,2,0))</f>
        <v>0</v>
      </c>
      <c r="BJ25" s="318">
        <f ca="1">IF(TYPE(VLOOKUP($A25,'4.kolo'!$L$3:$L$66,1,0))&gt;3,IF(TYPE(VLOOKUP($A25,'4.kolo'!$O$3:$Q$66,3,0))&gt;3,0,VLOOKUP($A25,'4.kolo'!$O$3:$Q$66,3,0)),VLOOKUP($A25,'4.kolo'!$L$3:$N$66,3,0))</f>
        <v>-2</v>
      </c>
      <c r="BK25" s="318">
        <f t="shared" ca="1" si="22"/>
        <v>0</v>
      </c>
      <c r="BL25" s="397">
        <v>15</v>
      </c>
      <c r="BM25" s="424" t="str">
        <f ca="1">IF(BL25="","",CONCATENATE(TEXT($O25,"0"),IF(Start.listina!$Y$5="","",TEXT(500+$P25,"000")),TEXT(999999*RAND(),"000000")))</f>
        <v>3242327</v>
      </c>
      <c r="BN25" s="318">
        <f t="shared" ca="1" si="5"/>
        <v>0</v>
      </c>
      <c r="BQ25" s="318">
        <f ca="1">IF(TYPE(VLOOKUP($A25,'5.kolo'!$L$3:$L$66,1,0))&gt;3,IF(TYPE(VLOOKUP($A25,'5.kolo'!$K$3:$L$66,2,0))&gt;3,0,VLOOKUP($A25,'5.kolo'!$K$3:$L$66,2,0)),VLOOKUP($A25,'5.kolo'!$L$3:$O$66,4,0))</f>
        <v>0</v>
      </c>
      <c r="BR25" s="318">
        <f ca="1">IF(TYPE(VLOOKUP($A25,'5.kolo'!$L$3:$L$66,1,0))&gt;3,IF(TYPE(VLOOKUP($A25,'5.kolo'!$O$3:$Q$66,2,0))&gt;3,0,VLOOKUP($A25,'5.kolo'!$O$3:$Q$66,2,0)),VLOOKUP($A25,'5.kolo'!$L$3:$N$66,2,0))</f>
        <v>0</v>
      </c>
      <c r="BS25" s="318">
        <f ca="1">IF(TYPE(VLOOKUP($A25,'5.kolo'!$L$3:$L$66,1,0))&gt;3,IF(TYPE(VLOOKUP($A25,'5.kolo'!$O$3:$Q$66,3,0))&gt;3,0,VLOOKUP($A25,'5.kolo'!$O$3:$Q$66,3,0)),VLOOKUP($A25,'5.kolo'!$L$3:$N$66,3,0))</f>
        <v>0</v>
      </c>
      <c r="BT25" s="318">
        <f t="shared" ca="1" si="23"/>
        <v>0</v>
      </c>
      <c r="BU25" s="397"/>
      <c r="BV25" s="424" t="str">
        <f ca="1">IF(BU25="","",CONCATENATE(TEXT($O25,"0"),IF(Start.listina!$Y$5="","",TEXT(500+$P25,"000")),TEXT(999999*RAND(),"000000")))</f>
        <v/>
      </c>
      <c r="BW25" s="318">
        <f t="shared" ca="1" si="6"/>
        <v>0</v>
      </c>
      <c r="BZ25" s="318">
        <f ca="1">IF(TYPE(VLOOKUP($A25,'6.kolo'!$L$3:$L$66,1,0))&gt;3,IF(TYPE(VLOOKUP($A25,'6.kolo'!$K$3:$L$66,2,0))&gt;3,0,VLOOKUP($A25,'6.kolo'!$K$3:$L$66,2,0)),VLOOKUP($A25,'6.kolo'!$L$3:$O$66,4,0))</f>
        <v>0</v>
      </c>
      <c r="CA25" s="318">
        <f ca="1">IF(TYPE(VLOOKUP($A25,'6.kolo'!$L$3:$L$66,1,0))&gt;3,IF(TYPE(VLOOKUP($A25,'6.kolo'!$O$3:$Q$66,2,0))&gt;3,0,VLOOKUP($A25,'6.kolo'!$O$3:$Q$66,2,0)),VLOOKUP($A25,'6.kolo'!$L$3:$N$66,2,0))</f>
        <v>0</v>
      </c>
      <c r="CB25" s="318">
        <f ca="1">IF(TYPE(VLOOKUP($A25,'6.kolo'!$L$3:$L$66,1,0))&gt;3,IF(TYPE(VLOOKUP($A25,'6.kolo'!$O$3:$Q$66,3,0))&gt;3,0,VLOOKUP($A25,'6.kolo'!$O$3:$Q$66,3,0)),VLOOKUP($A25,'6.kolo'!$L$3:$N$66,3,0))</f>
        <v>0</v>
      </c>
      <c r="CC25" s="318">
        <f t="shared" ca="1" si="24"/>
        <v>0</v>
      </c>
      <c r="CD25" s="397"/>
      <c r="CE25" s="424" t="str">
        <f ca="1">IF(CD25="","",CONCATENATE(TEXT($O25,"0"),IF(Start.listina!$Y$5="","",TEXT(500+$P25,"000")),TEXT(999999*RAND(),"000000")))</f>
        <v/>
      </c>
      <c r="CF25" s="318">
        <f t="shared" ca="1" si="7"/>
        <v>0</v>
      </c>
    </row>
    <row r="26" spans="1:84" x14ac:dyDescent="0.4">
      <c r="A26" s="318">
        <f ca="1">IF(OR(Start.listina!H34&gt;Start.listina!$K$7,Start.listina!G34=TRUE),"",Start.listina!H34)</f>
        <v>24</v>
      </c>
      <c r="B26" s="318">
        <f ca="1">IF($A26&gt;Start.listina!$K$7,"",INT(($A26-1)/Start.listina!$O$7)+1)</f>
        <v>1</v>
      </c>
      <c r="C26" s="421" t="str">
        <f ca="1">IF(OR(Start.listina!H34&gt;Start.listina!$K$7,Start.listina!G34=TRUE)," - ",Start.listina!AL34)</f>
        <v>24 SK Pétanque Řepy - Váňová Věra</v>
      </c>
      <c r="D26" s="318">
        <f ca="1">IF(OR(A26&gt;Start.listina!$K$7,TYPE(VLOOKUP(A26,$V$3:$X$130,3,0))&gt;3),"",VLOOKUP(A26,$V$3:$X$130,3,0))</f>
        <v>16</v>
      </c>
      <c r="E26" s="422">
        <f ca="1">IF(A26&gt;Start.listina!$K$7,"",IF(MIN(F26:K26)&gt;Start.listina!$Y$4,D26,MIN(F26:K26)))</f>
        <v>16</v>
      </c>
      <c r="F26" s="318">
        <f ca="1">IF(TYPE(VLOOKUP(C26,Konečné_pořadí_1_16!$B$2:$D$17,3,0))&lt;4,VLOOKUP(C26,Konečné_pořadí_1_16!$B$2:$D$17,3,0),999)</f>
        <v>999</v>
      </c>
      <c r="G26" s="318">
        <f ca="1">IF(TYPE(VLOOKUP(C26,'KO64'!$D$4:$D$129,1,0))&lt;4,64,999)</f>
        <v>64</v>
      </c>
      <c r="H26" s="318">
        <f ca="1">IF(TYPE(VLOOKUP(C26,'KO32'!$D$4:$D$65,1,0))&lt;4,32,999)</f>
        <v>32</v>
      </c>
      <c r="I26" s="318">
        <f ca="1">IF(TYPE(VLOOKUP(C26,'KO16'!$D$4:$D$33,1,0))&lt;4,16,999)</f>
        <v>16</v>
      </c>
      <c r="J26" s="318">
        <f ca="1">IF(TYPE(VLOOKUP(C26,'KO8'!$D$4:$D$17,1,0))&lt;4,8,999)</f>
        <v>999</v>
      </c>
      <c r="K26" s="318">
        <f ca="1">IF(TYPE(VLOOKUP(C26,'KO4'!$D$4:$D$9,1,0))&lt;4,4,999)</f>
        <v>999</v>
      </c>
      <c r="M26" s="319">
        <v>24</v>
      </c>
      <c r="O26" s="318">
        <f t="shared" ca="1" si="8"/>
        <v>3</v>
      </c>
      <c r="P26" s="318">
        <f t="shared" ca="1" si="9"/>
        <v>12</v>
      </c>
      <c r="Q26" s="318">
        <f t="shared" ca="1" si="0"/>
        <v>8</v>
      </c>
      <c r="R26" s="318">
        <f t="shared" ca="1" si="1"/>
        <v>5</v>
      </c>
      <c r="S26" s="318">
        <f t="shared" ca="1" si="10"/>
        <v>31</v>
      </c>
      <c r="T26" s="318">
        <f t="shared" ca="1" si="11"/>
        <v>0</v>
      </c>
      <c r="U26" s="397">
        <f t="shared" si="25"/>
        <v>24</v>
      </c>
      <c r="V26" s="397">
        <v>3</v>
      </c>
      <c r="W26" s="423" t="str">
        <f ca="1">IF($V26="","",CONCATENATE(TEXT($O26,"0"),IF(Start.listina!$Y$5="","",TEXT(500+$P26,"0000")),IF(Start.listina!$Y$6="","",CHOOSE(Start.listina!$Y$7,TEXT($Q26,"00"),CONCATENATE(TEXT($Q26,"00"),TEXT($S26,"000")), TEXT($R26,"00"))),TEXT(500+$P26,"0000"),IF(Start.listina!$Y$8="","",TEXT($T26,"0")),TEXT(999999*RAND(),"000000")))</f>
        <v>3080310512581887</v>
      </c>
      <c r="X26" s="399">
        <f t="shared" si="12"/>
        <v>24</v>
      </c>
      <c r="Y26" s="397">
        <f t="shared" ca="1" si="2"/>
        <v>2</v>
      </c>
      <c r="Z26" s="318">
        <f t="shared" ca="1" si="13"/>
        <v>52</v>
      </c>
      <c r="AA26" s="318">
        <f t="shared" ca="1" si="14"/>
        <v>32</v>
      </c>
      <c r="AB26" s="318">
        <f t="shared" ca="1" si="15"/>
        <v>29</v>
      </c>
      <c r="AC26" s="318">
        <f t="shared" ca="1" si="16"/>
        <v>45</v>
      </c>
      <c r="AD26" s="318">
        <f t="shared" ca="1" si="17"/>
        <v>0</v>
      </c>
      <c r="AE26" s="318">
        <f t="shared" ca="1" si="18"/>
        <v>0</v>
      </c>
      <c r="AG26" s="318">
        <f ca="1">IF(TYPE(VLOOKUP($A26,'1.kolo'!$L$3:$L$66,1,0))&gt;3,VLOOKUP($A26,'1.kolo'!$K$3:$L$66,2,0),VLOOKUP($A26,'1.kolo'!$L$3:$O$66,4,0))</f>
        <v>52</v>
      </c>
      <c r="AH26" s="318">
        <f ca="1">IF(TYPE(VLOOKUP($A26,'1.kolo'!$L$3:$L$66,1,0))&gt;3,VLOOKUP($A26,'1.kolo'!$O$3:$Q$66,2,0),VLOOKUP($A26,'1.kolo'!$L$3:$N$66,2,0))</f>
        <v>0</v>
      </c>
      <c r="AI26" s="318">
        <f ca="1">IF(TYPE(VLOOKUP($A26,'1.kolo'!$L$3:$L$66,1,0))&gt;3,VLOOKUP($A26,'1.kolo'!$O$3:$Q$66,3,0),VLOOKUP($A26,'1.kolo'!$L$3:$N$66,3,0))</f>
        <v>-3</v>
      </c>
      <c r="AJ26" s="318">
        <f t="shared" ca="1" si="19"/>
        <v>0</v>
      </c>
      <c r="AK26" s="318">
        <v>24</v>
      </c>
      <c r="AL26" s="424"/>
      <c r="AP26" s="318">
        <f ca="1">IF(TYPE(VLOOKUP($A26,'2.kolo'!$L$3:$L$66,1,0))&gt;3,IF(TYPE(VLOOKUP($A26,'2.kolo'!$K$3:$L$66,2,0))&gt;3,0,VLOOKUP($A26,'2.kolo'!$K$3:$L$66,2,0)),VLOOKUP($A26,'2.kolo'!$L$3:$O$66,4,0))</f>
        <v>32</v>
      </c>
      <c r="AQ26" s="318">
        <f ca="1">IF(TYPE(VLOOKUP($A26,'2.kolo'!$L$3:$L$66,1,0))&gt;3,IF(TYPE(VLOOKUP($A26,'2.kolo'!$O$3:$Q$66,2,0))&gt;3,0,VLOOKUP($A26,'2.kolo'!$O$3:$Q$66,2,0)),VLOOKUP($A26,'2.kolo'!$L$3:$N$66,2,0))</f>
        <v>1</v>
      </c>
      <c r="AR26" s="318">
        <f ca="1">IF(TYPE(VLOOKUP($A26,'2.kolo'!$L$3:$L$66,1,0))&gt;3,IF(TYPE(VLOOKUP($A26,'2.kolo'!$O$3:$Q$66,3,0))&gt;3,0,VLOOKUP($A26,'2.kolo'!$O$3:$Q$66,3,0)),VLOOKUP($A26,'2.kolo'!$L$3:$N$66,3,0))</f>
        <v>8</v>
      </c>
      <c r="AS26" s="318">
        <f t="shared" ca="1" si="20"/>
        <v>0</v>
      </c>
      <c r="AT26" s="397">
        <v>3</v>
      </c>
      <c r="AU26" s="424" t="str">
        <f ca="1">IF(AT26="","",CONCATENATE(TEXT($O26,"0"),IF(Start.listina!$Y$5="","",TEXT(500+$P26,"000")),TEXT(999999*RAND(),"000000")))</f>
        <v>3660302</v>
      </c>
      <c r="AV26" s="318">
        <f t="shared" ca="1" si="3"/>
        <v>0</v>
      </c>
      <c r="AY26" s="318">
        <f ca="1">IF(TYPE(VLOOKUP($A26,'3.kolo'!$L$3:$L$66,1,0))&gt;3,IF(TYPE(VLOOKUP($A26,'3.kolo'!$K$3:$L$66,2,0))&gt;3,0,VLOOKUP($A26,'3.kolo'!$K$3:$L$66,2,0)),VLOOKUP($A26,'3.kolo'!$L$3:$O$66,4,0))</f>
        <v>29</v>
      </c>
      <c r="AZ26" s="318">
        <f ca="1">IF(TYPE(VLOOKUP($A26,'3.kolo'!$L$3:$L$66,1,0))&gt;3,IF(TYPE(VLOOKUP($A26,'3.kolo'!$O$3:$Q$66,2,0))&gt;3,0,VLOOKUP($A26,'3.kolo'!$O$3:$Q$66,2,0)),VLOOKUP($A26,'3.kolo'!$L$3:$N$66,2,0))</f>
        <v>1</v>
      </c>
      <c r="BA26" s="318">
        <f ca="1">IF(TYPE(VLOOKUP($A26,'3.kolo'!$L$3:$L$66,1,0))&gt;3,IF(TYPE(VLOOKUP($A26,'3.kolo'!$O$3:$Q$66,3,0))&gt;3,0,VLOOKUP($A26,'3.kolo'!$O$3:$Q$66,3,0)),VLOOKUP($A26,'3.kolo'!$L$3:$N$66,3,0))</f>
        <v>1</v>
      </c>
      <c r="BB26" s="318">
        <f t="shared" ca="1" si="21"/>
        <v>0</v>
      </c>
      <c r="BC26" s="397">
        <v>51</v>
      </c>
      <c r="BD26" s="424" t="str">
        <f ca="1">IF(BC26="","",CONCATENATE(TEXT($O26,"0"),IF(Start.listina!$Y$5="","",TEXT(500+$P26,"000")),TEXT(999999*RAND(),"000000")))</f>
        <v>3182542</v>
      </c>
      <c r="BE26" s="318">
        <f t="shared" ca="1" si="4"/>
        <v>0</v>
      </c>
      <c r="BH26" s="318">
        <f ca="1">IF(TYPE(VLOOKUP($A26,'4.kolo'!$L$3:$L$66,1,0))&gt;3,IF(TYPE(VLOOKUP($A26,'4.kolo'!$K$3:$L$66,2,0))&gt;3,0,VLOOKUP($A26,'4.kolo'!$K$3:$L$66,2,0)),VLOOKUP($A26,'4.kolo'!$L$3:$O$66,4,0))</f>
        <v>45</v>
      </c>
      <c r="BI26" s="318">
        <f ca="1">IF(TYPE(VLOOKUP($A26,'4.kolo'!$L$3:$L$66,1,0))&gt;3,IF(TYPE(VLOOKUP($A26,'4.kolo'!$O$3:$Q$66,2,0))&gt;3,0,VLOOKUP($A26,'4.kolo'!$O$3:$Q$66,2,0)),VLOOKUP($A26,'4.kolo'!$L$3:$N$66,2,0))</f>
        <v>1</v>
      </c>
      <c r="BJ26" s="318">
        <f ca="1">IF(TYPE(VLOOKUP($A26,'4.kolo'!$L$3:$L$66,1,0))&gt;3,IF(TYPE(VLOOKUP($A26,'4.kolo'!$O$3:$Q$66,3,0))&gt;3,0,VLOOKUP($A26,'4.kolo'!$O$3:$Q$66,3,0)),VLOOKUP($A26,'4.kolo'!$L$3:$N$66,3,0))</f>
        <v>6</v>
      </c>
      <c r="BK26" s="318">
        <f t="shared" ca="1" si="22"/>
        <v>0</v>
      </c>
      <c r="BL26" s="397">
        <v>54</v>
      </c>
      <c r="BM26" s="424" t="str">
        <f ca="1">IF(BL26="","",CONCATENATE(TEXT($O26,"0"),IF(Start.listina!$Y$5="","",TEXT(500+$P26,"000")),TEXT(999999*RAND(),"000000")))</f>
        <v>3699464</v>
      </c>
      <c r="BN26" s="318">
        <f t="shared" ca="1" si="5"/>
        <v>0</v>
      </c>
      <c r="BQ26" s="318">
        <f ca="1">IF(TYPE(VLOOKUP($A26,'5.kolo'!$L$3:$L$66,1,0))&gt;3,IF(TYPE(VLOOKUP($A26,'5.kolo'!$K$3:$L$66,2,0))&gt;3,0,VLOOKUP($A26,'5.kolo'!$K$3:$L$66,2,0)),VLOOKUP($A26,'5.kolo'!$L$3:$O$66,4,0))</f>
        <v>0</v>
      </c>
      <c r="BR26" s="318">
        <f ca="1">IF(TYPE(VLOOKUP($A26,'5.kolo'!$L$3:$L$66,1,0))&gt;3,IF(TYPE(VLOOKUP($A26,'5.kolo'!$O$3:$Q$66,2,0))&gt;3,0,VLOOKUP($A26,'5.kolo'!$O$3:$Q$66,2,0)),VLOOKUP($A26,'5.kolo'!$L$3:$N$66,2,0))</f>
        <v>0</v>
      </c>
      <c r="BS26" s="318">
        <f ca="1">IF(TYPE(VLOOKUP($A26,'5.kolo'!$L$3:$L$66,1,0))&gt;3,IF(TYPE(VLOOKUP($A26,'5.kolo'!$O$3:$Q$66,3,0))&gt;3,0,VLOOKUP($A26,'5.kolo'!$O$3:$Q$66,3,0)),VLOOKUP($A26,'5.kolo'!$L$3:$N$66,3,0))</f>
        <v>0</v>
      </c>
      <c r="BT26" s="318">
        <f t="shared" ca="1" si="23"/>
        <v>0</v>
      </c>
      <c r="BU26" s="397"/>
      <c r="BV26" s="424" t="str">
        <f ca="1">IF(BU26="","",CONCATENATE(TEXT($O26,"0"),IF(Start.listina!$Y$5="","",TEXT(500+$P26,"000")),TEXT(999999*RAND(),"000000")))</f>
        <v/>
      </c>
      <c r="BW26" s="318">
        <f t="shared" ca="1" si="6"/>
        <v>0</v>
      </c>
      <c r="BZ26" s="318">
        <f ca="1">IF(TYPE(VLOOKUP($A26,'6.kolo'!$L$3:$L$66,1,0))&gt;3,IF(TYPE(VLOOKUP($A26,'6.kolo'!$K$3:$L$66,2,0))&gt;3,0,VLOOKUP($A26,'6.kolo'!$K$3:$L$66,2,0)),VLOOKUP($A26,'6.kolo'!$L$3:$O$66,4,0))</f>
        <v>0</v>
      </c>
      <c r="CA26" s="318">
        <f ca="1">IF(TYPE(VLOOKUP($A26,'6.kolo'!$L$3:$L$66,1,0))&gt;3,IF(TYPE(VLOOKUP($A26,'6.kolo'!$O$3:$Q$66,2,0))&gt;3,0,VLOOKUP($A26,'6.kolo'!$O$3:$Q$66,2,0)),VLOOKUP($A26,'6.kolo'!$L$3:$N$66,2,0))</f>
        <v>0</v>
      </c>
      <c r="CB26" s="318">
        <f ca="1">IF(TYPE(VLOOKUP($A26,'6.kolo'!$L$3:$L$66,1,0))&gt;3,IF(TYPE(VLOOKUP($A26,'6.kolo'!$O$3:$Q$66,3,0))&gt;3,0,VLOOKUP($A26,'6.kolo'!$O$3:$Q$66,3,0)),VLOOKUP($A26,'6.kolo'!$L$3:$N$66,3,0))</f>
        <v>0</v>
      </c>
      <c r="CC26" s="318">
        <f t="shared" ca="1" si="24"/>
        <v>0</v>
      </c>
      <c r="CD26" s="397"/>
      <c r="CE26" s="424" t="str">
        <f ca="1">IF(CD26="","",CONCATENATE(TEXT($O26,"0"),IF(Start.listina!$Y$5="","",TEXT(500+$P26,"000")),TEXT(999999*RAND(),"000000")))</f>
        <v/>
      </c>
      <c r="CF26" s="318">
        <f t="shared" ca="1" si="7"/>
        <v>0</v>
      </c>
    </row>
    <row r="27" spans="1:84" x14ac:dyDescent="0.4">
      <c r="A27" s="318">
        <f ca="1">IF(OR(Start.listina!H35&gt;Start.listina!$K$7,Start.listina!G35=TRUE),"",Start.listina!H35)</f>
        <v>25</v>
      </c>
      <c r="B27" s="318">
        <f ca="1">IF($A27&gt;Start.listina!$K$7,"",INT(($A27-1)/Start.listina!$O$7)+1)</f>
        <v>1</v>
      </c>
      <c r="C27" s="421" t="str">
        <f ca="1">IF(OR(Start.listina!H35&gt;Start.listina!$K$7,Start.listina!G35=TRUE)," - ",Start.listina!AL35)</f>
        <v>25 SK Pétanque Řepy - Vodehnalová Jindra</v>
      </c>
      <c r="D27" s="318">
        <f ca="1">IF(OR(A27&gt;Start.listina!$K$7,TYPE(VLOOKUP(A27,$V$3:$X$130,3,0))&gt;3),"",VLOOKUP(A27,$V$3:$X$130,3,0))</f>
        <v>34</v>
      </c>
      <c r="E27" s="422">
        <f ca="1">IF(A27&gt;Start.listina!$K$7,"",IF(MIN(F27:K27)&gt;Start.listina!$Y$4,D27,MIN(F27:K27)))</f>
        <v>34</v>
      </c>
      <c r="F27" s="318">
        <f ca="1">IF(TYPE(VLOOKUP(C27,Konečné_pořadí_1_16!$B$2:$D$17,3,0))&lt;4,VLOOKUP(C27,Konečné_pořadí_1_16!$B$2:$D$17,3,0),999)</f>
        <v>999</v>
      </c>
      <c r="G27" s="318">
        <f ca="1">IF(TYPE(VLOOKUP(C27,'KO64'!$D$4:$D$129,1,0))&lt;4,64,999)</f>
        <v>999</v>
      </c>
      <c r="H27" s="318">
        <f ca="1">IF(TYPE(VLOOKUP(C27,'KO32'!$D$4:$D$65,1,0))&lt;4,32,999)</f>
        <v>999</v>
      </c>
      <c r="I27" s="318">
        <f ca="1">IF(TYPE(VLOOKUP(C27,'KO16'!$D$4:$D$33,1,0))&lt;4,16,999)</f>
        <v>999</v>
      </c>
      <c r="J27" s="318">
        <f ca="1">IF(TYPE(VLOOKUP(C27,'KO8'!$D$4:$D$17,1,0))&lt;4,8,999)</f>
        <v>999</v>
      </c>
      <c r="K27" s="318">
        <f ca="1">IF(TYPE(VLOOKUP(C27,'KO4'!$D$4:$D$9,1,0))&lt;4,4,999)</f>
        <v>999</v>
      </c>
      <c r="M27" s="319">
        <v>25</v>
      </c>
      <c r="O27" s="318">
        <f t="shared" ca="1" si="8"/>
        <v>2</v>
      </c>
      <c r="P27" s="318">
        <f t="shared" ca="1" si="9"/>
        <v>3</v>
      </c>
      <c r="Q27" s="318">
        <f t="shared" ca="1" si="0"/>
        <v>7</v>
      </c>
      <c r="R27" s="318">
        <f t="shared" ca="1" si="1"/>
        <v>2</v>
      </c>
      <c r="S27" s="318">
        <f t="shared" ca="1" si="10"/>
        <v>32</v>
      </c>
      <c r="T27" s="318">
        <f t="shared" ca="1" si="11"/>
        <v>0</v>
      </c>
      <c r="U27" s="397">
        <f t="shared" si="25"/>
        <v>25</v>
      </c>
      <c r="V27" s="397">
        <v>17</v>
      </c>
      <c r="W27" s="423" t="str">
        <f ca="1">IF($V27="","",CONCATENATE(TEXT($O27,"0"),IF(Start.listina!$Y$5="","",TEXT(500+$P27,"0000")),IF(Start.listina!$Y$6="","",CHOOSE(Start.listina!$Y$7,TEXT($Q27,"00"),CONCATENATE(TEXT($Q27,"00"),TEXT($S27,"000")), TEXT($R27,"00"))),TEXT(500+$P27,"0000"),IF(Start.listina!$Y$8="","",TEXT($T27,"0")),TEXT(999999*RAND(),"000000")))</f>
        <v>2070320503243853</v>
      </c>
      <c r="X27" s="399">
        <f t="shared" si="12"/>
        <v>25</v>
      </c>
      <c r="Y27" s="397">
        <f t="shared" ca="1" si="2"/>
        <v>2</v>
      </c>
      <c r="Z27" s="318">
        <f t="shared" ca="1" si="13"/>
        <v>53</v>
      </c>
      <c r="AA27" s="318">
        <f t="shared" ca="1" si="14"/>
        <v>55</v>
      </c>
      <c r="AB27" s="318">
        <f t="shared" ca="1" si="15"/>
        <v>51</v>
      </c>
      <c r="AC27" s="318">
        <f t="shared" ca="1" si="16"/>
        <v>35</v>
      </c>
      <c r="AD27" s="318">
        <f t="shared" ca="1" si="17"/>
        <v>0</v>
      </c>
      <c r="AE27" s="318">
        <f t="shared" ca="1" si="18"/>
        <v>0</v>
      </c>
      <c r="AG27" s="318">
        <f ca="1">IF(TYPE(VLOOKUP($A27,'1.kolo'!$L$3:$L$66,1,0))&gt;3,VLOOKUP($A27,'1.kolo'!$K$3:$L$66,2,0),VLOOKUP($A27,'1.kolo'!$L$3:$O$66,4,0))</f>
        <v>53</v>
      </c>
      <c r="AH27" s="318">
        <f ca="1">IF(TYPE(VLOOKUP($A27,'1.kolo'!$L$3:$L$66,1,0))&gt;3,VLOOKUP($A27,'1.kolo'!$O$3:$Q$66,2,0),VLOOKUP($A27,'1.kolo'!$L$3:$N$66,2,0))</f>
        <v>0</v>
      </c>
      <c r="AI27" s="318">
        <f ca="1">IF(TYPE(VLOOKUP($A27,'1.kolo'!$L$3:$L$66,1,0))&gt;3,VLOOKUP($A27,'1.kolo'!$O$3:$Q$66,3,0),VLOOKUP($A27,'1.kolo'!$L$3:$N$66,3,0))</f>
        <v>-7</v>
      </c>
      <c r="AJ27" s="318">
        <f t="shared" ca="1" si="19"/>
        <v>0</v>
      </c>
      <c r="AK27" s="318">
        <v>25</v>
      </c>
      <c r="AL27" s="424"/>
      <c r="AP27" s="318">
        <f ca="1">IF(TYPE(VLOOKUP($A27,'2.kolo'!$L$3:$L$66,1,0))&gt;3,IF(TYPE(VLOOKUP($A27,'2.kolo'!$K$3:$L$66,2,0))&gt;3,0,VLOOKUP($A27,'2.kolo'!$K$3:$L$66,2,0)),VLOOKUP($A27,'2.kolo'!$L$3:$O$66,4,0))</f>
        <v>55</v>
      </c>
      <c r="AQ27" s="318">
        <f ca="1">IF(TYPE(VLOOKUP($A27,'2.kolo'!$L$3:$L$66,1,0))&gt;3,IF(TYPE(VLOOKUP($A27,'2.kolo'!$O$3:$Q$66,2,0))&gt;3,0,VLOOKUP($A27,'2.kolo'!$O$3:$Q$66,2,0)),VLOOKUP($A27,'2.kolo'!$L$3:$N$66,2,0))</f>
        <v>1</v>
      </c>
      <c r="AR27" s="318">
        <f ca="1">IF(TYPE(VLOOKUP($A27,'2.kolo'!$L$3:$L$66,1,0))&gt;3,IF(TYPE(VLOOKUP($A27,'2.kolo'!$O$3:$Q$66,3,0))&gt;3,0,VLOOKUP($A27,'2.kolo'!$O$3:$Q$66,3,0)),VLOOKUP($A27,'2.kolo'!$L$3:$N$66,3,0))</f>
        <v>8</v>
      </c>
      <c r="AS27" s="318">
        <f t="shared" ca="1" si="20"/>
        <v>0</v>
      </c>
      <c r="AT27" s="397">
        <v>39</v>
      </c>
      <c r="AU27" s="424" t="str">
        <f ca="1">IF(AT27="","",CONCATENATE(TEXT($O27,"0"),IF(Start.listina!$Y$5="","",TEXT(500+$P27,"000")),TEXT(999999*RAND(),"000000")))</f>
        <v>2711533</v>
      </c>
      <c r="AV27" s="318">
        <f t="shared" ca="1" si="3"/>
        <v>0</v>
      </c>
      <c r="AY27" s="318">
        <f ca="1">IF(TYPE(VLOOKUP($A27,'3.kolo'!$L$3:$L$66,1,0))&gt;3,IF(TYPE(VLOOKUP($A27,'3.kolo'!$K$3:$L$66,2,0))&gt;3,0,VLOOKUP($A27,'3.kolo'!$K$3:$L$66,2,0)),VLOOKUP($A27,'3.kolo'!$L$3:$O$66,4,0))</f>
        <v>51</v>
      </c>
      <c r="AZ27" s="318">
        <f ca="1">IF(TYPE(VLOOKUP($A27,'3.kolo'!$L$3:$L$66,1,0))&gt;3,IF(TYPE(VLOOKUP($A27,'3.kolo'!$O$3:$Q$66,2,0))&gt;3,0,VLOOKUP($A27,'3.kolo'!$O$3:$Q$66,2,0)),VLOOKUP($A27,'3.kolo'!$L$3:$N$66,2,0))</f>
        <v>0</v>
      </c>
      <c r="BA27" s="318">
        <f ca="1">IF(TYPE(VLOOKUP($A27,'3.kolo'!$L$3:$L$66,1,0))&gt;3,IF(TYPE(VLOOKUP($A27,'3.kolo'!$O$3:$Q$66,3,0))&gt;3,0,VLOOKUP($A27,'3.kolo'!$O$3:$Q$66,3,0)),VLOOKUP($A27,'3.kolo'!$L$3:$N$66,3,0))</f>
        <v>-5</v>
      </c>
      <c r="BB27" s="318">
        <f t="shared" ca="1" si="21"/>
        <v>0</v>
      </c>
      <c r="BC27" s="397">
        <v>29</v>
      </c>
      <c r="BD27" s="424" t="str">
        <f ca="1">IF(BC27="","",CONCATENATE(TEXT($O27,"0"),IF(Start.listina!$Y$5="","",TEXT(500+$P27,"000")),TEXT(999999*RAND(),"000000")))</f>
        <v>2696560</v>
      </c>
      <c r="BE27" s="318">
        <f t="shared" ca="1" si="4"/>
        <v>0</v>
      </c>
      <c r="BH27" s="318">
        <f ca="1">IF(TYPE(VLOOKUP($A27,'4.kolo'!$L$3:$L$66,1,0))&gt;3,IF(TYPE(VLOOKUP($A27,'4.kolo'!$K$3:$L$66,2,0))&gt;3,0,VLOOKUP($A27,'4.kolo'!$K$3:$L$66,2,0)),VLOOKUP($A27,'4.kolo'!$L$3:$O$66,4,0))</f>
        <v>35</v>
      </c>
      <c r="BI27" s="318">
        <f ca="1">IF(TYPE(VLOOKUP($A27,'4.kolo'!$L$3:$L$66,1,0))&gt;3,IF(TYPE(VLOOKUP($A27,'4.kolo'!$O$3:$Q$66,2,0))&gt;3,0,VLOOKUP($A27,'4.kolo'!$O$3:$Q$66,2,0)),VLOOKUP($A27,'4.kolo'!$L$3:$N$66,2,0))</f>
        <v>1</v>
      </c>
      <c r="BJ27" s="318">
        <f ca="1">IF(TYPE(VLOOKUP($A27,'4.kolo'!$L$3:$L$66,1,0))&gt;3,IF(TYPE(VLOOKUP($A27,'4.kolo'!$O$3:$Q$66,3,0))&gt;3,0,VLOOKUP($A27,'4.kolo'!$O$3:$Q$66,3,0)),VLOOKUP($A27,'4.kolo'!$L$3:$N$66,3,0))</f>
        <v>7</v>
      </c>
      <c r="BK27" s="318">
        <f t="shared" ca="1" si="22"/>
        <v>0</v>
      </c>
      <c r="BL27" s="397">
        <v>45</v>
      </c>
      <c r="BM27" s="424" t="str">
        <f ca="1">IF(BL27="","",CONCATENATE(TEXT($O27,"0"),IF(Start.listina!$Y$5="","",TEXT(500+$P27,"000")),TEXT(999999*RAND(),"000000")))</f>
        <v>2939282</v>
      </c>
      <c r="BN27" s="318">
        <f t="shared" ca="1" si="5"/>
        <v>0</v>
      </c>
      <c r="BQ27" s="318">
        <f ca="1">IF(TYPE(VLOOKUP($A27,'5.kolo'!$L$3:$L$66,1,0))&gt;3,IF(TYPE(VLOOKUP($A27,'5.kolo'!$K$3:$L$66,2,0))&gt;3,0,VLOOKUP($A27,'5.kolo'!$K$3:$L$66,2,0)),VLOOKUP($A27,'5.kolo'!$L$3:$O$66,4,0))</f>
        <v>0</v>
      </c>
      <c r="BR27" s="318">
        <f ca="1">IF(TYPE(VLOOKUP($A27,'5.kolo'!$L$3:$L$66,1,0))&gt;3,IF(TYPE(VLOOKUP($A27,'5.kolo'!$O$3:$Q$66,2,0))&gt;3,0,VLOOKUP($A27,'5.kolo'!$O$3:$Q$66,2,0)),VLOOKUP($A27,'5.kolo'!$L$3:$N$66,2,0))</f>
        <v>0</v>
      </c>
      <c r="BS27" s="318">
        <f ca="1">IF(TYPE(VLOOKUP($A27,'5.kolo'!$L$3:$L$66,1,0))&gt;3,IF(TYPE(VLOOKUP($A27,'5.kolo'!$O$3:$Q$66,3,0))&gt;3,0,VLOOKUP($A27,'5.kolo'!$O$3:$Q$66,3,0)),VLOOKUP($A27,'5.kolo'!$L$3:$N$66,3,0))</f>
        <v>0</v>
      </c>
      <c r="BT27" s="318">
        <f t="shared" ca="1" si="23"/>
        <v>0</v>
      </c>
      <c r="BU27" s="397"/>
      <c r="BV27" s="424" t="str">
        <f ca="1">IF(BU27="","",CONCATENATE(TEXT($O27,"0"),IF(Start.listina!$Y$5="","",TEXT(500+$P27,"000")),TEXT(999999*RAND(),"000000")))</f>
        <v/>
      </c>
      <c r="BW27" s="318">
        <f t="shared" ca="1" si="6"/>
        <v>0</v>
      </c>
      <c r="BZ27" s="318">
        <f ca="1">IF(TYPE(VLOOKUP($A27,'6.kolo'!$L$3:$L$66,1,0))&gt;3,IF(TYPE(VLOOKUP($A27,'6.kolo'!$K$3:$L$66,2,0))&gt;3,0,VLOOKUP($A27,'6.kolo'!$K$3:$L$66,2,0)),VLOOKUP($A27,'6.kolo'!$L$3:$O$66,4,0))</f>
        <v>0</v>
      </c>
      <c r="CA27" s="318">
        <f ca="1">IF(TYPE(VLOOKUP($A27,'6.kolo'!$L$3:$L$66,1,0))&gt;3,IF(TYPE(VLOOKUP($A27,'6.kolo'!$O$3:$Q$66,2,0))&gt;3,0,VLOOKUP($A27,'6.kolo'!$O$3:$Q$66,2,0)),VLOOKUP($A27,'6.kolo'!$L$3:$N$66,2,0))</f>
        <v>0</v>
      </c>
      <c r="CB27" s="318">
        <f ca="1">IF(TYPE(VLOOKUP($A27,'6.kolo'!$L$3:$L$66,1,0))&gt;3,IF(TYPE(VLOOKUP($A27,'6.kolo'!$O$3:$Q$66,3,0))&gt;3,0,VLOOKUP($A27,'6.kolo'!$O$3:$Q$66,3,0)),VLOOKUP($A27,'6.kolo'!$L$3:$N$66,3,0))</f>
        <v>0</v>
      </c>
      <c r="CC27" s="318">
        <f t="shared" ca="1" si="24"/>
        <v>0</v>
      </c>
      <c r="CD27" s="397"/>
      <c r="CE27" s="424" t="str">
        <f ca="1">IF(CD27="","",CONCATENATE(TEXT($O27,"0"),IF(Start.listina!$Y$5="","",TEXT(500+$P27,"000")),TEXT(999999*RAND(),"000000")))</f>
        <v/>
      </c>
      <c r="CF27" s="318">
        <f t="shared" ca="1" si="7"/>
        <v>0</v>
      </c>
    </row>
    <row r="28" spans="1:84" x14ac:dyDescent="0.4">
      <c r="A28" s="318">
        <f ca="1">IF(OR(Start.listina!H36&gt;Start.listina!$K$7,Start.listina!G36=TRUE),"",Start.listina!H36)</f>
        <v>26</v>
      </c>
      <c r="B28" s="318">
        <f ca="1">IF($A28&gt;Start.listina!$K$7,"",INT(($A28-1)/Start.listina!$O$7)+1)</f>
        <v>1</v>
      </c>
      <c r="C28" s="421" t="str">
        <f ca="1">IF(OR(Start.listina!H36&gt;Start.listina!$K$7,Start.listina!G36=TRUE)," - ",Start.listina!AL36)</f>
        <v>26 Petank Club Praha - Klír Tomáš</v>
      </c>
      <c r="D28" s="318">
        <f ca="1">IF(OR(A28&gt;Start.listina!$K$7,TYPE(VLOOKUP(A28,$V$3:$X$130,3,0))&gt;3),"",VLOOKUP(A28,$V$3:$X$130,3,0))</f>
        <v>53</v>
      </c>
      <c r="E28" s="422">
        <f ca="1">IF(A28&gt;Start.listina!$K$7,"",IF(MIN(F28:K28)&gt;Start.listina!$Y$4,D28,MIN(F28:K28)))</f>
        <v>53</v>
      </c>
      <c r="F28" s="318">
        <f ca="1">IF(TYPE(VLOOKUP(C28,Konečné_pořadí_1_16!$B$2:$D$17,3,0))&lt;4,VLOOKUP(C28,Konečné_pořadí_1_16!$B$2:$D$17,3,0),999)</f>
        <v>999</v>
      </c>
      <c r="G28" s="318">
        <f ca="1">IF(TYPE(VLOOKUP(C28,'KO64'!$D$4:$D$129,1,0))&lt;4,64,999)</f>
        <v>999</v>
      </c>
      <c r="H28" s="318">
        <f ca="1">IF(TYPE(VLOOKUP(C28,'KO32'!$D$4:$D$65,1,0))&lt;4,32,999)</f>
        <v>999</v>
      </c>
      <c r="I28" s="318">
        <f ca="1">IF(TYPE(VLOOKUP(C28,'KO16'!$D$4:$D$33,1,0))&lt;4,16,999)</f>
        <v>999</v>
      </c>
      <c r="J28" s="318">
        <f ca="1">IF(TYPE(VLOOKUP(C28,'KO8'!$D$4:$D$17,1,0))&lt;4,8,999)</f>
        <v>999</v>
      </c>
      <c r="K28" s="318">
        <f ca="1">IF(TYPE(VLOOKUP(C28,'KO4'!$D$4:$D$9,1,0))&lt;4,4,999)</f>
        <v>999</v>
      </c>
      <c r="M28" s="319">
        <v>26</v>
      </c>
      <c r="O28" s="318">
        <f t="shared" ca="1" si="8"/>
        <v>1</v>
      </c>
      <c r="P28" s="318">
        <f t="shared" ca="1" si="9"/>
        <v>-11</v>
      </c>
      <c r="Q28" s="318">
        <f t="shared" ca="1" si="0"/>
        <v>5</v>
      </c>
      <c r="R28" s="318">
        <f t="shared" ca="1" si="1"/>
        <v>0</v>
      </c>
      <c r="S28" s="318">
        <f t="shared" ca="1" si="10"/>
        <v>26</v>
      </c>
      <c r="T28" s="318">
        <f t="shared" ca="1" si="11"/>
        <v>0</v>
      </c>
      <c r="U28" s="397">
        <f t="shared" si="25"/>
        <v>26</v>
      </c>
      <c r="V28" s="397">
        <v>54</v>
      </c>
      <c r="W28" s="423" t="str">
        <f ca="1">IF($V28="","",CONCATENATE(TEXT($O28,"0"),IF(Start.listina!$Y$5="","",TEXT(500+$P28,"0000")),IF(Start.listina!$Y$6="","",CHOOSE(Start.listina!$Y$7,TEXT($Q28,"00"),CONCATENATE(TEXT($Q28,"00"),TEXT($S28,"000")), TEXT($R28,"00"))),TEXT(500+$P28,"0000"),IF(Start.listina!$Y$8="","",TEXT($T28,"0")),TEXT(999999*RAND(),"000000")))</f>
        <v>1050260489197551</v>
      </c>
      <c r="X28" s="399">
        <f t="shared" si="12"/>
        <v>26</v>
      </c>
      <c r="Y28" s="397">
        <f t="shared" ca="1" si="2"/>
        <v>2</v>
      </c>
      <c r="Z28" s="318">
        <f t="shared" ca="1" si="13"/>
        <v>54</v>
      </c>
      <c r="AA28" s="318">
        <f t="shared" ca="1" si="14"/>
        <v>16</v>
      </c>
      <c r="AB28" s="318" t="str">
        <f t="shared" ca="1" si="15"/>
        <v/>
      </c>
      <c r="AC28" s="318">
        <f t="shared" ca="1" si="16"/>
        <v>40</v>
      </c>
      <c r="AD28" s="318">
        <f t="shared" ca="1" si="17"/>
        <v>0</v>
      </c>
      <c r="AE28" s="318">
        <f t="shared" ca="1" si="18"/>
        <v>0</v>
      </c>
      <c r="AG28" s="318">
        <f ca="1">IF(TYPE(VLOOKUP($A28,'1.kolo'!$L$3:$L$66,1,0))&gt;3,VLOOKUP($A28,'1.kolo'!$K$3:$L$66,2,0),VLOOKUP($A28,'1.kolo'!$L$3:$O$66,4,0))</f>
        <v>54</v>
      </c>
      <c r="AH28" s="318">
        <f ca="1">IF(TYPE(VLOOKUP($A28,'1.kolo'!$L$3:$L$66,1,0))&gt;3,VLOOKUP($A28,'1.kolo'!$O$3:$Q$66,2,0),VLOOKUP($A28,'1.kolo'!$L$3:$N$66,2,0))</f>
        <v>0</v>
      </c>
      <c r="AI28" s="318">
        <f ca="1">IF(TYPE(VLOOKUP($A28,'1.kolo'!$L$3:$L$66,1,0))&gt;3,VLOOKUP($A28,'1.kolo'!$O$3:$Q$66,3,0),VLOOKUP($A28,'1.kolo'!$L$3:$N$66,3,0))</f>
        <v>-1</v>
      </c>
      <c r="AJ28" s="318">
        <f t="shared" ca="1" si="19"/>
        <v>0</v>
      </c>
      <c r="AK28" s="318">
        <v>26</v>
      </c>
      <c r="AL28" s="424"/>
      <c r="AP28" s="318">
        <f ca="1">IF(TYPE(VLOOKUP($A28,'2.kolo'!$L$3:$L$66,1,0))&gt;3,IF(TYPE(VLOOKUP($A28,'2.kolo'!$K$3:$L$66,2,0))&gt;3,0,VLOOKUP($A28,'2.kolo'!$K$3:$L$66,2,0)),VLOOKUP($A28,'2.kolo'!$L$3:$O$66,4,0))</f>
        <v>16</v>
      </c>
      <c r="AQ28" s="318">
        <f ca="1">IF(TYPE(VLOOKUP($A28,'2.kolo'!$L$3:$L$66,1,0))&gt;3,IF(TYPE(VLOOKUP($A28,'2.kolo'!$O$3:$Q$66,2,0))&gt;3,0,VLOOKUP($A28,'2.kolo'!$O$3:$Q$66,2,0)),VLOOKUP($A28,'2.kolo'!$L$3:$N$66,2,0))</f>
        <v>0</v>
      </c>
      <c r="AR28" s="318">
        <f ca="1">IF(TYPE(VLOOKUP($A28,'2.kolo'!$L$3:$L$66,1,0))&gt;3,IF(TYPE(VLOOKUP($A28,'2.kolo'!$O$3:$Q$66,3,0))&gt;3,0,VLOOKUP($A28,'2.kolo'!$O$3:$Q$66,3,0)),VLOOKUP($A28,'2.kolo'!$L$3:$N$66,3,0))</f>
        <v>-13</v>
      </c>
      <c r="AS28" s="318">
        <f t="shared" ca="1" si="20"/>
        <v>0</v>
      </c>
      <c r="AT28" s="397">
        <v>5</v>
      </c>
      <c r="AU28" s="424" t="str">
        <f ca="1">IF(AT28="","",CONCATENATE(TEXT($O28,"0"),IF(Start.listina!$Y$5="","",TEXT(500+$P28,"000")),TEXT(999999*RAND(),"000000")))</f>
        <v>1561862</v>
      </c>
      <c r="AV28" s="318">
        <f t="shared" ca="1" si="3"/>
        <v>0</v>
      </c>
      <c r="AY28" s="318" t="str">
        <f ca="1">IF(TYPE(VLOOKUP($A28,'3.kolo'!$L$3:$L$66,1,0))&gt;3,IF(TYPE(VLOOKUP($A28,'3.kolo'!$K$3:$L$66,2,0))&gt;3,0,VLOOKUP($A28,'3.kolo'!$K$3:$L$66,2,0)),VLOOKUP($A28,'3.kolo'!$L$3:$O$66,4,0))</f>
        <v/>
      </c>
      <c r="AZ28" s="318">
        <f ca="1">IF(TYPE(VLOOKUP($A28,'3.kolo'!$L$3:$L$66,1,0))&gt;3,IF(TYPE(VLOOKUP($A28,'3.kolo'!$O$3:$Q$66,2,0))&gt;3,0,VLOOKUP($A28,'3.kolo'!$O$3:$Q$66,2,0)),VLOOKUP($A28,'3.kolo'!$L$3:$N$66,2,0))</f>
        <v>1</v>
      </c>
      <c r="BA28" s="318">
        <f ca="1">IF(TYPE(VLOOKUP($A28,'3.kolo'!$L$3:$L$66,1,0))&gt;3,IF(TYPE(VLOOKUP($A28,'3.kolo'!$O$3:$Q$66,3,0))&gt;3,0,VLOOKUP($A28,'3.kolo'!$O$3:$Q$66,3,0)),VLOOKUP($A28,'3.kolo'!$L$3:$N$66,3,0))</f>
        <v>6</v>
      </c>
      <c r="BB28" s="318">
        <f t="shared" ca="1" si="21"/>
        <v>0</v>
      </c>
      <c r="BC28" s="397">
        <v>24</v>
      </c>
      <c r="BD28" s="424" t="str">
        <f ca="1">IF(BC28="","",CONCATENATE(TEXT($O28,"0"),IF(Start.listina!$Y$5="","",TEXT(500+$P28,"000")),TEXT(999999*RAND(),"000000")))</f>
        <v>1069493</v>
      </c>
      <c r="BE28" s="318">
        <f t="shared" ca="1" si="4"/>
        <v>0</v>
      </c>
      <c r="BH28" s="318">
        <f ca="1">IF(TYPE(VLOOKUP($A28,'4.kolo'!$L$3:$L$66,1,0))&gt;3,IF(TYPE(VLOOKUP($A28,'4.kolo'!$K$3:$L$66,2,0))&gt;3,0,VLOOKUP($A28,'4.kolo'!$K$3:$L$66,2,0)),VLOOKUP($A28,'4.kolo'!$L$3:$O$66,4,0))</f>
        <v>40</v>
      </c>
      <c r="BI28" s="318">
        <f ca="1">IF(TYPE(VLOOKUP($A28,'4.kolo'!$L$3:$L$66,1,0))&gt;3,IF(TYPE(VLOOKUP($A28,'4.kolo'!$O$3:$Q$66,2,0))&gt;3,0,VLOOKUP($A28,'4.kolo'!$O$3:$Q$66,2,0)),VLOOKUP($A28,'4.kolo'!$L$3:$N$66,2,0))</f>
        <v>0</v>
      </c>
      <c r="BJ28" s="318">
        <f ca="1">IF(TYPE(VLOOKUP($A28,'4.kolo'!$L$3:$L$66,1,0))&gt;3,IF(TYPE(VLOOKUP($A28,'4.kolo'!$O$3:$Q$66,3,0))&gt;3,0,VLOOKUP($A28,'4.kolo'!$O$3:$Q$66,3,0)),VLOOKUP($A28,'4.kolo'!$L$3:$N$66,3,0))</f>
        <v>-3</v>
      </c>
      <c r="BK28" s="318">
        <f t="shared" ca="1" si="22"/>
        <v>0</v>
      </c>
      <c r="BL28" s="397">
        <v>24</v>
      </c>
      <c r="BM28" s="424" t="str">
        <f ca="1">IF(BL28="","",CONCATENATE(TEXT($O28,"0"),IF(Start.listina!$Y$5="","",TEXT(500+$P28,"000")),TEXT(999999*RAND(),"000000")))</f>
        <v>1364422</v>
      </c>
      <c r="BN28" s="318">
        <f t="shared" ca="1" si="5"/>
        <v>0</v>
      </c>
      <c r="BQ28" s="318">
        <f ca="1">IF(TYPE(VLOOKUP($A28,'5.kolo'!$L$3:$L$66,1,0))&gt;3,IF(TYPE(VLOOKUP($A28,'5.kolo'!$K$3:$L$66,2,0))&gt;3,0,VLOOKUP($A28,'5.kolo'!$K$3:$L$66,2,0)),VLOOKUP($A28,'5.kolo'!$L$3:$O$66,4,0))</f>
        <v>0</v>
      </c>
      <c r="BR28" s="318">
        <f ca="1">IF(TYPE(VLOOKUP($A28,'5.kolo'!$L$3:$L$66,1,0))&gt;3,IF(TYPE(VLOOKUP($A28,'5.kolo'!$O$3:$Q$66,2,0))&gt;3,0,VLOOKUP($A28,'5.kolo'!$O$3:$Q$66,2,0)),VLOOKUP($A28,'5.kolo'!$L$3:$N$66,2,0))</f>
        <v>0</v>
      </c>
      <c r="BS28" s="318">
        <f ca="1">IF(TYPE(VLOOKUP($A28,'5.kolo'!$L$3:$L$66,1,0))&gt;3,IF(TYPE(VLOOKUP($A28,'5.kolo'!$O$3:$Q$66,3,0))&gt;3,0,VLOOKUP($A28,'5.kolo'!$O$3:$Q$66,3,0)),VLOOKUP($A28,'5.kolo'!$L$3:$N$66,3,0))</f>
        <v>0</v>
      </c>
      <c r="BT28" s="318">
        <f t="shared" ca="1" si="23"/>
        <v>0</v>
      </c>
      <c r="BU28" s="397"/>
      <c r="BV28" s="424" t="str">
        <f ca="1">IF(BU28="","",CONCATENATE(TEXT($O28,"0"),IF(Start.listina!$Y$5="","",TEXT(500+$P28,"000")),TEXT(999999*RAND(),"000000")))</f>
        <v/>
      </c>
      <c r="BW28" s="318">
        <f t="shared" ca="1" si="6"/>
        <v>0</v>
      </c>
      <c r="BZ28" s="318">
        <f ca="1">IF(TYPE(VLOOKUP($A28,'6.kolo'!$L$3:$L$66,1,0))&gt;3,IF(TYPE(VLOOKUP($A28,'6.kolo'!$K$3:$L$66,2,0))&gt;3,0,VLOOKUP($A28,'6.kolo'!$K$3:$L$66,2,0)),VLOOKUP($A28,'6.kolo'!$L$3:$O$66,4,0))</f>
        <v>0</v>
      </c>
      <c r="CA28" s="318">
        <f ca="1">IF(TYPE(VLOOKUP($A28,'6.kolo'!$L$3:$L$66,1,0))&gt;3,IF(TYPE(VLOOKUP($A28,'6.kolo'!$O$3:$Q$66,2,0))&gt;3,0,VLOOKUP($A28,'6.kolo'!$O$3:$Q$66,2,0)),VLOOKUP($A28,'6.kolo'!$L$3:$N$66,2,0))</f>
        <v>0</v>
      </c>
      <c r="CB28" s="318">
        <f ca="1">IF(TYPE(VLOOKUP($A28,'6.kolo'!$L$3:$L$66,1,0))&gt;3,IF(TYPE(VLOOKUP($A28,'6.kolo'!$O$3:$Q$66,3,0))&gt;3,0,VLOOKUP($A28,'6.kolo'!$O$3:$Q$66,3,0)),VLOOKUP($A28,'6.kolo'!$L$3:$N$66,3,0))</f>
        <v>0</v>
      </c>
      <c r="CC28" s="318">
        <f t="shared" ca="1" si="24"/>
        <v>0</v>
      </c>
      <c r="CD28" s="397"/>
      <c r="CE28" s="424" t="str">
        <f ca="1">IF(CD28="","",CONCATENATE(TEXT($O28,"0"),IF(Start.listina!$Y$5="","",TEXT(500+$P28,"000")),TEXT(999999*RAND(),"000000")))</f>
        <v/>
      </c>
      <c r="CF28" s="318">
        <f t="shared" ca="1" si="7"/>
        <v>0</v>
      </c>
    </row>
    <row r="29" spans="1:84" x14ac:dyDescent="0.4">
      <c r="A29" s="318">
        <f ca="1">IF(OR(Start.listina!H37&gt;Start.listina!$K$7,Start.listina!G37=TRUE),"",Start.listina!H37)</f>
        <v>27</v>
      </c>
      <c r="B29" s="318">
        <f ca="1">IF($A29&gt;Start.listina!$K$7,"",INT(($A29-1)/Start.listina!$O$7)+1)</f>
        <v>1</v>
      </c>
      <c r="C29" s="421" t="str">
        <f ca="1">IF(OR(Start.listina!H37&gt;Start.listina!$K$7,Start.listina!G37=TRUE)," - ",Start.listina!AL37)</f>
        <v>27 SK Pétanque Řepy - Hladík Jaroslav</v>
      </c>
      <c r="D29" s="318">
        <f ca="1">IF(OR(A29&gt;Start.listina!$K$7,TYPE(VLOOKUP(A29,$V$3:$X$130,3,0))&gt;3),"",VLOOKUP(A29,$V$3:$X$130,3,0))</f>
        <v>21</v>
      </c>
      <c r="E29" s="422">
        <f ca="1">IF(A29&gt;Start.listina!$K$7,"",IF(MIN(F29:K29)&gt;Start.listina!$Y$4,D29,MIN(F29:K29)))</f>
        <v>21</v>
      </c>
      <c r="F29" s="318">
        <f ca="1">IF(TYPE(VLOOKUP(C29,Konečné_pořadí_1_16!$B$2:$D$17,3,0))&lt;4,VLOOKUP(C29,Konečné_pořadí_1_16!$B$2:$D$17,3,0),999)</f>
        <v>999</v>
      </c>
      <c r="G29" s="318">
        <f ca="1">IF(TYPE(VLOOKUP(C29,'KO64'!$D$4:$D$129,1,0))&lt;4,64,999)</f>
        <v>999</v>
      </c>
      <c r="H29" s="318">
        <f ca="1">IF(TYPE(VLOOKUP(C29,'KO32'!$D$4:$D$65,1,0))&lt;4,32,999)</f>
        <v>999</v>
      </c>
      <c r="I29" s="318">
        <f ca="1">IF(TYPE(VLOOKUP(C29,'KO16'!$D$4:$D$33,1,0))&lt;4,16,999)</f>
        <v>999</v>
      </c>
      <c r="J29" s="318">
        <f ca="1">IF(TYPE(VLOOKUP(C29,'KO8'!$D$4:$D$17,1,0))&lt;4,8,999)</f>
        <v>999</v>
      </c>
      <c r="K29" s="318">
        <f ca="1">IF(TYPE(VLOOKUP(C29,'KO4'!$D$4:$D$9,1,0))&lt;4,4,999)</f>
        <v>999</v>
      </c>
      <c r="M29" s="319">
        <v>27</v>
      </c>
      <c r="O29" s="318">
        <f t="shared" ca="1" si="8"/>
        <v>2</v>
      </c>
      <c r="P29" s="318">
        <f t="shared" ca="1" si="9"/>
        <v>-7</v>
      </c>
      <c r="Q29" s="318">
        <f t="shared" ca="1" si="0"/>
        <v>10</v>
      </c>
      <c r="R29" s="318">
        <f t="shared" ca="1" si="1"/>
        <v>3</v>
      </c>
      <c r="S29" s="318">
        <f t="shared" ca="1" si="10"/>
        <v>31</v>
      </c>
      <c r="T29" s="318">
        <f t="shared" ca="1" si="11"/>
        <v>0</v>
      </c>
      <c r="U29" s="397">
        <f t="shared" si="25"/>
        <v>27</v>
      </c>
      <c r="V29" s="397">
        <v>42</v>
      </c>
      <c r="W29" s="423" t="str">
        <f ca="1">IF($V29="","",CONCATENATE(TEXT($O29,"0"),IF(Start.listina!$Y$5="","",TEXT(500+$P29,"0000")),IF(Start.listina!$Y$6="","",CHOOSE(Start.listina!$Y$7,TEXT($Q29,"00"),CONCATENATE(TEXT($Q29,"00"),TEXT($S29,"000")), TEXT($R29,"00"))),TEXT(500+$P29,"0000"),IF(Start.listina!$Y$8="","",TEXT($T29,"0")),TEXT(999999*RAND(),"000000")))</f>
        <v>2100310493873633</v>
      </c>
      <c r="X29" s="399">
        <f t="shared" si="12"/>
        <v>27</v>
      </c>
      <c r="Y29" s="397">
        <f t="shared" ca="1" si="2"/>
        <v>2</v>
      </c>
      <c r="Z29" s="318">
        <f t="shared" ca="1" si="13"/>
        <v>55</v>
      </c>
      <c r="AA29" s="318">
        <f t="shared" ca="1" si="14"/>
        <v>1</v>
      </c>
      <c r="AB29" s="318">
        <f t="shared" ca="1" si="15"/>
        <v>37</v>
      </c>
      <c r="AC29" s="318">
        <f t="shared" ca="1" si="16"/>
        <v>12</v>
      </c>
      <c r="AD29" s="318">
        <f t="shared" ca="1" si="17"/>
        <v>0</v>
      </c>
      <c r="AE29" s="318">
        <f t="shared" ca="1" si="18"/>
        <v>0</v>
      </c>
      <c r="AG29" s="318">
        <f ca="1">IF(TYPE(VLOOKUP($A29,'1.kolo'!$L$3:$L$66,1,0))&gt;3,VLOOKUP($A29,'1.kolo'!$K$3:$L$66,2,0),VLOOKUP($A29,'1.kolo'!$L$3:$O$66,4,0))</f>
        <v>55</v>
      </c>
      <c r="AH29" s="318">
        <f ca="1">IF(TYPE(VLOOKUP($A29,'1.kolo'!$L$3:$L$66,1,0))&gt;3,VLOOKUP($A29,'1.kolo'!$O$3:$Q$66,2,0),VLOOKUP($A29,'1.kolo'!$L$3:$N$66,2,0))</f>
        <v>1</v>
      </c>
      <c r="AI29" s="318">
        <f ca="1">IF(TYPE(VLOOKUP($A29,'1.kolo'!$L$3:$L$66,1,0))&gt;3,VLOOKUP($A29,'1.kolo'!$O$3:$Q$66,3,0),VLOOKUP($A29,'1.kolo'!$L$3:$N$66,3,0))</f>
        <v>3</v>
      </c>
      <c r="AJ29" s="318">
        <f t="shared" ca="1" si="19"/>
        <v>0</v>
      </c>
      <c r="AK29" s="318">
        <v>27</v>
      </c>
      <c r="AL29" s="424"/>
      <c r="AP29" s="318">
        <f ca="1">IF(TYPE(VLOOKUP($A29,'2.kolo'!$L$3:$L$66,1,0))&gt;3,IF(TYPE(VLOOKUP($A29,'2.kolo'!$K$3:$L$66,2,0))&gt;3,0,VLOOKUP($A29,'2.kolo'!$K$3:$L$66,2,0)),VLOOKUP($A29,'2.kolo'!$L$3:$O$66,4,0))</f>
        <v>1</v>
      </c>
      <c r="AQ29" s="318">
        <f ca="1">IF(TYPE(VLOOKUP($A29,'2.kolo'!$L$3:$L$66,1,0))&gt;3,IF(TYPE(VLOOKUP($A29,'2.kolo'!$O$3:$Q$66,2,0))&gt;3,0,VLOOKUP($A29,'2.kolo'!$O$3:$Q$66,2,0)),VLOOKUP($A29,'2.kolo'!$L$3:$N$66,2,0))</f>
        <v>0</v>
      </c>
      <c r="AR29" s="318">
        <f ca="1">IF(TYPE(VLOOKUP($A29,'2.kolo'!$L$3:$L$66,1,0))&gt;3,IF(TYPE(VLOOKUP($A29,'2.kolo'!$O$3:$Q$66,3,0))&gt;3,0,VLOOKUP($A29,'2.kolo'!$O$3:$Q$66,3,0)),VLOOKUP($A29,'2.kolo'!$L$3:$N$66,3,0))</f>
        <v>-12</v>
      </c>
      <c r="AS29" s="318">
        <f t="shared" ca="1" si="20"/>
        <v>0</v>
      </c>
      <c r="AT29" s="397">
        <v>17</v>
      </c>
      <c r="AU29" s="424" t="str">
        <f ca="1">IF(AT29="","",CONCATENATE(TEXT($O29,"0"),IF(Start.listina!$Y$5="","",TEXT(500+$P29,"000")),TEXT(999999*RAND(),"000000")))</f>
        <v>2563972</v>
      </c>
      <c r="AV29" s="318">
        <f t="shared" ca="1" si="3"/>
        <v>0</v>
      </c>
      <c r="AY29" s="318">
        <f ca="1">IF(TYPE(VLOOKUP($A29,'3.kolo'!$L$3:$L$66,1,0))&gt;3,IF(TYPE(VLOOKUP($A29,'3.kolo'!$K$3:$L$66,2,0))&gt;3,0,VLOOKUP($A29,'3.kolo'!$K$3:$L$66,2,0)),VLOOKUP($A29,'3.kolo'!$L$3:$O$66,4,0))</f>
        <v>37</v>
      </c>
      <c r="AZ29" s="318">
        <f ca="1">IF(TYPE(VLOOKUP($A29,'3.kolo'!$L$3:$L$66,1,0))&gt;3,IF(TYPE(VLOOKUP($A29,'3.kolo'!$O$3:$Q$66,2,0))&gt;3,0,VLOOKUP($A29,'3.kolo'!$O$3:$Q$66,2,0)),VLOOKUP($A29,'3.kolo'!$L$3:$N$66,2,0))</f>
        <v>1</v>
      </c>
      <c r="BA29" s="318">
        <f ca="1">IF(TYPE(VLOOKUP($A29,'3.kolo'!$L$3:$L$66,1,0))&gt;3,IF(TYPE(VLOOKUP($A29,'3.kolo'!$O$3:$Q$66,3,0))&gt;3,0,VLOOKUP($A29,'3.kolo'!$O$3:$Q$66,3,0)),VLOOKUP($A29,'3.kolo'!$L$3:$N$66,3,0))</f>
        <v>6</v>
      </c>
      <c r="BB29" s="318">
        <f t="shared" ca="1" si="21"/>
        <v>0</v>
      </c>
      <c r="BC29" s="397">
        <v>41</v>
      </c>
      <c r="BD29" s="424" t="str">
        <f ca="1">IF(BC29="","",CONCATENATE(TEXT($O29,"0"),IF(Start.listina!$Y$5="","",TEXT(500+$P29,"000")),TEXT(999999*RAND(),"000000")))</f>
        <v>2130110</v>
      </c>
      <c r="BE29" s="318">
        <f t="shared" ca="1" si="4"/>
        <v>0</v>
      </c>
      <c r="BH29" s="318">
        <f ca="1">IF(TYPE(VLOOKUP($A29,'4.kolo'!$L$3:$L$66,1,0))&gt;3,IF(TYPE(VLOOKUP($A29,'4.kolo'!$K$3:$L$66,2,0))&gt;3,0,VLOOKUP($A29,'4.kolo'!$K$3:$L$66,2,0)),VLOOKUP($A29,'4.kolo'!$L$3:$O$66,4,0))</f>
        <v>12</v>
      </c>
      <c r="BI29" s="318">
        <f ca="1">IF(TYPE(VLOOKUP($A29,'4.kolo'!$L$3:$L$66,1,0))&gt;3,IF(TYPE(VLOOKUP($A29,'4.kolo'!$O$3:$Q$66,2,0))&gt;3,0,VLOOKUP($A29,'4.kolo'!$O$3:$Q$66,2,0)),VLOOKUP($A29,'4.kolo'!$L$3:$N$66,2,0))</f>
        <v>0</v>
      </c>
      <c r="BJ29" s="318">
        <f ca="1">IF(TYPE(VLOOKUP($A29,'4.kolo'!$L$3:$L$66,1,0))&gt;3,IF(TYPE(VLOOKUP($A29,'4.kolo'!$O$3:$Q$66,3,0))&gt;3,0,VLOOKUP($A29,'4.kolo'!$O$3:$Q$66,3,0)),VLOOKUP($A29,'4.kolo'!$L$3:$N$66,3,0))</f>
        <v>-4</v>
      </c>
      <c r="BK29" s="318">
        <f t="shared" ca="1" si="22"/>
        <v>0</v>
      </c>
      <c r="BL29" s="397">
        <v>3</v>
      </c>
      <c r="BM29" s="424" t="str">
        <f ca="1">IF(BL29="","",CONCATENATE(TEXT($O29,"0"),IF(Start.listina!$Y$5="","",TEXT(500+$P29,"000")),TEXT(999999*RAND(),"000000")))</f>
        <v>2685660</v>
      </c>
      <c r="BN29" s="318">
        <f t="shared" ca="1" si="5"/>
        <v>0</v>
      </c>
      <c r="BQ29" s="318">
        <f ca="1">IF(TYPE(VLOOKUP($A29,'5.kolo'!$L$3:$L$66,1,0))&gt;3,IF(TYPE(VLOOKUP($A29,'5.kolo'!$K$3:$L$66,2,0))&gt;3,0,VLOOKUP($A29,'5.kolo'!$K$3:$L$66,2,0)),VLOOKUP($A29,'5.kolo'!$L$3:$O$66,4,0))</f>
        <v>0</v>
      </c>
      <c r="BR29" s="318">
        <f ca="1">IF(TYPE(VLOOKUP($A29,'5.kolo'!$L$3:$L$66,1,0))&gt;3,IF(TYPE(VLOOKUP($A29,'5.kolo'!$O$3:$Q$66,2,0))&gt;3,0,VLOOKUP($A29,'5.kolo'!$O$3:$Q$66,2,0)),VLOOKUP($A29,'5.kolo'!$L$3:$N$66,2,0))</f>
        <v>0</v>
      </c>
      <c r="BS29" s="318">
        <f ca="1">IF(TYPE(VLOOKUP($A29,'5.kolo'!$L$3:$L$66,1,0))&gt;3,IF(TYPE(VLOOKUP($A29,'5.kolo'!$O$3:$Q$66,3,0))&gt;3,0,VLOOKUP($A29,'5.kolo'!$O$3:$Q$66,3,0)),VLOOKUP($A29,'5.kolo'!$L$3:$N$66,3,0))</f>
        <v>0</v>
      </c>
      <c r="BT29" s="318">
        <f t="shared" ca="1" si="23"/>
        <v>0</v>
      </c>
      <c r="BU29" s="397"/>
      <c r="BV29" s="424" t="str">
        <f ca="1">IF(BU29="","",CONCATENATE(TEXT($O29,"0"),IF(Start.listina!$Y$5="","",TEXT(500+$P29,"000")),TEXT(999999*RAND(),"000000")))</f>
        <v/>
      </c>
      <c r="BW29" s="318">
        <f t="shared" ca="1" si="6"/>
        <v>0</v>
      </c>
      <c r="BZ29" s="318">
        <f ca="1">IF(TYPE(VLOOKUP($A29,'6.kolo'!$L$3:$L$66,1,0))&gt;3,IF(TYPE(VLOOKUP($A29,'6.kolo'!$K$3:$L$66,2,0))&gt;3,0,VLOOKUP($A29,'6.kolo'!$K$3:$L$66,2,0)),VLOOKUP($A29,'6.kolo'!$L$3:$O$66,4,0))</f>
        <v>0</v>
      </c>
      <c r="CA29" s="318">
        <f ca="1">IF(TYPE(VLOOKUP($A29,'6.kolo'!$L$3:$L$66,1,0))&gt;3,IF(TYPE(VLOOKUP($A29,'6.kolo'!$O$3:$Q$66,2,0))&gt;3,0,VLOOKUP($A29,'6.kolo'!$O$3:$Q$66,2,0)),VLOOKUP($A29,'6.kolo'!$L$3:$N$66,2,0))</f>
        <v>0</v>
      </c>
      <c r="CB29" s="318">
        <f ca="1">IF(TYPE(VLOOKUP($A29,'6.kolo'!$L$3:$L$66,1,0))&gt;3,IF(TYPE(VLOOKUP($A29,'6.kolo'!$O$3:$Q$66,3,0))&gt;3,0,VLOOKUP($A29,'6.kolo'!$O$3:$Q$66,3,0)),VLOOKUP($A29,'6.kolo'!$L$3:$N$66,3,0))</f>
        <v>0</v>
      </c>
      <c r="CC29" s="318">
        <f t="shared" ca="1" si="24"/>
        <v>0</v>
      </c>
      <c r="CD29" s="397"/>
      <c r="CE29" s="424" t="str">
        <f ca="1">IF(CD29="","",CONCATENATE(TEXT($O29,"0"),IF(Start.listina!$Y$5="","",TEXT(500+$P29,"000")),TEXT(999999*RAND(),"000000")))</f>
        <v/>
      </c>
      <c r="CF29" s="318">
        <f t="shared" ca="1" si="7"/>
        <v>0</v>
      </c>
    </row>
    <row r="30" spans="1:84" x14ac:dyDescent="0.4">
      <c r="A30" s="318">
        <f ca="1">IF(OR(Start.listina!H38&gt;Start.listina!$K$7,Start.listina!G38=TRUE),"",Start.listina!H38)</f>
        <v>28</v>
      </c>
      <c r="B30" s="318">
        <f ca="1">IF($A30&gt;Start.listina!$K$7,"",INT(($A30-1)/Start.listina!$O$7)+1)</f>
        <v>1</v>
      </c>
      <c r="C30" s="421" t="str">
        <f ca="1">IF(OR(Start.listina!H38&gt;Start.listina!$K$7,Start.listina!G38=TRUE)," - ",Start.listina!AL38)</f>
        <v>28 PC Sokol PP Hr. Králové - Hochmann Lukáš</v>
      </c>
      <c r="D30" s="318">
        <f ca="1">IF(OR(A30&gt;Start.listina!$K$7,TYPE(VLOOKUP(A30,$V$3:$X$130,3,0))&gt;3),"",VLOOKUP(A30,$V$3:$X$130,3,0))</f>
        <v>8</v>
      </c>
      <c r="E30" s="422">
        <f ca="1">IF(A30&gt;Start.listina!$K$7,"",IF(MIN(F30:K30)&gt;Start.listina!$Y$4,D30,MIN(F30:K30)))</f>
        <v>8</v>
      </c>
      <c r="F30" s="318">
        <f ca="1">IF(TYPE(VLOOKUP(C30,Konečné_pořadí_1_16!$B$2:$D$17,3,0))&lt;4,VLOOKUP(C30,Konečné_pořadí_1_16!$B$2:$D$17,3,0),999)</f>
        <v>999</v>
      </c>
      <c r="G30" s="318">
        <f ca="1">IF(TYPE(VLOOKUP(C30,'KO64'!$D$4:$D$129,1,0))&lt;4,64,999)</f>
        <v>64</v>
      </c>
      <c r="H30" s="318">
        <f ca="1">IF(TYPE(VLOOKUP(C30,'KO32'!$D$4:$D$65,1,0))&lt;4,32,999)</f>
        <v>32</v>
      </c>
      <c r="I30" s="318">
        <f ca="1">IF(TYPE(VLOOKUP(C30,'KO16'!$D$4:$D$33,1,0))&lt;4,16,999)</f>
        <v>16</v>
      </c>
      <c r="J30" s="318">
        <f ca="1">IF(TYPE(VLOOKUP(C30,'KO8'!$D$4:$D$17,1,0))&lt;4,8,999)</f>
        <v>8</v>
      </c>
      <c r="K30" s="318">
        <f ca="1">IF(TYPE(VLOOKUP(C30,'KO4'!$D$4:$D$9,1,0))&lt;4,4,999)</f>
        <v>999</v>
      </c>
      <c r="M30" s="319">
        <v>28</v>
      </c>
      <c r="O30" s="318">
        <f t="shared" ca="1" si="8"/>
        <v>3</v>
      </c>
      <c r="P30" s="318">
        <f t="shared" ca="1" si="9"/>
        <v>-1</v>
      </c>
      <c r="Q30" s="318">
        <f t="shared" ca="1" si="0"/>
        <v>11</v>
      </c>
      <c r="R30" s="318">
        <f t="shared" ca="1" si="1"/>
        <v>7</v>
      </c>
      <c r="S30" s="318">
        <f t="shared" ca="1" si="10"/>
        <v>33</v>
      </c>
      <c r="T30" s="318">
        <f t="shared" ca="1" si="11"/>
        <v>0</v>
      </c>
      <c r="U30" s="397">
        <f t="shared" si="25"/>
        <v>28</v>
      </c>
      <c r="V30" s="397">
        <v>29</v>
      </c>
      <c r="W30" s="423" t="str">
        <f ca="1">IF($V30="","",CONCATENATE(TEXT($O30,"0"),IF(Start.listina!$Y$5="","",TEXT(500+$P30,"0000")),IF(Start.listina!$Y$6="","",CHOOSE(Start.listina!$Y$7,TEXT($Q30,"00"),CONCATENATE(TEXT($Q30,"00"),TEXT($S30,"000")), TEXT($R30,"00"))),TEXT(500+$P30,"0000"),IF(Start.listina!$Y$8="","",TEXT($T30,"0")),TEXT(999999*RAND(),"000000")))</f>
        <v>3110330499931098</v>
      </c>
      <c r="X30" s="399">
        <f t="shared" si="12"/>
        <v>28</v>
      </c>
      <c r="Y30" s="397">
        <f t="shared" ca="1" si="2"/>
        <v>2</v>
      </c>
      <c r="Z30" s="318">
        <f t="shared" ca="1" si="13"/>
        <v>56</v>
      </c>
      <c r="AA30" s="318">
        <f t="shared" ca="1" si="14"/>
        <v>22</v>
      </c>
      <c r="AB30" s="318">
        <f t="shared" ca="1" si="15"/>
        <v>10</v>
      </c>
      <c r="AC30" s="318">
        <f t="shared" ca="1" si="16"/>
        <v>2</v>
      </c>
      <c r="AD30" s="318">
        <f t="shared" ca="1" si="17"/>
        <v>0</v>
      </c>
      <c r="AE30" s="318">
        <f t="shared" ca="1" si="18"/>
        <v>0</v>
      </c>
      <c r="AG30" s="318">
        <f ca="1">IF(TYPE(VLOOKUP($A30,'1.kolo'!$L$3:$L$66,1,0))&gt;3,VLOOKUP($A30,'1.kolo'!$K$3:$L$66,2,0),VLOOKUP($A30,'1.kolo'!$L$3:$O$66,4,0))</f>
        <v>56</v>
      </c>
      <c r="AH30" s="318">
        <f ca="1">IF(TYPE(VLOOKUP($A30,'1.kolo'!$L$3:$L$66,1,0))&gt;3,VLOOKUP($A30,'1.kolo'!$O$3:$Q$66,2,0),VLOOKUP($A30,'1.kolo'!$L$3:$N$66,2,0))</f>
        <v>1</v>
      </c>
      <c r="AI30" s="318">
        <f ca="1">IF(TYPE(VLOOKUP($A30,'1.kolo'!$L$3:$L$66,1,0))&gt;3,VLOOKUP($A30,'1.kolo'!$O$3:$Q$66,3,0),VLOOKUP($A30,'1.kolo'!$L$3:$N$66,3,0))</f>
        <v>5</v>
      </c>
      <c r="AJ30" s="318">
        <f t="shared" ca="1" si="19"/>
        <v>0</v>
      </c>
      <c r="AK30" s="318">
        <v>28</v>
      </c>
      <c r="AL30" s="424"/>
      <c r="AP30" s="318">
        <f ca="1">IF(TYPE(VLOOKUP($A30,'2.kolo'!$L$3:$L$66,1,0))&gt;3,IF(TYPE(VLOOKUP($A30,'2.kolo'!$K$3:$L$66,2,0))&gt;3,0,VLOOKUP($A30,'2.kolo'!$K$3:$L$66,2,0)),VLOOKUP($A30,'2.kolo'!$L$3:$O$66,4,0))</f>
        <v>22</v>
      </c>
      <c r="AQ30" s="318">
        <f ca="1">IF(TYPE(VLOOKUP($A30,'2.kolo'!$L$3:$L$66,1,0))&gt;3,IF(TYPE(VLOOKUP($A30,'2.kolo'!$O$3:$Q$66,2,0))&gt;3,0,VLOOKUP($A30,'2.kolo'!$O$3:$Q$66,2,0)),VLOOKUP($A30,'2.kolo'!$L$3:$N$66,2,0))</f>
        <v>1</v>
      </c>
      <c r="AR30" s="318">
        <f ca="1">IF(TYPE(VLOOKUP($A30,'2.kolo'!$L$3:$L$66,1,0))&gt;3,IF(TYPE(VLOOKUP($A30,'2.kolo'!$O$3:$Q$66,3,0))&gt;3,0,VLOOKUP($A30,'2.kolo'!$O$3:$Q$66,3,0)),VLOOKUP($A30,'2.kolo'!$L$3:$N$66,3,0))</f>
        <v>1</v>
      </c>
      <c r="AS30" s="318">
        <f t="shared" ca="1" si="20"/>
        <v>0</v>
      </c>
      <c r="AT30" s="397">
        <v>12</v>
      </c>
      <c r="AU30" s="424" t="str">
        <f ca="1">IF(AT30="","",CONCATENATE(TEXT($O30,"0"),IF(Start.listina!$Y$5="","",TEXT(500+$P30,"000")),TEXT(999999*RAND(),"000000")))</f>
        <v>3822989</v>
      </c>
      <c r="AV30" s="318">
        <f t="shared" ca="1" si="3"/>
        <v>0</v>
      </c>
      <c r="AY30" s="318">
        <f ca="1">IF(TYPE(VLOOKUP($A30,'3.kolo'!$L$3:$L$66,1,0))&gt;3,IF(TYPE(VLOOKUP($A30,'3.kolo'!$K$3:$L$66,2,0))&gt;3,0,VLOOKUP($A30,'3.kolo'!$K$3:$L$66,2,0)),VLOOKUP($A30,'3.kolo'!$L$3:$O$66,4,0))</f>
        <v>10</v>
      </c>
      <c r="AZ30" s="318">
        <f ca="1">IF(TYPE(VLOOKUP($A30,'3.kolo'!$L$3:$L$66,1,0))&gt;3,IF(TYPE(VLOOKUP($A30,'3.kolo'!$O$3:$Q$66,2,0))&gt;3,0,VLOOKUP($A30,'3.kolo'!$O$3:$Q$66,2,0)),VLOOKUP($A30,'3.kolo'!$L$3:$N$66,2,0))</f>
        <v>1</v>
      </c>
      <c r="BA30" s="318">
        <f ca="1">IF(TYPE(VLOOKUP($A30,'3.kolo'!$L$3:$L$66,1,0))&gt;3,IF(TYPE(VLOOKUP($A30,'3.kolo'!$O$3:$Q$66,3,0))&gt;3,0,VLOOKUP($A30,'3.kolo'!$O$3:$Q$66,3,0)),VLOOKUP($A30,'3.kolo'!$L$3:$N$66,3,0))</f>
        <v>3</v>
      </c>
      <c r="BB30" s="318">
        <f t="shared" ca="1" si="21"/>
        <v>0</v>
      </c>
      <c r="BC30" s="397">
        <v>11</v>
      </c>
      <c r="BD30" s="424" t="str">
        <f ca="1">IF(BC30="","",CONCATENATE(TEXT($O30,"0"),IF(Start.listina!$Y$5="","",TEXT(500+$P30,"000")),TEXT(999999*RAND(),"000000")))</f>
        <v>3240754</v>
      </c>
      <c r="BE30" s="318">
        <f t="shared" ca="1" si="4"/>
        <v>0</v>
      </c>
      <c r="BH30" s="318">
        <f ca="1">IF(TYPE(VLOOKUP($A30,'4.kolo'!$L$3:$L$66,1,0))&gt;3,IF(TYPE(VLOOKUP($A30,'4.kolo'!$K$3:$L$66,2,0))&gt;3,0,VLOOKUP($A30,'4.kolo'!$K$3:$L$66,2,0)),VLOOKUP($A30,'4.kolo'!$L$3:$O$66,4,0))</f>
        <v>2</v>
      </c>
      <c r="BI30" s="318">
        <f ca="1">IF(TYPE(VLOOKUP($A30,'4.kolo'!$L$3:$L$66,1,0))&gt;3,IF(TYPE(VLOOKUP($A30,'4.kolo'!$O$3:$Q$66,2,0))&gt;3,0,VLOOKUP($A30,'4.kolo'!$O$3:$Q$66,2,0)),VLOOKUP($A30,'4.kolo'!$L$3:$N$66,2,0))</f>
        <v>0</v>
      </c>
      <c r="BJ30" s="318">
        <f ca="1">IF(TYPE(VLOOKUP($A30,'4.kolo'!$L$3:$L$66,1,0))&gt;3,IF(TYPE(VLOOKUP($A30,'4.kolo'!$O$3:$Q$66,3,0))&gt;3,0,VLOOKUP($A30,'4.kolo'!$O$3:$Q$66,3,0)),VLOOKUP($A30,'4.kolo'!$L$3:$N$66,3,0))</f>
        <v>-10</v>
      </c>
      <c r="BK30" s="318">
        <f t="shared" ca="1" si="22"/>
        <v>0</v>
      </c>
      <c r="BL30" s="397">
        <v>9</v>
      </c>
      <c r="BM30" s="424" t="str">
        <f ca="1">IF(BL30="","",CONCATENATE(TEXT($O30,"0"),IF(Start.listina!$Y$5="","",TEXT(500+$P30,"000")),TEXT(999999*RAND(),"000000")))</f>
        <v>3942071</v>
      </c>
      <c r="BN30" s="318">
        <f t="shared" ca="1" si="5"/>
        <v>0</v>
      </c>
      <c r="BQ30" s="318">
        <f ca="1">IF(TYPE(VLOOKUP($A30,'5.kolo'!$L$3:$L$66,1,0))&gt;3,IF(TYPE(VLOOKUP($A30,'5.kolo'!$K$3:$L$66,2,0))&gt;3,0,VLOOKUP($A30,'5.kolo'!$K$3:$L$66,2,0)),VLOOKUP($A30,'5.kolo'!$L$3:$O$66,4,0))</f>
        <v>0</v>
      </c>
      <c r="BR30" s="318">
        <f ca="1">IF(TYPE(VLOOKUP($A30,'5.kolo'!$L$3:$L$66,1,0))&gt;3,IF(TYPE(VLOOKUP($A30,'5.kolo'!$O$3:$Q$66,2,0))&gt;3,0,VLOOKUP($A30,'5.kolo'!$O$3:$Q$66,2,0)),VLOOKUP($A30,'5.kolo'!$L$3:$N$66,2,0))</f>
        <v>0</v>
      </c>
      <c r="BS30" s="318">
        <f ca="1">IF(TYPE(VLOOKUP($A30,'5.kolo'!$L$3:$L$66,1,0))&gt;3,IF(TYPE(VLOOKUP($A30,'5.kolo'!$O$3:$Q$66,3,0))&gt;3,0,VLOOKUP($A30,'5.kolo'!$O$3:$Q$66,3,0)),VLOOKUP($A30,'5.kolo'!$L$3:$N$66,3,0))</f>
        <v>0</v>
      </c>
      <c r="BT30" s="318">
        <f t="shared" ca="1" si="23"/>
        <v>0</v>
      </c>
      <c r="BU30" s="397"/>
      <c r="BV30" s="424" t="str">
        <f ca="1">IF(BU30="","",CONCATENATE(TEXT($O30,"0"),IF(Start.listina!$Y$5="","",TEXT(500+$P30,"000")),TEXT(999999*RAND(),"000000")))</f>
        <v/>
      </c>
      <c r="BW30" s="318">
        <f t="shared" ca="1" si="6"/>
        <v>0</v>
      </c>
      <c r="BZ30" s="318">
        <f ca="1">IF(TYPE(VLOOKUP($A30,'6.kolo'!$L$3:$L$66,1,0))&gt;3,IF(TYPE(VLOOKUP($A30,'6.kolo'!$K$3:$L$66,2,0))&gt;3,0,VLOOKUP($A30,'6.kolo'!$K$3:$L$66,2,0)),VLOOKUP($A30,'6.kolo'!$L$3:$O$66,4,0))</f>
        <v>0</v>
      </c>
      <c r="CA30" s="318">
        <f ca="1">IF(TYPE(VLOOKUP($A30,'6.kolo'!$L$3:$L$66,1,0))&gt;3,IF(TYPE(VLOOKUP($A30,'6.kolo'!$O$3:$Q$66,2,0))&gt;3,0,VLOOKUP($A30,'6.kolo'!$O$3:$Q$66,2,0)),VLOOKUP($A30,'6.kolo'!$L$3:$N$66,2,0))</f>
        <v>0</v>
      </c>
      <c r="CB30" s="318">
        <f ca="1">IF(TYPE(VLOOKUP($A30,'6.kolo'!$L$3:$L$66,1,0))&gt;3,IF(TYPE(VLOOKUP($A30,'6.kolo'!$O$3:$Q$66,3,0))&gt;3,0,VLOOKUP($A30,'6.kolo'!$O$3:$Q$66,3,0)),VLOOKUP($A30,'6.kolo'!$L$3:$N$66,3,0))</f>
        <v>0</v>
      </c>
      <c r="CC30" s="318">
        <f t="shared" ca="1" si="24"/>
        <v>0</v>
      </c>
      <c r="CD30" s="397"/>
      <c r="CE30" s="424" t="str">
        <f ca="1">IF(CD30="","",CONCATENATE(TEXT($O30,"0"),IF(Start.listina!$Y$5="","",TEXT(500+$P30,"000")),TEXT(999999*RAND(),"000000")))</f>
        <v/>
      </c>
      <c r="CF30" s="318">
        <f t="shared" ca="1" si="7"/>
        <v>0</v>
      </c>
    </row>
    <row r="31" spans="1:84" x14ac:dyDescent="0.4">
      <c r="A31" s="318">
        <f ca="1">IF(OR(Start.listina!H39&gt;Start.listina!$K$7,Start.listina!G39=TRUE),"",Start.listina!H39)</f>
        <v>29</v>
      </c>
      <c r="B31" s="318">
        <f ca="1">IF($A31&gt;Start.listina!$K$7,"",INT(($A31-1)/Start.listina!$O$7)+1)</f>
        <v>1</v>
      </c>
      <c r="C31" s="421" t="str">
        <f ca="1">IF(OR(Start.listina!H39&gt;Start.listina!$K$7,Start.listina!G39=TRUE)," - ",Start.listina!AL39)</f>
        <v>29 PC Mimo Done - Zikmunda Martin</v>
      </c>
      <c r="D31" s="318">
        <f ca="1">IF(OR(A31&gt;Start.listina!$K$7,TYPE(VLOOKUP(A31,$V$3:$X$130,3,0))&gt;3),"",VLOOKUP(A31,$V$3:$X$130,3,0))</f>
        <v>28</v>
      </c>
      <c r="E31" s="422">
        <f ca="1">IF(A31&gt;Start.listina!$K$7,"",IF(MIN(F31:K31)&gt;Start.listina!$Y$4,D31,MIN(F31:K31)))</f>
        <v>28</v>
      </c>
      <c r="F31" s="318">
        <f ca="1">IF(TYPE(VLOOKUP(C31,Konečné_pořadí_1_16!$B$2:$D$17,3,0))&lt;4,VLOOKUP(C31,Konečné_pořadí_1_16!$B$2:$D$17,3,0),999)</f>
        <v>999</v>
      </c>
      <c r="G31" s="318">
        <f ca="1">IF(TYPE(VLOOKUP(C31,'KO64'!$D$4:$D$129,1,0))&lt;4,64,999)</f>
        <v>999</v>
      </c>
      <c r="H31" s="318">
        <f ca="1">IF(TYPE(VLOOKUP(C31,'KO32'!$D$4:$D$65,1,0))&lt;4,32,999)</f>
        <v>999</v>
      </c>
      <c r="I31" s="318">
        <f ca="1">IF(TYPE(VLOOKUP(C31,'KO16'!$D$4:$D$33,1,0))&lt;4,16,999)</f>
        <v>999</v>
      </c>
      <c r="J31" s="318">
        <f ca="1">IF(TYPE(VLOOKUP(C31,'KO8'!$D$4:$D$17,1,0))&lt;4,8,999)</f>
        <v>999</v>
      </c>
      <c r="K31" s="318">
        <f ca="1">IF(TYPE(VLOOKUP(C31,'KO4'!$D$4:$D$9,1,0))&lt;4,4,999)</f>
        <v>999</v>
      </c>
      <c r="M31" s="319">
        <v>29</v>
      </c>
      <c r="O31" s="318">
        <f t="shared" ca="1" si="8"/>
        <v>2</v>
      </c>
      <c r="P31" s="318">
        <f t="shared" ca="1" si="9"/>
        <v>10</v>
      </c>
      <c r="Q31" s="318">
        <f t="shared" ca="1" si="0"/>
        <v>8</v>
      </c>
      <c r="R31" s="318">
        <f t="shared" ca="1" si="1"/>
        <v>1</v>
      </c>
      <c r="S31" s="318">
        <f t="shared" ca="1" si="10"/>
        <v>33</v>
      </c>
      <c r="T31" s="318">
        <f t="shared" ca="1" si="11"/>
        <v>2</v>
      </c>
      <c r="U31" s="397">
        <f t="shared" si="25"/>
        <v>29</v>
      </c>
      <c r="V31" s="397">
        <v>11</v>
      </c>
      <c r="W31" s="423" t="str">
        <f ca="1">IF($V31="","",CONCATENATE(TEXT($O31,"0"),IF(Start.listina!$Y$5="","",TEXT(500+$P31,"0000")),IF(Start.listina!$Y$6="","",CHOOSE(Start.listina!$Y$7,TEXT($Q31,"00"),CONCATENATE(TEXT($Q31,"00"),TEXT($S31,"000")), TEXT($R31,"00"))),TEXT(500+$P31,"0000"),IF(Start.listina!$Y$8="","",TEXT($T31,"0")),TEXT(999999*RAND(),"000000")))</f>
        <v>2080330510075454</v>
      </c>
      <c r="X31" s="399">
        <f t="shared" si="12"/>
        <v>29</v>
      </c>
      <c r="Y31" s="397">
        <f t="shared" ca="1" si="2"/>
        <v>2</v>
      </c>
      <c r="Z31" s="318">
        <f t="shared" ca="1" si="13"/>
        <v>1</v>
      </c>
      <c r="AA31" s="318">
        <f t="shared" ca="1" si="14"/>
        <v>31</v>
      </c>
      <c r="AB31" s="318">
        <f t="shared" ca="1" si="15"/>
        <v>24</v>
      </c>
      <c r="AC31" s="318">
        <f t="shared" ca="1" si="16"/>
        <v>30</v>
      </c>
      <c r="AD31" s="318">
        <f t="shared" ca="1" si="17"/>
        <v>0</v>
      </c>
      <c r="AE31" s="318">
        <f t="shared" ca="1" si="18"/>
        <v>0</v>
      </c>
      <c r="AG31" s="318">
        <f ca="1">IF(TYPE(VLOOKUP($A31,'1.kolo'!$L$3:$L$66,1,0))&gt;3,VLOOKUP($A31,'1.kolo'!$K$3:$L$66,2,0),VLOOKUP($A31,'1.kolo'!$L$3:$O$66,4,0))</f>
        <v>1</v>
      </c>
      <c r="AH31" s="318">
        <f ca="1">IF(TYPE(VLOOKUP($A31,'1.kolo'!$L$3:$L$66,1,0))&gt;3,VLOOKUP($A31,'1.kolo'!$O$3:$Q$66,2,0),VLOOKUP($A31,'1.kolo'!$L$3:$N$66,2,0))</f>
        <v>0</v>
      </c>
      <c r="AI31" s="318">
        <f ca="1">IF(TYPE(VLOOKUP($A31,'1.kolo'!$L$3:$L$66,1,0))&gt;3,VLOOKUP($A31,'1.kolo'!$O$3:$Q$66,3,0),VLOOKUP($A31,'1.kolo'!$L$3:$N$66,3,0))</f>
        <v>-4</v>
      </c>
      <c r="AJ31" s="318">
        <f t="shared" ca="1" si="19"/>
        <v>0</v>
      </c>
      <c r="AK31" s="318">
        <v>29</v>
      </c>
      <c r="AL31" s="424"/>
      <c r="AP31" s="318">
        <f ca="1">IF(TYPE(VLOOKUP($A31,'2.kolo'!$L$3:$L$66,1,0))&gt;3,IF(TYPE(VLOOKUP($A31,'2.kolo'!$K$3:$L$66,2,0))&gt;3,0,VLOOKUP($A31,'2.kolo'!$K$3:$L$66,2,0)),VLOOKUP($A31,'2.kolo'!$L$3:$O$66,4,0))</f>
        <v>31</v>
      </c>
      <c r="AQ31" s="318">
        <f ca="1">IF(TYPE(VLOOKUP($A31,'2.kolo'!$L$3:$L$66,1,0))&gt;3,IF(TYPE(VLOOKUP($A31,'2.kolo'!$O$3:$Q$66,2,0))&gt;3,0,VLOOKUP($A31,'2.kolo'!$O$3:$Q$66,2,0)),VLOOKUP($A31,'2.kolo'!$L$3:$N$66,2,0))</f>
        <v>1</v>
      </c>
      <c r="AR31" s="318">
        <f ca="1">IF(TYPE(VLOOKUP($A31,'2.kolo'!$L$3:$L$66,1,0))&gt;3,IF(TYPE(VLOOKUP($A31,'2.kolo'!$O$3:$Q$66,3,0))&gt;3,0,VLOOKUP($A31,'2.kolo'!$O$3:$Q$66,3,0)),VLOOKUP($A31,'2.kolo'!$L$3:$N$66,3,0))</f>
        <v>9</v>
      </c>
      <c r="AS31" s="318">
        <f t="shared" ca="1" si="20"/>
        <v>1</v>
      </c>
      <c r="AT31" s="397">
        <v>54</v>
      </c>
      <c r="AU31" s="424" t="str">
        <f ca="1">IF(AT31="","",CONCATENATE(TEXT($O31,"0"),IF(Start.listina!$Y$5="","",TEXT(500+$P31,"000")),TEXT(999999*RAND(),"000000")))</f>
        <v>2083567</v>
      </c>
      <c r="AV31" s="318">
        <f t="shared" ca="1" si="3"/>
        <v>0</v>
      </c>
      <c r="AY31" s="318">
        <f ca="1">IF(TYPE(VLOOKUP($A31,'3.kolo'!$L$3:$L$66,1,0))&gt;3,IF(TYPE(VLOOKUP($A31,'3.kolo'!$K$3:$L$66,2,0))&gt;3,0,VLOOKUP($A31,'3.kolo'!$K$3:$L$66,2,0)),VLOOKUP($A31,'3.kolo'!$L$3:$O$66,4,0))</f>
        <v>24</v>
      </c>
      <c r="AZ31" s="318">
        <f ca="1">IF(TYPE(VLOOKUP($A31,'3.kolo'!$L$3:$L$66,1,0))&gt;3,IF(TYPE(VLOOKUP($A31,'3.kolo'!$O$3:$Q$66,2,0))&gt;3,0,VLOOKUP($A31,'3.kolo'!$O$3:$Q$66,2,0)),VLOOKUP($A31,'3.kolo'!$L$3:$N$66,2,0))</f>
        <v>0</v>
      </c>
      <c r="BA31" s="318">
        <f ca="1">IF(TYPE(VLOOKUP($A31,'3.kolo'!$L$3:$L$66,1,0))&gt;3,IF(TYPE(VLOOKUP($A31,'3.kolo'!$O$3:$Q$66,3,0))&gt;3,0,VLOOKUP($A31,'3.kolo'!$O$3:$Q$66,3,0)),VLOOKUP($A31,'3.kolo'!$L$3:$N$66,3,0))</f>
        <v>-1</v>
      </c>
      <c r="BB31" s="318">
        <f t="shared" ca="1" si="21"/>
        <v>0</v>
      </c>
      <c r="BC31" s="397">
        <v>39</v>
      </c>
      <c r="BD31" s="424" t="str">
        <f ca="1">IF(BC31="","",CONCATENATE(TEXT($O31,"0"),IF(Start.listina!$Y$5="","",TEXT(500+$P31,"000")),TEXT(999999*RAND(),"000000")))</f>
        <v>2302899</v>
      </c>
      <c r="BE31" s="318">
        <f t="shared" ca="1" si="4"/>
        <v>0</v>
      </c>
      <c r="BH31" s="318">
        <f ca="1">IF(TYPE(VLOOKUP($A31,'4.kolo'!$L$3:$L$66,1,0))&gt;3,IF(TYPE(VLOOKUP($A31,'4.kolo'!$K$3:$L$66,2,0))&gt;3,0,VLOOKUP($A31,'4.kolo'!$K$3:$L$66,2,0)),VLOOKUP($A31,'4.kolo'!$L$3:$O$66,4,0))</f>
        <v>30</v>
      </c>
      <c r="BI31" s="318">
        <f ca="1">IF(TYPE(VLOOKUP($A31,'4.kolo'!$L$3:$L$66,1,0))&gt;3,IF(TYPE(VLOOKUP($A31,'4.kolo'!$O$3:$Q$66,2,0))&gt;3,0,VLOOKUP($A31,'4.kolo'!$O$3:$Q$66,2,0)),VLOOKUP($A31,'4.kolo'!$L$3:$N$66,2,0))</f>
        <v>1</v>
      </c>
      <c r="BJ31" s="318">
        <f ca="1">IF(TYPE(VLOOKUP($A31,'4.kolo'!$L$3:$L$66,1,0))&gt;3,IF(TYPE(VLOOKUP($A31,'4.kolo'!$O$3:$Q$66,3,0))&gt;3,0,VLOOKUP($A31,'4.kolo'!$O$3:$Q$66,3,0)),VLOOKUP($A31,'4.kolo'!$L$3:$N$66,3,0))</f>
        <v>6</v>
      </c>
      <c r="BK31" s="318">
        <f t="shared" ca="1" si="22"/>
        <v>1</v>
      </c>
      <c r="BL31" s="397">
        <v>26</v>
      </c>
      <c r="BM31" s="424" t="str">
        <f ca="1">IF(BL31="","",CONCATENATE(TEXT($O31,"0"),IF(Start.listina!$Y$5="","",TEXT(500+$P31,"000")),TEXT(999999*RAND(),"000000")))</f>
        <v>2621824</v>
      </c>
      <c r="BN31" s="318">
        <f t="shared" ca="1" si="5"/>
        <v>0</v>
      </c>
      <c r="BQ31" s="318">
        <f ca="1">IF(TYPE(VLOOKUP($A31,'5.kolo'!$L$3:$L$66,1,0))&gt;3,IF(TYPE(VLOOKUP($A31,'5.kolo'!$K$3:$L$66,2,0))&gt;3,0,VLOOKUP($A31,'5.kolo'!$K$3:$L$66,2,0)),VLOOKUP($A31,'5.kolo'!$L$3:$O$66,4,0))</f>
        <v>0</v>
      </c>
      <c r="BR31" s="318">
        <f ca="1">IF(TYPE(VLOOKUP($A31,'5.kolo'!$L$3:$L$66,1,0))&gt;3,IF(TYPE(VLOOKUP($A31,'5.kolo'!$O$3:$Q$66,2,0))&gt;3,0,VLOOKUP($A31,'5.kolo'!$O$3:$Q$66,2,0)),VLOOKUP($A31,'5.kolo'!$L$3:$N$66,2,0))</f>
        <v>0</v>
      </c>
      <c r="BS31" s="318">
        <f ca="1">IF(TYPE(VLOOKUP($A31,'5.kolo'!$L$3:$L$66,1,0))&gt;3,IF(TYPE(VLOOKUP($A31,'5.kolo'!$O$3:$Q$66,3,0))&gt;3,0,VLOOKUP($A31,'5.kolo'!$O$3:$Q$66,3,0)),VLOOKUP($A31,'5.kolo'!$L$3:$N$66,3,0))</f>
        <v>0</v>
      </c>
      <c r="BT31" s="318">
        <f t="shared" ca="1" si="23"/>
        <v>0</v>
      </c>
      <c r="BU31" s="397"/>
      <c r="BV31" s="424" t="str">
        <f ca="1">IF(BU31="","",CONCATENATE(TEXT($O31,"0"),IF(Start.listina!$Y$5="","",TEXT(500+$P31,"000")),TEXT(999999*RAND(),"000000")))</f>
        <v/>
      </c>
      <c r="BW31" s="318">
        <f t="shared" ca="1" si="6"/>
        <v>0</v>
      </c>
      <c r="BZ31" s="318">
        <f ca="1">IF(TYPE(VLOOKUP($A31,'6.kolo'!$L$3:$L$66,1,0))&gt;3,IF(TYPE(VLOOKUP($A31,'6.kolo'!$K$3:$L$66,2,0))&gt;3,0,VLOOKUP($A31,'6.kolo'!$K$3:$L$66,2,0)),VLOOKUP($A31,'6.kolo'!$L$3:$O$66,4,0))</f>
        <v>0</v>
      </c>
      <c r="CA31" s="318">
        <f ca="1">IF(TYPE(VLOOKUP($A31,'6.kolo'!$L$3:$L$66,1,0))&gt;3,IF(TYPE(VLOOKUP($A31,'6.kolo'!$O$3:$Q$66,2,0))&gt;3,0,VLOOKUP($A31,'6.kolo'!$O$3:$Q$66,2,0)),VLOOKUP($A31,'6.kolo'!$L$3:$N$66,2,0))</f>
        <v>0</v>
      </c>
      <c r="CB31" s="318">
        <f ca="1">IF(TYPE(VLOOKUP($A31,'6.kolo'!$L$3:$L$66,1,0))&gt;3,IF(TYPE(VLOOKUP($A31,'6.kolo'!$O$3:$Q$66,3,0))&gt;3,0,VLOOKUP($A31,'6.kolo'!$O$3:$Q$66,3,0)),VLOOKUP($A31,'6.kolo'!$L$3:$N$66,3,0))</f>
        <v>0</v>
      </c>
      <c r="CC31" s="318">
        <f t="shared" ca="1" si="24"/>
        <v>0</v>
      </c>
      <c r="CD31" s="397"/>
      <c r="CE31" s="424" t="str">
        <f ca="1">IF(CD31="","",CONCATENATE(TEXT($O31,"0"),IF(Start.listina!$Y$5="","",TEXT(500+$P31,"000")),TEXT(999999*RAND(),"000000")))</f>
        <v/>
      </c>
      <c r="CF31" s="318">
        <f t="shared" ca="1" si="7"/>
        <v>0</v>
      </c>
    </row>
    <row r="32" spans="1:84" x14ac:dyDescent="0.4">
      <c r="A32" s="318">
        <f ca="1">IF(OR(Start.listina!H40&gt;Start.listina!$K$7,Start.listina!G40=TRUE),"",Start.listina!H40)</f>
        <v>30</v>
      </c>
      <c r="B32" s="318">
        <f ca="1">IF($A32&gt;Start.listina!$K$7,"",INT(($A32-1)/Start.listina!$O$7)+1)</f>
        <v>2</v>
      </c>
      <c r="C32" s="421" t="str">
        <f ca="1">IF(OR(Start.listina!H40&gt;Start.listina!$K$7,Start.listina!G40=TRUE)," - ",Start.listina!AL40)</f>
        <v>30 PC Přítkov - Blaščák Ondřej</v>
      </c>
      <c r="D32" s="318">
        <f ca="1">IF(OR(A32&gt;Start.listina!$K$7,TYPE(VLOOKUP(A32,$V$3:$X$130,3,0))&gt;3),"",VLOOKUP(A32,$V$3:$X$130,3,0))</f>
        <v>55</v>
      </c>
      <c r="E32" s="422">
        <f ca="1">IF(A32&gt;Start.listina!$K$7,"",IF(MIN(F32:K32)&gt;Start.listina!$Y$4,D32,MIN(F32:K32)))</f>
        <v>55</v>
      </c>
      <c r="F32" s="318">
        <f ca="1">IF(TYPE(VLOOKUP(C32,Konečné_pořadí_1_16!$B$2:$D$17,3,0))&lt;4,VLOOKUP(C32,Konečné_pořadí_1_16!$B$2:$D$17,3,0),999)</f>
        <v>999</v>
      </c>
      <c r="G32" s="318">
        <f ca="1">IF(TYPE(VLOOKUP(C32,'KO64'!$D$4:$D$129,1,0))&lt;4,64,999)</f>
        <v>999</v>
      </c>
      <c r="H32" s="318">
        <f ca="1">IF(TYPE(VLOOKUP(C32,'KO32'!$D$4:$D$65,1,0))&lt;4,32,999)</f>
        <v>999</v>
      </c>
      <c r="I32" s="318">
        <f ca="1">IF(TYPE(VLOOKUP(C32,'KO16'!$D$4:$D$33,1,0))&lt;4,16,999)</f>
        <v>999</v>
      </c>
      <c r="J32" s="318">
        <f ca="1">IF(TYPE(VLOOKUP(C32,'KO8'!$D$4:$D$17,1,0))&lt;4,8,999)</f>
        <v>999</v>
      </c>
      <c r="K32" s="318">
        <f ca="1">IF(TYPE(VLOOKUP(C32,'KO4'!$D$4:$D$9,1,0))&lt;4,4,999)</f>
        <v>999</v>
      </c>
      <c r="M32" s="319">
        <v>30</v>
      </c>
      <c r="O32" s="318">
        <f t="shared" ca="1" si="8"/>
        <v>0</v>
      </c>
      <c r="P32" s="318">
        <f t="shared" ca="1" si="9"/>
        <v>-24</v>
      </c>
      <c r="Q32" s="318">
        <f t="shared" ca="1" si="0"/>
        <v>10</v>
      </c>
      <c r="R32" s="318">
        <f t="shared" ca="1" si="1"/>
        <v>0</v>
      </c>
      <c r="S32" s="318">
        <f t="shared" ca="1" si="10"/>
        <v>26</v>
      </c>
      <c r="T32" s="318">
        <f t="shared" ca="1" si="11"/>
        <v>0</v>
      </c>
      <c r="U32" s="397">
        <f t="shared" si="25"/>
        <v>30</v>
      </c>
      <c r="V32" s="397">
        <v>53</v>
      </c>
      <c r="W32" s="423" t="str">
        <f ca="1">IF($V32="","",CONCATENATE(TEXT($O32,"0"),IF(Start.listina!$Y$5="","",TEXT(500+$P32,"0000")),IF(Start.listina!$Y$6="","",CHOOSE(Start.listina!$Y$7,TEXT($Q32,"00"),CONCATENATE(TEXT($Q32,"00"),TEXT($S32,"000")), TEXT($R32,"00"))),TEXT(500+$P32,"0000"),IF(Start.listina!$Y$8="","",TEXT($T32,"0")),TEXT(999999*RAND(),"000000")))</f>
        <v>0100260476006335</v>
      </c>
      <c r="X32" s="399">
        <f t="shared" si="12"/>
        <v>30</v>
      </c>
      <c r="Y32" s="397">
        <f t="shared" ca="1" si="2"/>
        <v>2</v>
      </c>
      <c r="Z32" s="318">
        <f t="shared" ca="1" si="13"/>
        <v>2</v>
      </c>
      <c r="AA32" s="318">
        <f t="shared" ca="1" si="14"/>
        <v>45</v>
      </c>
      <c r="AB32" s="318">
        <f t="shared" ca="1" si="15"/>
        <v>6</v>
      </c>
      <c r="AC32" s="318">
        <f t="shared" ca="1" si="16"/>
        <v>29</v>
      </c>
      <c r="AD32" s="318">
        <f t="shared" ca="1" si="17"/>
        <v>0</v>
      </c>
      <c r="AE32" s="318">
        <f t="shared" ca="1" si="18"/>
        <v>0</v>
      </c>
      <c r="AG32" s="318">
        <f ca="1">IF(TYPE(VLOOKUP($A32,'1.kolo'!$L$3:$L$66,1,0))&gt;3,VLOOKUP($A32,'1.kolo'!$K$3:$L$66,2,0),VLOOKUP($A32,'1.kolo'!$L$3:$O$66,4,0))</f>
        <v>2</v>
      </c>
      <c r="AH32" s="318">
        <f ca="1">IF(TYPE(VLOOKUP($A32,'1.kolo'!$L$3:$L$66,1,0))&gt;3,VLOOKUP($A32,'1.kolo'!$O$3:$Q$66,2,0),VLOOKUP($A32,'1.kolo'!$L$3:$N$66,2,0))</f>
        <v>0</v>
      </c>
      <c r="AI32" s="318">
        <f ca="1">IF(TYPE(VLOOKUP($A32,'1.kolo'!$L$3:$L$66,1,0))&gt;3,VLOOKUP($A32,'1.kolo'!$O$3:$Q$66,3,0),VLOOKUP($A32,'1.kolo'!$L$3:$N$66,3,0))</f>
        <v>-13</v>
      </c>
      <c r="AJ32" s="318">
        <f t="shared" ca="1" si="19"/>
        <v>0</v>
      </c>
      <c r="AK32" s="318">
        <v>30</v>
      </c>
      <c r="AL32" s="424"/>
      <c r="AP32" s="318">
        <f ca="1">IF(TYPE(VLOOKUP($A32,'2.kolo'!$L$3:$L$66,1,0))&gt;3,IF(TYPE(VLOOKUP($A32,'2.kolo'!$K$3:$L$66,2,0))&gt;3,0,VLOOKUP($A32,'2.kolo'!$K$3:$L$66,2,0)),VLOOKUP($A32,'2.kolo'!$L$3:$O$66,4,0))</f>
        <v>45</v>
      </c>
      <c r="AQ32" s="318">
        <f ca="1">IF(TYPE(VLOOKUP($A32,'2.kolo'!$L$3:$L$66,1,0))&gt;3,IF(TYPE(VLOOKUP($A32,'2.kolo'!$O$3:$Q$66,2,0))&gt;3,0,VLOOKUP($A32,'2.kolo'!$O$3:$Q$66,2,0)),VLOOKUP($A32,'2.kolo'!$L$3:$N$66,2,0))</f>
        <v>0</v>
      </c>
      <c r="AR32" s="318">
        <f ca="1">IF(TYPE(VLOOKUP($A32,'2.kolo'!$L$3:$L$66,1,0))&gt;3,IF(TYPE(VLOOKUP($A32,'2.kolo'!$O$3:$Q$66,3,0))&gt;3,0,VLOOKUP($A32,'2.kolo'!$O$3:$Q$66,3,0)),VLOOKUP($A32,'2.kolo'!$L$3:$N$66,3,0))</f>
        <v>-4</v>
      </c>
      <c r="AS32" s="318">
        <f t="shared" ca="1" si="20"/>
        <v>0</v>
      </c>
      <c r="AT32" s="397">
        <v>33</v>
      </c>
      <c r="AU32" s="424" t="str">
        <f ca="1">IF(AT32="","",CONCATENATE(TEXT($O32,"0"),IF(Start.listina!$Y$5="","",TEXT(500+$P32,"000")),TEXT(999999*RAND(),"000000")))</f>
        <v>0398929</v>
      </c>
      <c r="AV32" s="318">
        <f t="shared" ca="1" si="3"/>
        <v>0</v>
      </c>
      <c r="AY32" s="318">
        <f ca="1">IF(TYPE(VLOOKUP($A32,'3.kolo'!$L$3:$L$66,1,0))&gt;3,IF(TYPE(VLOOKUP($A32,'3.kolo'!$K$3:$L$66,2,0))&gt;3,0,VLOOKUP($A32,'3.kolo'!$K$3:$L$66,2,0)),VLOOKUP($A32,'3.kolo'!$L$3:$O$66,4,0))</f>
        <v>6</v>
      </c>
      <c r="AZ32" s="318">
        <f ca="1">IF(TYPE(VLOOKUP($A32,'3.kolo'!$L$3:$L$66,1,0))&gt;3,IF(TYPE(VLOOKUP($A32,'3.kolo'!$O$3:$Q$66,2,0))&gt;3,0,VLOOKUP($A32,'3.kolo'!$O$3:$Q$66,2,0)),VLOOKUP($A32,'3.kolo'!$L$3:$N$66,2,0))</f>
        <v>0</v>
      </c>
      <c r="BA32" s="318">
        <f ca="1">IF(TYPE(VLOOKUP($A32,'3.kolo'!$L$3:$L$66,1,0))&gt;3,IF(TYPE(VLOOKUP($A32,'3.kolo'!$O$3:$Q$66,3,0))&gt;3,0,VLOOKUP($A32,'3.kolo'!$O$3:$Q$66,3,0)),VLOOKUP($A32,'3.kolo'!$L$3:$N$66,3,0))</f>
        <v>-1</v>
      </c>
      <c r="BB32" s="318">
        <f t="shared" ca="1" si="21"/>
        <v>0</v>
      </c>
      <c r="BC32" s="397">
        <v>18</v>
      </c>
      <c r="BD32" s="424" t="str">
        <f ca="1">IF(BC32="","",CONCATENATE(TEXT($O32,"0"),IF(Start.listina!$Y$5="","",TEXT(500+$P32,"000")),TEXT(999999*RAND(),"000000")))</f>
        <v>0149424</v>
      </c>
      <c r="BE32" s="318">
        <f t="shared" ca="1" si="4"/>
        <v>0</v>
      </c>
      <c r="BH32" s="318">
        <f ca="1">IF(TYPE(VLOOKUP($A32,'4.kolo'!$L$3:$L$66,1,0))&gt;3,IF(TYPE(VLOOKUP($A32,'4.kolo'!$K$3:$L$66,2,0))&gt;3,0,VLOOKUP($A32,'4.kolo'!$K$3:$L$66,2,0)),VLOOKUP($A32,'4.kolo'!$L$3:$O$66,4,0))</f>
        <v>29</v>
      </c>
      <c r="BI32" s="318">
        <f ca="1">IF(TYPE(VLOOKUP($A32,'4.kolo'!$L$3:$L$66,1,0))&gt;3,IF(TYPE(VLOOKUP($A32,'4.kolo'!$O$3:$Q$66,2,0))&gt;3,0,VLOOKUP($A32,'4.kolo'!$O$3:$Q$66,2,0)),VLOOKUP($A32,'4.kolo'!$L$3:$N$66,2,0))</f>
        <v>0</v>
      </c>
      <c r="BJ32" s="318">
        <f ca="1">IF(TYPE(VLOOKUP($A32,'4.kolo'!$L$3:$L$66,1,0))&gt;3,IF(TYPE(VLOOKUP($A32,'4.kolo'!$O$3:$Q$66,3,0))&gt;3,0,VLOOKUP($A32,'4.kolo'!$O$3:$Q$66,3,0)),VLOOKUP($A32,'4.kolo'!$L$3:$N$66,3,0))</f>
        <v>-6</v>
      </c>
      <c r="BK32" s="318">
        <f t="shared" ca="1" si="22"/>
        <v>0</v>
      </c>
      <c r="BL32" s="397">
        <v>40</v>
      </c>
      <c r="BM32" s="424" t="str">
        <f ca="1">IF(BL32="","",CONCATENATE(TEXT($O32,"0"),IF(Start.listina!$Y$5="","",TEXT(500+$P32,"000")),TEXT(999999*RAND(),"000000")))</f>
        <v>0970184</v>
      </c>
      <c r="BN32" s="318">
        <f t="shared" ca="1" si="5"/>
        <v>0</v>
      </c>
      <c r="BQ32" s="318">
        <f ca="1">IF(TYPE(VLOOKUP($A32,'5.kolo'!$L$3:$L$66,1,0))&gt;3,IF(TYPE(VLOOKUP($A32,'5.kolo'!$K$3:$L$66,2,0))&gt;3,0,VLOOKUP($A32,'5.kolo'!$K$3:$L$66,2,0)),VLOOKUP($A32,'5.kolo'!$L$3:$O$66,4,0))</f>
        <v>0</v>
      </c>
      <c r="BR32" s="318">
        <f ca="1">IF(TYPE(VLOOKUP($A32,'5.kolo'!$L$3:$L$66,1,0))&gt;3,IF(TYPE(VLOOKUP($A32,'5.kolo'!$O$3:$Q$66,2,0))&gt;3,0,VLOOKUP($A32,'5.kolo'!$O$3:$Q$66,2,0)),VLOOKUP($A32,'5.kolo'!$L$3:$N$66,2,0))</f>
        <v>0</v>
      </c>
      <c r="BS32" s="318">
        <f ca="1">IF(TYPE(VLOOKUP($A32,'5.kolo'!$L$3:$L$66,1,0))&gt;3,IF(TYPE(VLOOKUP($A32,'5.kolo'!$O$3:$Q$66,3,0))&gt;3,0,VLOOKUP($A32,'5.kolo'!$O$3:$Q$66,3,0)),VLOOKUP($A32,'5.kolo'!$L$3:$N$66,3,0))</f>
        <v>0</v>
      </c>
      <c r="BT32" s="318">
        <f t="shared" ca="1" si="23"/>
        <v>0</v>
      </c>
      <c r="BU32" s="397"/>
      <c r="BV32" s="424" t="str">
        <f ca="1">IF(BU32="","",CONCATENATE(TEXT($O32,"0"),IF(Start.listina!$Y$5="","",TEXT(500+$P32,"000")),TEXT(999999*RAND(),"000000")))</f>
        <v/>
      </c>
      <c r="BW32" s="318">
        <f t="shared" ca="1" si="6"/>
        <v>0</v>
      </c>
      <c r="BZ32" s="318">
        <f ca="1">IF(TYPE(VLOOKUP($A32,'6.kolo'!$L$3:$L$66,1,0))&gt;3,IF(TYPE(VLOOKUP($A32,'6.kolo'!$K$3:$L$66,2,0))&gt;3,0,VLOOKUP($A32,'6.kolo'!$K$3:$L$66,2,0)),VLOOKUP($A32,'6.kolo'!$L$3:$O$66,4,0))</f>
        <v>0</v>
      </c>
      <c r="CA32" s="318">
        <f ca="1">IF(TYPE(VLOOKUP($A32,'6.kolo'!$L$3:$L$66,1,0))&gt;3,IF(TYPE(VLOOKUP($A32,'6.kolo'!$O$3:$Q$66,2,0))&gt;3,0,VLOOKUP($A32,'6.kolo'!$O$3:$Q$66,2,0)),VLOOKUP($A32,'6.kolo'!$L$3:$N$66,2,0))</f>
        <v>0</v>
      </c>
      <c r="CB32" s="318">
        <f ca="1">IF(TYPE(VLOOKUP($A32,'6.kolo'!$L$3:$L$66,1,0))&gt;3,IF(TYPE(VLOOKUP($A32,'6.kolo'!$O$3:$Q$66,3,0))&gt;3,0,VLOOKUP($A32,'6.kolo'!$O$3:$Q$66,3,0)),VLOOKUP($A32,'6.kolo'!$L$3:$N$66,3,0))</f>
        <v>0</v>
      </c>
      <c r="CC32" s="318">
        <f t="shared" ca="1" si="24"/>
        <v>0</v>
      </c>
      <c r="CD32" s="397"/>
      <c r="CE32" s="424" t="str">
        <f ca="1">IF(CD32="","",CONCATENATE(TEXT($O32,"0"),IF(Start.listina!$Y$5="","",TEXT(500+$P32,"000")),TEXT(999999*RAND(),"000000")))</f>
        <v/>
      </c>
      <c r="CF32" s="318">
        <f t="shared" ca="1" si="7"/>
        <v>0</v>
      </c>
    </row>
    <row r="33" spans="1:84" x14ac:dyDescent="0.4">
      <c r="A33" s="318">
        <f ca="1">IF(OR(Start.listina!H41&gt;Start.listina!$K$7,Start.listina!G41=TRUE),"",Start.listina!H41)</f>
        <v>31</v>
      </c>
      <c r="B33" s="318">
        <f ca="1">IF($A33&gt;Start.listina!$K$7,"",INT(($A33-1)/Start.listina!$O$7)+1)</f>
        <v>2</v>
      </c>
      <c r="C33" s="421" t="str">
        <f ca="1">IF(OR(Start.listina!H41&gt;Start.listina!$K$7,Start.listina!G41=TRUE)," - ",Start.listina!AL41)</f>
        <v>31 SK Pétanque Řepy - Holoubek Pavel</v>
      </c>
      <c r="D33" s="318">
        <f ca="1">IF(OR(A33&gt;Start.listina!$K$7,TYPE(VLOOKUP(A33,$V$3:$X$130,3,0))&gt;3),"",VLOOKUP(A33,$V$3:$X$130,3,0))</f>
        <v>49</v>
      </c>
      <c r="E33" s="422">
        <f ca="1">IF(A33&gt;Start.listina!$K$7,"",IF(MIN(F33:K33)&gt;Start.listina!$Y$4,D33,MIN(F33:K33)))</f>
        <v>49</v>
      </c>
      <c r="F33" s="318">
        <f ca="1">IF(TYPE(VLOOKUP(C33,Konečné_pořadí_1_16!$B$2:$D$17,3,0))&lt;4,VLOOKUP(C33,Konečné_pořadí_1_16!$B$2:$D$17,3,0),999)</f>
        <v>999</v>
      </c>
      <c r="G33" s="318">
        <f ca="1">IF(TYPE(VLOOKUP(C33,'KO64'!$D$4:$D$129,1,0))&lt;4,64,999)</f>
        <v>999</v>
      </c>
      <c r="H33" s="318">
        <f ca="1">IF(TYPE(VLOOKUP(C33,'KO32'!$D$4:$D$65,1,0))&lt;4,32,999)</f>
        <v>999</v>
      </c>
      <c r="I33" s="318">
        <f ca="1">IF(TYPE(VLOOKUP(C33,'KO16'!$D$4:$D$33,1,0))&lt;4,16,999)</f>
        <v>999</v>
      </c>
      <c r="J33" s="318">
        <f ca="1">IF(TYPE(VLOOKUP(C33,'KO8'!$D$4:$D$17,1,0))&lt;4,8,999)</f>
        <v>999</v>
      </c>
      <c r="K33" s="318">
        <f ca="1">IF(TYPE(VLOOKUP(C33,'KO4'!$D$4:$D$9,1,0))&lt;4,4,999)</f>
        <v>999</v>
      </c>
      <c r="M33" s="319">
        <v>31</v>
      </c>
      <c r="O33" s="318">
        <f t="shared" ca="1" si="8"/>
        <v>1</v>
      </c>
      <c r="P33" s="318">
        <f t="shared" ca="1" si="9"/>
        <v>-23</v>
      </c>
      <c r="Q33" s="318">
        <f t="shared" ca="1" si="0"/>
        <v>6</v>
      </c>
      <c r="R33" s="318">
        <f t="shared" ca="1" si="1"/>
        <v>0</v>
      </c>
      <c r="S33" s="318">
        <f t="shared" ca="1" si="10"/>
        <v>33</v>
      </c>
      <c r="T33" s="318">
        <f t="shared" ca="1" si="11"/>
        <v>1</v>
      </c>
      <c r="U33" s="397">
        <f t="shared" si="25"/>
        <v>31</v>
      </c>
      <c r="V33" s="397">
        <v>57</v>
      </c>
      <c r="W33" s="423" t="str">
        <f ca="1">IF($V33="","",CONCATENATE(TEXT($O33,"0"),IF(Start.listina!$Y$5="","",TEXT(500+$P33,"0000")),IF(Start.listina!$Y$6="","",CHOOSE(Start.listina!$Y$7,TEXT($Q33,"00"),CONCATENATE(TEXT($Q33,"00"),TEXT($S33,"000")), TEXT($R33,"00"))),TEXT(500+$P33,"0000"),IF(Start.listina!$Y$8="","",TEXT($T33,"0")),TEXT(999999*RAND(),"000000")))</f>
        <v>1060330477761085</v>
      </c>
      <c r="X33" s="399">
        <f t="shared" si="12"/>
        <v>31</v>
      </c>
      <c r="Y33" s="397">
        <f t="shared" ca="1" si="2"/>
        <v>2</v>
      </c>
      <c r="Z33" s="318">
        <f t="shared" ca="1" si="13"/>
        <v>3</v>
      </c>
      <c r="AA33" s="318">
        <f t="shared" ca="1" si="14"/>
        <v>29</v>
      </c>
      <c r="AB33" s="318">
        <f t="shared" ca="1" si="15"/>
        <v>42</v>
      </c>
      <c r="AC33" s="318">
        <f t="shared" ca="1" si="16"/>
        <v>43</v>
      </c>
      <c r="AD33" s="318">
        <f t="shared" ca="1" si="17"/>
        <v>0</v>
      </c>
      <c r="AE33" s="318">
        <f t="shared" ca="1" si="18"/>
        <v>0</v>
      </c>
      <c r="AG33" s="318">
        <f ca="1">IF(TYPE(VLOOKUP($A33,'1.kolo'!$L$3:$L$66,1,0))&gt;3,VLOOKUP($A33,'1.kolo'!$K$3:$L$66,2,0),VLOOKUP($A33,'1.kolo'!$L$3:$O$66,4,0))</f>
        <v>3</v>
      </c>
      <c r="AH33" s="318">
        <f ca="1">IF(TYPE(VLOOKUP($A33,'1.kolo'!$L$3:$L$66,1,0))&gt;3,VLOOKUP($A33,'1.kolo'!$O$3:$Q$66,2,0),VLOOKUP($A33,'1.kolo'!$L$3:$N$66,2,0))</f>
        <v>0</v>
      </c>
      <c r="AI33" s="318">
        <f ca="1">IF(TYPE(VLOOKUP($A33,'1.kolo'!$L$3:$L$66,1,0))&gt;3,VLOOKUP($A33,'1.kolo'!$O$3:$Q$66,3,0),VLOOKUP($A33,'1.kolo'!$L$3:$N$66,3,0))</f>
        <v>-12</v>
      </c>
      <c r="AJ33" s="318">
        <f t="shared" ca="1" si="19"/>
        <v>0</v>
      </c>
      <c r="AK33" s="318">
        <v>31</v>
      </c>
      <c r="AL33" s="424"/>
      <c r="AP33" s="318">
        <f ca="1">IF(TYPE(VLOOKUP($A33,'2.kolo'!$L$3:$L$66,1,0))&gt;3,IF(TYPE(VLOOKUP($A33,'2.kolo'!$K$3:$L$66,2,0))&gt;3,0,VLOOKUP($A33,'2.kolo'!$K$3:$L$66,2,0)),VLOOKUP($A33,'2.kolo'!$L$3:$O$66,4,0))</f>
        <v>29</v>
      </c>
      <c r="AQ33" s="318">
        <f ca="1">IF(TYPE(VLOOKUP($A33,'2.kolo'!$L$3:$L$66,1,0))&gt;3,IF(TYPE(VLOOKUP($A33,'2.kolo'!$O$3:$Q$66,2,0))&gt;3,0,VLOOKUP($A33,'2.kolo'!$O$3:$Q$66,2,0)),VLOOKUP($A33,'2.kolo'!$L$3:$N$66,2,0))</f>
        <v>0</v>
      </c>
      <c r="AR33" s="318">
        <f ca="1">IF(TYPE(VLOOKUP($A33,'2.kolo'!$L$3:$L$66,1,0))&gt;3,IF(TYPE(VLOOKUP($A33,'2.kolo'!$O$3:$Q$66,3,0))&gt;3,0,VLOOKUP($A33,'2.kolo'!$O$3:$Q$66,3,0)),VLOOKUP($A33,'2.kolo'!$L$3:$N$66,3,0))</f>
        <v>-9</v>
      </c>
      <c r="AS33" s="318">
        <f t="shared" ca="1" si="20"/>
        <v>0</v>
      </c>
      <c r="AT33" s="397">
        <v>29</v>
      </c>
      <c r="AU33" s="424" t="str">
        <f ca="1">IF(AT33="","",CONCATENATE(TEXT($O33,"0"),IF(Start.listina!$Y$5="","",TEXT(500+$P33,"000")),TEXT(999999*RAND(),"000000")))</f>
        <v>1238462</v>
      </c>
      <c r="AV33" s="318">
        <f t="shared" ca="1" si="3"/>
        <v>0</v>
      </c>
      <c r="AY33" s="318">
        <f ca="1">IF(TYPE(VLOOKUP($A33,'3.kolo'!$L$3:$L$66,1,0))&gt;3,IF(TYPE(VLOOKUP($A33,'3.kolo'!$K$3:$L$66,2,0))&gt;3,0,VLOOKUP($A33,'3.kolo'!$K$3:$L$66,2,0)),VLOOKUP($A33,'3.kolo'!$L$3:$O$66,4,0))</f>
        <v>42</v>
      </c>
      <c r="AZ33" s="318">
        <f ca="1">IF(TYPE(VLOOKUP($A33,'3.kolo'!$L$3:$L$66,1,0))&gt;3,IF(TYPE(VLOOKUP($A33,'3.kolo'!$O$3:$Q$66,2,0))&gt;3,0,VLOOKUP($A33,'3.kolo'!$O$3:$Q$66,2,0)),VLOOKUP($A33,'3.kolo'!$L$3:$N$66,2,0))</f>
        <v>0</v>
      </c>
      <c r="BA33" s="318">
        <f ca="1">IF(TYPE(VLOOKUP($A33,'3.kolo'!$L$3:$L$66,1,0))&gt;3,IF(TYPE(VLOOKUP($A33,'3.kolo'!$O$3:$Q$66,3,0))&gt;3,0,VLOOKUP($A33,'3.kolo'!$O$3:$Q$66,3,0)),VLOOKUP($A33,'3.kolo'!$L$3:$N$66,3,0))</f>
        <v>-11</v>
      </c>
      <c r="BB33" s="318">
        <f t="shared" ca="1" si="21"/>
        <v>0</v>
      </c>
      <c r="BC33" s="397">
        <v>13</v>
      </c>
      <c r="BD33" s="424" t="str">
        <f ca="1">IF(BC33="","",CONCATENATE(TEXT($O33,"0"),IF(Start.listina!$Y$5="","",TEXT(500+$P33,"000")),TEXT(999999*RAND(),"000000")))</f>
        <v>1799362</v>
      </c>
      <c r="BE33" s="318">
        <f t="shared" ca="1" si="4"/>
        <v>0</v>
      </c>
      <c r="BH33" s="318">
        <f ca="1">IF(TYPE(VLOOKUP($A33,'4.kolo'!$L$3:$L$66,1,0))&gt;3,IF(TYPE(VLOOKUP($A33,'4.kolo'!$K$3:$L$66,2,0))&gt;3,0,VLOOKUP($A33,'4.kolo'!$K$3:$L$66,2,0)),VLOOKUP($A33,'4.kolo'!$L$3:$O$66,4,0))</f>
        <v>43</v>
      </c>
      <c r="BI33" s="318">
        <f ca="1">IF(TYPE(VLOOKUP($A33,'4.kolo'!$L$3:$L$66,1,0))&gt;3,IF(TYPE(VLOOKUP($A33,'4.kolo'!$O$3:$Q$66,2,0))&gt;3,0,VLOOKUP($A33,'4.kolo'!$O$3:$Q$66,2,0)),VLOOKUP($A33,'4.kolo'!$L$3:$N$66,2,0))</f>
        <v>1</v>
      </c>
      <c r="BJ33" s="318">
        <f ca="1">IF(TYPE(VLOOKUP($A33,'4.kolo'!$L$3:$L$66,1,0))&gt;3,IF(TYPE(VLOOKUP($A33,'4.kolo'!$O$3:$Q$66,3,0))&gt;3,0,VLOOKUP($A33,'4.kolo'!$O$3:$Q$66,3,0)),VLOOKUP($A33,'4.kolo'!$L$3:$N$66,3,0))</f>
        <v>9</v>
      </c>
      <c r="BK33" s="318">
        <f t="shared" ca="1" si="22"/>
        <v>1</v>
      </c>
      <c r="BL33" s="397">
        <v>16</v>
      </c>
      <c r="BM33" s="424" t="str">
        <f ca="1">IF(BL33="","",CONCATENATE(TEXT($O33,"0"),IF(Start.listina!$Y$5="","",TEXT(500+$P33,"000")),TEXT(999999*RAND(),"000000")))</f>
        <v>1725880</v>
      </c>
      <c r="BN33" s="318">
        <f t="shared" ca="1" si="5"/>
        <v>0</v>
      </c>
      <c r="BQ33" s="318">
        <f ca="1">IF(TYPE(VLOOKUP($A33,'5.kolo'!$L$3:$L$66,1,0))&gt;3,IF(TYPE(VLOOKUP($A33,'5.kolo'!$K$3:$L$66,2,0))&gt;3,0,VLOOKUP($A33,'5.kolo'!$K$3:$L$66,2,0)),VLOOKUP($A33,'5.kolo'!$L$3:$O$66,4,0))</f>
        <v>0</v>
      </c>
      <c r="BR33" s="318">
        <f ca="1">IF(TYPE(VLOOKUP($A33,'5.kolo'!$L$3:$L$66,1,0))&gt;3,IF(TYPE(VLOOKUP($A33,'5.kolo'!$O$3:$Q$66,2,0))&gt;3,0,VLOOKUP($A33,'5.kolo'!$O$3:$Q$66,2,0)),VLOOKUP($A33,'5.kolo'!$L$3:$N$66,2,0))</f>
        <v>0</v>
      </c>
      <c r="BS33" s="318">
        <f ca="1">IF(TYPE(VLOOKUP($A33,'5.kolo'!$L$3:$L$66,1,0))&gt;3,IF(TYPE(VLOOKUP($A33,'5.kolo'!$O$3:$Q$66,3,0))&gt;3,0,VLOOKUP($A33,'5.kolo'!$O$3:$Q$66,3,0)),VLOOKUP($A33,'5.kolo'!$L$3:$N$66,3,0))</f>
        <v>0</v>
      </c>
      <c r="BT33" s="318">
        <f t="shared" ca="1" si="23"/>
        <v>0</v>
      </c>
      <c r="BU33" s="397"/>
      <c r="BV33" s="424" t="str">
        <f ca="1">IF(BU33="","",CONCATENATE(TEXT($O33,"0"),IF(Start.listina!$Y$5="","",TEXT(500+$P33,"000")),TEXT(999999*RAND(),"000000")))</f>
        <v/>
      </c>
      <c r="BW33" s="318">
        <f t="shared" ca="1" si="6"/>
        <v>0</v>
      </c>
      <c r="BZ33" s="318">
        <f ca="1">IF(TYPE(VLOOKUP($A33,'6.kolo'!$L$3:$L$66,1,0))&gt;3,IF(TYPE(VLOOKUP($A33,'6.kolo'!$K$3:$L$66,2,0))&gt;3,0,VLOOKUP($A33,'6.kolo'!$K$3:$L$66,2,0)),VLOOKUP($A33,'6.kolo'!$L$3:$O$66,4,0))</f>
        <v>0</v>
      </c>
      <c r="CA33" s="318">
        <f ca="1">IF(TYPE(VLOOKUP($A33,'6.kolo'!$L$3:$L$66,1,0))&gt;3,IF(TYPE(VLOOKUP($A33,'6.kolo'!$O$3:$Q$66,2,0))&gt;3,0,VLOOKUP($A33,'6.kolo'!$O$3:$Q$66,2,0)),VLOOKUP($A33,'6.kolo'!$L$3:$N$66,2,0))</f>
        <v>0</v>
      </c>
      <c r="CB33" s="318">
        <f ca="1">IF(TYPE(VLOOKUP($A33,'6.kolo'!$L$3:$L$66,1,0))&gt;3,IF(TYPE(VLOOKUP($A33,'6.kolo'!$O$3:$Q$66,3,0))&gt;3,0,VLOOKUP($A33,'6.kolo'!$O$3:$Q$66,3,0)),VLOOKUP($A33,'6.kolo'!$L$3:$N$66,3,0))</f>
        <v>0</v>
      </c>
      <c r="CC33" s="318">
        <f t="shared" ca="1" si="24"/>
        <v>0</v>
      </c>
      <c r="CD33" s="397"/>
      <c r="CE33" s="424" t="str">
        <f ca="1">IF(CD33="","",CONCATENATE(TEXT($O33,"0"),IF(Start.listina!$Y$5="","",TEXT(500+$P33,"000")),TEXT(999999*RAND(),"000000")))</f>
        <v/>
      </c>
      <c r="CF33" s="318">
        <f t="shared" ca="1" si="7"/>
        <v>0</v>
      </c>
    </row>
    <row r="34" spans="1:84" x14ac:dyDescent="0.4">
      <c r="A34" s="318">
        <f ca="1">IF(OR(Start.listina!H42&gt;Start.listina!$K$7,Start.listina!G42=TRUE),"",Start.listina!H42)</f>
        <v>32</v>
      </c>
      <c r="B34" s="318">
        <f ca="1">IF($A34&gt;Start.listina!$K$7,"",INT(($A34-1)/Start.listina!$O$7)+1)</f>
        <v>2</v>
      </c>
      <c r="C34" s="421" t="str">
        <f ca="1">IF(OR(Start.listina!H42&gt;Start.listina!$K$7,Start.listina!G42=TRUE)," - ",Start.listina!AL42)</f>
        <v>32 SK Pétanque Řepy - Vodehnal Zdeněk</v>
      </c>
      <c r="D34" s="318">
        <f ca="1">IF(OR(A34&gt;Start.listina!$K$7,TYPE(VLOOKUP(A34,$V$3:$X$130,3,0))&gt;3),"",VLOOKUP(A34,$V$3:$X$130,3,0))</f>
        <v>42</v>
      </c>
      <c r="E34" s="422">
        <f ca="1">IF(A34&gt;Start.listina!$K$7,"",IF(MIN(F34:K34)&gt;Start.listina!$Y$4,D34,MIN(F34:K34)))</f>
        <v>42</v>
      </c>
      <c r="F34" s="318">
        <f ca="1">IF(TYPE(VLOOKUP(C34,Konečné_pořadí_1_16!$B$2:$D$17,3,0))&lt;4,VLOOKUP(C34,Konečné_pořadí_1_16!$B$2:$D$17,3,0),999)</f>
        <v>999</v>
      </c>
      <c r="G34" s="318">
        <f ca="1">IF(TYPE(VLOOKUP(C34,'KO64'!$D$4:$D$129,1,0))&lt;4,64,999)</f>
        <v>999</v>
      </c>
      <c r="H34" s="318">
        <f ca="1">IF(TYPE(VLOOKUP(C34,'KO32'!$D$4:$D$65,1,0))&lt;4,32,999)</f>
        <v>999</v>
      </c>
      <c r="I34" s="318">
        <f ca="1">IF(TYPE(VLOOKUP(C34,'KO16'!$D$4:$D$33,1,0))&lt;4,16,999)</f>
        <v>999</v>
      </c>
      <c r="J34" s="318">
        <f ca="1">IF(TYPE(VLOOKUP(C34,'KO8'!$D$4:$D$17,1,0))&lt;4,8,999)</f>
        <v>999</v>
      </c>
      <c r="K34" s="318">
        <f ca="1">IF(TYPE(VLOOKUP(C34,'KO4'!$D$4:$D$9,1,0))&lt;4,4,999)</f>
        <v>999</v>
      </c>
      <c r="M34" s="319">
        <v>32</v>
      </c>
      <c r="O34" s="318">
        <f t="shared" ca="1" si="8"/>
        <v>1</v>
      </c>
      <c r="P34" s="318">
        <f t="shared" ca="1" si="9"/>
        <v>-7</v>
      </c>
      <c r="Q34" s="318">
        <f t="shared" ca="1" si="0"/>
        <v>9</v>
      </c>
      <c r="R34" s="318">
        <f t="shared" ca="1" si="1"/>
        <v>0</v>
      </c>
      <c r="S34" s="318">
        <f t="shared" ca="1" si="10"/>
        <v>31</v>
      </c>
      <c r="T34" s="318">
        <f t="shared" ca="1" si="11"/>
        <v>1</v>
      </c>
      <c r="U34" s="397">
        <f t="shared" si="25"/>
        <v>32</v>
      </c>
      <c r="V34" s="397">
        <v>38</v>
      </c>
      <c r="W34" s="423" t="str">
        <f ca="1">IF($V34="","",CONCATENATE(TEXT($O34,"0"),IF(Start.listina!$Y$5="","",TEXT(500+$P34,"0000")),IF(Start.listina!$Y$6="","",CHOOSE(Start.listina!$Y$7,TEXT($Q34,"00"),CONCATENATE(TEXT($Q34,"00"),TEXT($S34,"000")), TEXT($R34,"00"))),TEXT(500+$P34,"0000"),IF(Start.listina!$Y$8="","",TEXT($T34,"0")),TEXT(999999*RAND(),"000000")))</f>
        <v>1090310493767552</v>
      </c>
      <c r="X34" s="399">
        <f t="shared" si="12"/>
        <v>32</v>
      </c>
      <c r="Y34" s="397">
        <f t="shared" ca="1" si="2"/>
        <v>2</v>
      </c>
      <c r="Z34" s="318">
        <f t="shared" ca="1" si="13"/>
        <v>4</v>
      </c>
      <c r="AA34" s="318">
        <f t="shared" ca="1" si="14"/>
        <v>24</v>
      </c>
      <c r="AB34" s="318">
        <f t="shared" ca="1" si="15"/>
        <v>40</v>
      </c>
      <c r="AC34" s="318">
        <f t="shared" ca="1" si="16"/>
        <v>48</v>
      </c>
      <c r="AD34" s="318">
        <f t="shared" ca="1" si="17"/>
        <v>0</v>
      </c>
      <c r="AE34" s="318">
        <f t="shared" ca="1" si="18"/>
        <v>0</v>
      </c>
      <c r="AG34" s="318">
        <f ca="1">IF(TYPE(VLOOKUP($A34,'1.kolo'!$L$3:$L$66,1,0))&gt;3,VLOOKUP($A34,'1.kolo'!$K$3:$L$66,2,0),VLOOKUP($A34,'1.kolo'!$L$3:$O$66,4,0))</f>
        <v>4</v>
      </c>
      <c r="AH34" s="318">
        <f ca="1">IF(TYPE(VLOOKUP($A34,'1.kolo'!$L$3:$L$66,1,0))&gt;3,VLOOKUP($A34,'1.kolo'!$O$3:$Q$66,2,0),VLOOKUP($A34,'1.kolo'!$L$3:$N$66,2,0))</f>
        <v>0</v>
      </c>
      <c r="AI34" s="318">
        <f ca="1">IF(TYPE(VLOOKUP($A34,'1.kolo'!$L$3:$L$66,1,0))&gt;3,VLOOKUP($A34,'1.kolo'!$O$3:$Q$66,3,0),VLOOKUP($A34,'1.kolo'!$L$3:$N$66,3,0))</f>
        <v>-1</v>
      </c>
      <c r="AJ34" s="318">
        <f t="shared" ca="1" si="19"/>
        <v>0</v>
      </c>
      <c r="AK34" s="318">
        <v>32</v>
      </c>
      <c r="AL34" s="424"/>
      <c r="AP34" s="318">
        <f ca="1">IF(TYPE(VLOOKUP($A34,'2.kolo'!$L$3:$L$66,1,0))&gt;3,IF(TYPE(VLOOKUP($A34,'2.kolo'!$K$3:$L$66,2,0))&gt;3,0,VLOOKUP($A34,'2.kolo'!$K$3:$L$66,2,0)),VLOOKUP($A34,'2.kolo'!$L$3:$O$66,4,0))</f>
        <v>24</v>
      </c>
      <c r="AQ34" s="318">
        <f ca="1">IF(TYPE(VLOOKUP($A34,'2.kolo'!$L$3:$L$66,1,0))&gt;3,IF(TYPE(VLOOKUP($A34,'2.kolo'!$O$3:$Q$66,2,0))&gt;3,0,VLOOKUP($A34,'2.kolo'!$O$3:$Q$66,2,0)),VLOOKUP($A34,'2.kolo'!$L$3:$N$66,2,0))</f>
        <v>0</v>
      </c>
      <c r="AR34" s="318">
        <f ca="1">IF(TYPE(VLOOKUP($A34,'2.kolo'!$L$3:$L$66,1,0))&gt;3,IF(TYPE(VLOOKUP($A34,'2.kolo'!$O$3:$Q$66,3,0))&gt;3,0,VLOOKUP($A34,'2.kolo'!$O$3:$Q$66,3,0)),VLOOKUP($A34,'2.kolo'!$L$3:$N$66,3,0))</f>
        <v>-8</v>
      </c>
      <c r="AS34" s="318">
        <f t="shared" ca="1" si="20"/>
        <v>0</v>
      </c>
      <c r="AT34" s="397">
        <v>31</v>
      </c>
      <c r="AU34" s="424" t="str">
        <f ca="1">IF(AT34="","",CONCATENATE(TEXT($O34,"0"),IF(Start.listina!$Y$5="","",TEXT(500+$P34,"000")),TEXT(999999*RAND(),"000000")))</f>
        <v>1303757</v>
      </c>
      <c r="AV34" s="318">
        <f t="shared" ca="1" si="3"/>
        <v>0</v>
      </c>
      <c r="AY34" s="318">
        <f ca="1">IF(TYPE(VLOOKUP($A34,'3.kolo'!$L$3:$L$66,1,0))&gt;3,IF(TYPE(VLOOKUP($A34,'3.kolo'!$K$3:$L$66,2,0))&gt;3,0,VLOOKUP($A34,'3.kolo'!$K$3:$L$66,2,0)),VLOOKUP($A34,'3.kolo'!$L$3:$O$66,4,0))</f>
        <v>40</v>
      </c>
      <c r="AZ34" s="318">
        <f ca="1">IF(TYPE(VLOOKUP($A34,'3.kolo'!$L$3:$L$66,1,0))&gt;3,IF(TYPE(VLOOKUP($A34,'3.kolo'!$O$3:$Q$66,2,0))&gt;3,0,VLOOKUP($A34,'3.kolo'!$O$3:$Q$66,2,0)),VLOOKUP($A34,'3.kolo'!$L$3:$N$66,2,0))</f>
        <v>0</v>
      </c>
      <c r="BA34" s="318">
        <f ca="1">IF(TYPE(VLOOKUP($A34,'3.kolo'!$L$3:$L$66,1,0))&gt;3,IF(TYPE(VLOOKUP($A34,'3.kolo'!$O$3:$Q$66,3,0))&gt;3,0,VLOOKUP($A34,'3.kolo'!$O$3:$Q$66,3,0)),VLOOKUP($A34,'3.kolo'!$L$3:$N$66,3,0))</f>
        <v>-4</v>
      </c>
      <c r="BB34" s="318">
        <f t="shared" ca="1" si="21"/>
        <v>0</v>
      </c>
      <c r="BC34" s="397">
        <v>56</v>
      </c>
      <c r="BD34" s="424" t="str">
        <f ca="1">IF(BC34="","",CONCATENATE(TEXT($O34,"0"),IF(Start.listina!$Y$5="","",TEXT(500+$P34,"000")),TEXT(999999*RAND(),"000000")))</f>
        <v>1079301</v>
      </c>
      <c r="BE34" s="318">
        <f t="shared" ca="1" si="4"/>
        <v>0</v>
      </c>
      <c r="BH34" s="318">
        <f ca="1">IF(TYPE(VLOOKUP($A34,'4.kolo'!$L$3:$L$66,1,0))&gt;3,IF(TYPE(VLOOKUP($A34,'4.kolo'!$K$3:$L$66,2,0))&gt;3,0,VLOOKUP($A34,'4.kolo'!$K$3:$L$66,2,0)),VLOOKUP($A34,'4.kolo'!$L$3:$O$66,4,0))</f>
        <v>48</v>
      </c>
      <c r="BI34" s="318">
        <f ca="1">IF(TYPE(VLOOKUP($A34,'4.kolo'!$L$3:$L$66,1,0))&gt;3,IF(TYPE(VLOOKUP($A34,'4.kolo'!$O$3:$Q$66,2,0))&gt;3,0,VLOOKUP($A34,'4.kolo'!$O$3:$Q$66,2,0)),VLOOKUP($A34,'4.kolo'!$L$3:$N$66,2,0))</f>
        <v>1</v>
      </c>
      <c r="BJ34" s="318">
        <f ca="1">IF(TYPE(VLOOKUP($A34,'4.kolo'!$L$3:$L$66,1,0))&gt;3,IF(TYPE(VLOOKUP($A34,'4.kolo'!$O$3:$Q$66,3,0))&gt;3,0,VLOOKUP($A34,'4.kolo'!$O$3:$Q$66,3,0)),VLOOKUP($A34,'4.kolo'!$L$3:$N$66,3,0))</f>
        <v>6</v>
      </c>
      <c r="BK34" s="318">
        <f t="shared" ca="1" si="22"/>
        <v>1</v>
      </c>
      <c r="BL34" s="397">
        <v>37</v>
      </c>
      <c r="BM34" s="424" t="str">
        <f ca="1">IF(BL34="","",CONCATENATE(TEXT($O34,"0"),IF(Start.listina!$Y$5="","",TEXT(500+$P34,"000")),TEXT(999999*RAND(),"000000")))</f>
        <v>1977509</v>
      </c>
      <c r="BN34" s="318">
        <f t="shared" ca="1" si="5"/>
        <v>0</v>
      </c>
      <c r="BQ34" s="318">
        <f ca="1">IF(TYPE(VLOOKUP($A34,'5.kolo'!$L$3:$L$66,1,0))&gt;3,IF(TYPE(VLOOKUP($A34,'5.kolo'!$K$3:$L$66,2,0))&gt;3,0,VLOOKUP($A34,'5.kolo'!$K$3:$L$66,2,0)),VLOOKUP($A34,'5.kolo'!$L$3:$O$66,4,0))</f>
        <v>0</v>
      </c>
      <c r="BR34" s="318">
        <f ca="1">IF(TYPE(VLOOKUP($A34,'5.kolo'!$L$3:$L$66,1,0))&gt;3,IF(TYPE(VLOOKUP($A34,'5.kolo'!$O$3:$Q$66,2,0))&gt;3,0,VLOOKUP($A34,'5.kolo'!$O$3:$Q$66,2,0)),VLOOKUP($A34,'5.kolo'!$L$3:$N$66,2,0))</f>
        <v>0</v>
      </c>
      <c r="BS34" s="318">
        <f ca="1">IF(TYPE(VLOOKUP($A34,'5.kolo'!$L$3:$L$66,1,0))&gt;3,IF(TYPE(VLOOKUP($A34,'5.kolo'!$O$3:$Q$66,3,0))&gt;3,0,VLOOKUP($A34,'5.kolo'!$O$3:$Q$66,3,0)),VLOOKUP($A34,'5.kolo'!$L$3:$N$66,3,0))</f>
        <v>0</v>
      </c>
      <c r="BT34" s="318">
        <f t="shared" ca="1" si="23"/>
        <v>0</v>
      </c>
      <c r="BU34" s="397"/>
      <c r="BV34" s="424" t="str">
        <f ca="1">IF(BU34="","",CONCATENATE(TEXT($O34,"0"),IF(Start.listina!$Y$5="","",TEXT(500+$P34,"000")),TEXT(999999*RAND(),"000000")))</f>
        <v/>
      </c>
      <c r="BW34" s="318">
        <f t="shared" ca="1" si="6"/>
        <v>0</v>
      </c>
      <c r="BZ34" s="318">
        <f ca="1">IF(TYPE(VLOOKUP($A34,'6.kolo'!$L$3:$L$66,1,0))&gt;3,IF(TYPE(VLOOKUP($A34,'6.kolo'!$K$3:$L$66,2,0))&gt;3,0,VLOOKUP($A34,'6.kolo'!$K$3:$L$66,2,0)),VLOOKUP($A34,'6.kolo'!$L$3:$O$66,4,0))</f>
        <v>0</v>
      </c>
      <c r="CA34" s="318">
        <f ca="1">IF(TYPE(VLOOKUP($A34,'6.kolo'!$L$3:$L$66,1,0))&gt;3,IF(TYPE(VLOOKUP($A34,'6.kolo'!$O$3:$Q$66,2,0))&gt;3,0,VLOOKUP($A34,'6.kolo'!$O$3:$Q$66,2,0)),VLOOKUP($A34,'6.kolo'!$L$3:$N$66,2,0))</f>
        <v>0</v>
      </c>
      <c r="CB34" s="318">
        <f ca="1">IF(TYPE(VLOOKUP($A34,'6.kolo'!$L$3:$L$66,1,0))&gt;3,IF(TYPE(VLOOKUP($A34,'6.kolo'!$O$3:$Q$66,3,0))&gt;3,0,VLOOKUP($A34,'6.kolo'!$O$3:$Q$66,3,0)),VLOOKUP($A34,'6.kolo'!$L$3:$N$66,3,0))</f>
        <v>0</v>
      </c>
      <c r="CC34" s="318">
        <f t="shared" ca="1" si="24"/>
        <v>0</v>
      </c>
      <c r="CD34" s="397"/>
      <c r="CE34" s="424" t="str">
        <f ca="1">IF(CD34="","",CONCATENATE(TEXT($O34,"0"),IF(Start.listina!$Y$5="","",TEXT(500+$P34,"000")),TEXT(999999*RAND(),"000000")))</f>
        <v/>
      </c>
      <c r="CF34" s="318">
        <f t="shared" ca="1" si="7"/>
        <v>0</v>
      </c>
    </row>
    <row r="35" spans="1:84" x14ac:dyDescent="0.4">
      <c r="A35" s="318">
        <f ca="1">IF(OR(Start.listina!H43&gt;Start.listina!$K$7,Start.listina!G43=TRUE),"",Start.listina!H43)</f>
        <v>33</v>
      </c>
      <c r="B35" s="318">
        <f ca="1">IF($A35&gt;Start.listina!$K$7,"",INT(($A35-1)/Start.listina!$O$7)+1)</f>
        <v>2</v>
      </c>
      <c r="C35" s="421" t="str">
        <f ca="1">IF(OR(Start.listina!H43&gt;Start.listina!$K$7,Start.listina!G43=TRUE)," - ",Start.listina!AL43)</f>
        <v>33 SK Pétanque Řepy - Müllerová Jiřina</v>
      </c>
      <c r="D35" s="318">
        <f ca="1">IF(OR(A35&gt;Start.listina!$K$7,TYPE(VLOOKUP(A35,$V$3:$X$130,3,0))&gt;3),"",VLOOKUP(A35,$V$3:$X$130,3,0))</f>
        <v>51</v>
      </c>
      <c r="E35" s="422">
        <f ca="1">IF(A35&gt;Start.listina!$K$7,"",IF(MIN(F35:K35)&gt;Start.listina!$Y$4,D35,MIN(F35:K35)))</f>
        <v>51</v>
      </c>
      <c r="F35" s="318">
        <f ca="1">IF(TYPE(VLOOKUP(C35,Konečné_pořadí_1_16!$B$2:$D$17,3,0))&lt;4,VLOOKUP(C35,Konečné_pořadí_1_16!$B$2:$D$17,3,0),999)</f>
        <v>999</v>
      </c>
      <c r="G35" s="318">
        <f ca="1">IF(TYPE(VLOOKUP(C35,'KO64'!$D$4:$D$129,1,0))&lt;4,64,999)</f>
        <v>999</v>
      </c>
      <c r="H35" s="318">
        <f ca="1">IF(TYPE(VLOOKUP(C35,'KO32'!$D$4:$D$65,1,0))&lt;4,32,999)</f>
        <v>999</v>
      </c>
      <c r="I35" s="318">
        <f ca="1">IF(TYPE(VLOOKUP(C35,'KO16'!$D$4:$D$33,1,0))&lt;4,16,999)</f>
        <v>999</v>
      </c>
      <c r="J35" s="318">
        <f ca="1">IF(TYPE(VLOOKUP(C35,'KO8'!$D$4:$D$17,1,0))&lt;4,8,999)</f>
        <v>999</v>
      </c>
      <c r="K35" s="318">
        <f ca="1">IF(TYPE(VLOOKUP(C35,'KO4'!$D$4:$D$9,1,0))&lt;4,4,999)</f>
        <v>999</v>
      </c>
      <c r="M35" s="319">
        <v>33</v>
      </c>
      <c r="O35" s="318">
        <f t="shared" ca="1" si="8"/>
        <v>1</v>
      </c>
      <c r="P35" s="318">
        <f t="shared" ca="1" si="9"/>
        <v>-13</v>
      </c>
      <c r="Q35" s="318">
        <f t="shared" ref="Q35:Q66" ca="1" si="26">VLOOKUP($Z35,$A$3:$O$131,15,0)+VLOOKUP($AA35,$A$3:$O$131,15,0)+VLOOKUP($AB35,$A$3:$O$131,15,0)+VLOOKUP($AC35,$A$3:$O$131,15,0)+VLOOKUP($AD35,$A$3:$O$131,15,0)+VLOOKUP($AE35,$A$3:$O$131,15,0)</f>
        <v>6</v>
      </c>
      <c r="R35" s="318">
        <f t="shared" ref="R35:R66" ca="1" si="27">IF(AH35=0,0,VLOOKUP($Z35,$A$3:$O$130,15,0))+IF(AQ35=0,0,VLOOKUP($AA35,$A$3:$O$130,15,0))+IF(AZ35=0,0,VLOOKUP($AB35,$A$3:$O$130,15,0))+IF(BI35=0,0,VLOOKUP($AC35,$A$3:$O$130,15,0))+IF(BR35=0,0,VLOOKUP($AD35,$A$3:$O$130,15,0))+IF(CA35=0,0,VLOOKUP($AE35,$A$3:$O$130,15,0))</f>
        <v>0</v>
      </c>
      <c r="S35" s="318">
        <f t="shared" ca="1" si="10"/>
        <v>25</v>
      </c>
      <c r="T35" s="318">
        <f t="shared" ca="1" si="11"/>
        <v>1</v>
      </c>
      <c r="U35" s="397">
        <f t="shared" si="25"/>
        <v>33</v>
      </c>
      <c r="V35" s="397">
        <v>37</v>
      </c>
      <c r="W35" s="423" t="str">
        <f ca="1">IF($V35="","",CONCATENATE(TEXT($O35,"0"),IF(Start.listina!$Y$5="","",TEXT(500+$P35,"0000")),IF(Start.listina!$Y$6="","",CHOOSE(Start.listina!$Y$7,TEXT($Q35,"00"),CONCATENATE(TEXT($Q35,"00"),TEXT($S35,"000")), TEXT($R35,"00"))),TEXT(500+$P35,"0000"),IF(Start.listina!$Y$8="","",TEXT($T35,"0")),TEXT(999999*RAND(),"000000")))</f>
        <v>1060250487526957</v>
      </c>
      <c r="X35" s="399">
        <f t="shared" si="12"/>
        <v>33</v>
      </c>
      <c r="Y35" s="397">
        <f t="shared" ref="Y35:Y66" ca="1" si="28">IF(TYPE(VLOOKUP(V35,$A$3:$O$130,15,0))&gt;3,0,VLOOKUP(V35,$A$3:$O$130,15,0))</f>
        <v>2</v>
      </c>
      <c r="Z35" s="318">
        <f t="shared" ca="1" si="13"/>
        <v>5</v>
      </c>
      <c r="AA35" s="318">
        <f t="shared" ca="1" si="14"/>
        <v>54</v>
      </c>
      <c r="AB35" s="318">
        <f t="shared" ca="1" si="15"/>
        <v>19</v>
      </c>
      <c r="AC35" s="318" t="str">
        <f t="shared" ca="1" si="16"/>
        <v/>
      </c>
      <c r="AD35" s="318">
        <f t="shared" ca="1" si="17"/>
        <v>0</v>
      </c>
      <c r="AE35" s="318">
        <f t="shared" ca="1" si="18"/>
        <v>0</v>
      </c>
      <c r="AG35" s="318">
        <f ca="1">IF(TYPE(VLOOKUP($A35,'1.kolo'!$L$3:$L$66,1,0))&gt;3,VLOOKUP($A35,'1.kolo'!$K$3:$L$66,2,0),VLOOKUP($A35,'1.kolo'!$L$3:$O$66,4,0))</f>
        <v>5</v>
      </c>
      <c r="AH35" s="318">
        <f ca="1">IF(TYPE(VLOOKUP($A35,'1.kolo'!$L$3:$L$66,1,0))&gt;3,VLOOKUP($A35,'1.kolo'!$O$3:$Q$66,2,0),VLOOKUP($A35,'1.kolo'!$L$3:$N$66,2,0))</f>
        <v>0</v>
      </c>
      <c r="AI35" s="318">
        <f ca="1">IF(TYPE(VLOOKUP($A35,'1.kolo'!$L$3:$L$66,1,0))&gt;3,VLOOKUP($A35,'1.kolo'!$O$3:$Q$66,3,0),VLOOKUP($A35,'1.kolo'!$L$3:$N$66,3,0))</f>
        <v>-7</v>
      </c>
      <c r="AJ35" s="318">
        <f t="shared" ca="1" si="19"/>
        <v>0</v>
      </c>
      <c r="AK35" s="318">
        <v>33</v>
      </c>
      <c r="AL35" s="424"/>
      <c r="AP35" s="318">
        <f ca="1">IF(TYPE(VLOOKUP($A35,'2.kolo'!$L$3:$L$66,1,0))&gt;3,IF(TYPE(VLOOKUP($A35,'2.kolo'!$K$3:$L$66,2,0))&gt;3,0,VLOOKUP($A35,'2.kolo'!$K$3:$L$66,2,0)),VLOOKUP($A35,'2.kolo'!$L$3:$O$66,4,0))</f>
        <v>54</v>
      </c>
      <c r="AQ35" s="318">
        <f ca="1">IF(TYPE(VLOOKUP($A35,'2.kolo'!$L$3:$L$66,1,0))&gt;3,IF(TYPE(VLOOKUP($A35,'2.kolo'!$O$3:$Q$66,2,0))&gt;3,0,VLOOKUP($A35,'2.kolo'!$O$3:$Q$66,2,0)),VLOOKUP($A35,'2.kolo'!$L$3:$N$66,2,0))</f>
        <v>0</v>
      </c>
      <c r="AR35" s="318">
        <f ca="1">IF(TYPE(VLOOKUP($A35,'2.kolo'!$L$3:$L$66,1,0))&gt;3,IF(TYPE(VLOOKUP($A35,'2.kolo'!$O$3:$Q$66,3,0))&gt;3,0,VLOOKUP($A35,'2.kolo'!$O$3:$Q$66,3,0)),VLOOKUP($A35,'2.kolo'!$L$3:$N$66,3,0))</f>
        <v>-5</v>
      </c>
      <c r="AS35" s="318">
        <f t="shared" ca="1" si="20"/>
        <v>0</v>
      </c>
      <c r="AT35" s="397">
        <v>6</v>
      </c>
      <c r="AU35" s="424" t="str">
        <f ca="1">IF(AT35="","",CONCATENATE(TEXT($O35,"0"),IF(Start.listina!$Y$5="","",TEXT(500+$P35,"000")),TEXT(999999*RAND(),"000000")))</f>
        <v>1587598</v>
      </c>
      <c r="AV35" s="318">
        <f t="shared" ref="AV35:AV66" ca="1" si="29">IF(OR(AND(N(AP35)=0,N(AT35)=0),TYPE(MATCH($AA35,$Z35:$Z35,0))&gt;1),0,1)</f>
        <v>0</v>
      </c>
      <c r="AY35" s="318">
        <f ca="1">IF(TYPE(VLOOKUP($A35,'3.kolo'!$L$3:$L$66,1,0))&gt;3,IF(TYPE(VLOOKUP($A35,'3.kolo'!$K$3:$L$66,2,0))&gt;3,0,VLOOKUP($A35,'3.kolo'!$K$3:$L$66,2,0)),VLOOKUP($A35,'3.kolo'!$L$3:$O$66,4,0))</f>
        <v>19</v>
      </c>
      <c r="AZ35" s="318">
        <f ca="1">IF(TYPE(VLOOKUP($A35,'3.kolo'!$L$3:$L$66,1,0))&gt;3,IF(TYPE(VLOOKUP($A35,'3.kolo'!$O$3:$Q$66,2,0))&gt;3,0,VLOOKUP($A35,'3.kolo'!$O$3:$Q$66,2,0)),VLOOKUP($A35,'3.kolo'!$L$3:$N$66,2,0))</f>
        <v>0</v>
      </c>
      <c r="BA35" s="318">
        <f ca="1">IF(TYPE(VLOOKUP($A35,'3.kolo'!$L$3:$L$66,1,0))&gt;3,IF(TYPE(VLOOKUP($A35,'3.kolo'!$O$3:$Q$66,3,0))&gt;3,0,VLOOKUP($A35,'3.kolo'!$O$3:$Q$66,3,0)),VLOOKUP($A35,'3.kolo'!$L$3:$N$66,3,0))</f>
        <v>-7</v>
      </c>
      <c r="BB35" s="318">
        <f t="shared" ca="1" si="21"/>
        <v>0</v>
      </c>
      <c r="BC35" s="397">
        <v>9</v>
      </c>
      <c r="BD35" s="424" t="str">
        <f ca="1">IF(BC35="","",CONCATENATE(TEXT($O35,"0"),IF(Start.listina!$Y$5="","",TEXT(500+$P35,"000")),TEXT(999999*RAND(),"000000")))</f>
        <v>1834756</v>
      </c>
      <c r="BE35" s="318">
        <f t="shared" ref="BE35:BE66" ca="1" si="30">IF(OR(AND(N(AY35)=0,N(BC35)=0),TYPE(MATCH($AB35,$Z35:$AA35,0))&gt;1),0,1)</f>
        <v>0</v>
      </c>
      <c r="BH35" s="318" t="str">
        <f ca="1">IF(TYPE(VLOOKUP($A35,'4.kolo'!$L$3:$L$66,1,0))&gt;3,IF(TYPE(VLOOKUP($A35,'4.kolo'!$K$3:$L$66,2,0))&gt;3,0,VLOOKUP($A35,'4.kolo'!$K$3:$L$66,2,0)),VLOOKUP($A35,'4.kolo'!$L$3:$O$66,4,0))</f>
        <v/>
      </c>
      <c r="BI35" s="318">
        <f ca="1">IF(TYPE(VLOOKUP($A35,'4.kolo'!$L$3:$L$66,1,0))&gt;3,IF(TYPE(VLOOKUP($A35,'4.kolo'!$O$3:$Q$66,2,0))&gt;3,0,VLOOKUP($A35,'4.kolo'!$O$3:$Q$66,2,0)),VLOOKUP($A35,'4.kolo'!$L$3:$N$66,2,0))</f>
        <v>1</v>
      </c>
      <c r="BJ35" s="318">
        <f ca="1">IF(TYPE(VLOOKUP($A35,'4.kolo'!$L$3:$L$66,1,0))&gt;3,IF(TYPE(VLOOKUP($A35,'4.kolo'!$O$3:$Q$66,3,0))&gt;3,0,VLOOKUP($A35,'4.kolo'!$O$3:$Q$66,3,0)),VLOOKUP($A35,'4.kolo'!$L$3:$N$66,3,0))</f>
        <v>6</v>
      </c>
      <c r="BK35" s="318">
        <f t="shared" ca="1" si="22"/>
        <v>1</v>
      </c>
      <c r="BL35" s="397">
        <v>46</v>
      </c>
      <c r="BM35" s="424" t="str">
        <f ca="1">IF(BL35="","",CONCATENATE(TEXT($O35,"0"),IF(Start.listina!$Y$5="","",TEXT(500+$P35,"000")),TEXT(999999*RAND(),"000000")))</f>
        <v>1491072</v>
      </c>
      <c r="BN35" s="318">
        <f t="shared" ref="BN35:BN66" ca="1" si="31">IF(OR(AND(N(BH35)=0,N(BL35)=0),TYPE(MATCH($AC35,$Z35:$AB35,0))&gt;1),0,1)</f>
        <v>0</v>
      </c>
      <c r="BQ35" s="318">
        <f ca="1">IF(TYPE(VLOOKUP($A35,'5.kolo'!$L$3:$L$66,1,0))&gt;3,IF(TYPE(VLOOKUP($A35,'5.kolo'!$K$3:$L$66,2,0))&gt;3,0,VLOOKUP($A35,'5.kolo'!$K$3:$L$66,2,0)),VLOOKUP($A35,'5.kolo'!$L$3:$O$66,4,0))</f>
        <v>0</v>
      </c>
      <c r="BR35" s="318">
        <f ca="1">IF(TYPE(VLOOKUP($A35,'5.kolo'!$L$3:$L$66,1,0))&gt;3,IF(TYPE(VLOOKUP($A35,'5.kolo'!$O$3:$Q$66,2,0))&gt;3,0,VLOOKUP($A35,'5.kolo'!$O$3:$Q$66,2,0)),VLOOKUP($A35,'5.kolo'!$L$3:$N$66,2,0))</f>
        <v>0</v>
      </c>
      <c r="BS35" s="318">
        <f ca="1">IF(TYPE(VLOOKUP($A35,'5.kolo'!$L$3:$L$66,1,0))&gt;3,IF(TYPE(VLOOKUP($A35,'5.kolo'!$O$3:$Q$66,3,0))&gt;3,0,VLOOKUP($A35,'5.kolo'!$O$3:$Q$66,3,0)),VLOOKUP($A35,'5.kolo'!$L$3:$N$66,3,0))</f>
        <v>0</v>
      </c>
      <c r="BT35" s="318">
        <f t="shared" ca="1" si="23"/>
        <v>0</v>
      </c>
      <c r="BU35" s="397"/>
      <c r="BV35" s="424" t="str">
        <f ca="1">IF(BU35="","",CONCATENATE(TEXT($O35,"0"),IF(Start.listina!$Y$5="","",TEXT(500+$P35,"000")),TEXT(999999*RAND(),"000000")))</f>
        <v/>
      </c>
      <c r="BW35" s="318">
        <f t="shared" ref="BW35:BW66" ca="1" si="32">IF(OR(AND(N(BQ35)=0,N(BU35)=0),TYPE(MATCH($AD35,$Z35:$AC35,0))&gt;1),0,1)</f>
        <v>0</v>
      </c>
      <c r="BZ35" s="318">
        <f ca="1">IF(TYPE(VLOOKUP($A35,'6.kolo'!$L$3:$L$66,1,0))&gt;3,IF(TYPE(VLOOKUP($A35,'6.kolo'!$K$3:$L$66,2,0))&gt;3,0,VLOOKUP($A35,'6.kolo'!$K$3:$L$66,2,0)),VLOOKUP($A35,'6.kolo'!$L$3:$O$66,4,0))</f>
        <v>0</v>
      </c>
      <c r="CA35" s="318">
        <f ca="1">IF(TYPE(VLOOKUP($A35,'6.kolo'!$L$3:$L$66,1,0))&gt;3,IF(TYPE(VLOOKUP($A35,'6.kolo'!$O$3:$Q$66,2,0))&gt;3,0,VLOOKUP($A35,'6.kolo'!$O$3:$Q$66,2,0)),VLOOKUP($A35,'6.kolo'!$L$3:$N$66,2,0))</f>
        <v>0</v>
      </c>
      <c r="CB35" s="318">
        <f ca="1">IF(TYPE(VLOOKUP($A35,'6.kolo'!$L$3:$L$66,1,0))&gt;3,IF(TYPE(VLOOKUP($A35,'6.kolo'!$O$3:$Q$66,3,0))&gt;3,0,VLOOKUP($A35,'6.kolo'!$O$3:$Q$66,3,0)),VLOOKUP($A35,'6.kolo'!$L$3:$N$66,3,0))</f>
        <v>0</v>
      </c>
      <c r="CC35" s="318">
        <f t="shared" ca="1" si="24"/>
        <v>0</v>
      </c>
      <c r="CD35" s="397"/>
      <c r="CE35" s="424" t="str">
        <f ca="1">IF(CD35="","",CONCATENATE(TEXT($O35,"0"),IF(Start.listina!$Y$5="","",TEXT(500+$P35,"000")),TEXT(999999*RAND(),"000000")))</f>
        <v/>
      </c>
      <c r="CF35" s="318">
        <f t="shared" ref="CF35:CF66" ca="1" si="33">IF(OR(AND(N(BZ35)=0,N(CD35)=0),TYPE(MATCH($AE35,$Z35:$AD35,0))&gt;1),0,1)</f>
        <v>0</v>
      </c>
    </row>
    <row r="36" spans="1:84" x14ac:dyDescent="0.4">
      <c r="A36" s="318">
        <f ca="1">IF(OR(Start.listina!H44&gt;Start.listina!$K$7,Start.listina!G44=TRUE),"",Start.listina!H44)</f>
        <v>34</v>
      </c>
      <c r="B36" s="318">
        <f ca="1">IF($A36&gt;Start.listina!$K$7,"",INT(($A36-1)/Start.listina!$O$7)+1)</f>
        <v>2</v>
      </c>
      <c r="C36" s="421" t="str">
        <f ca="1">IF(OR(Start.listina!H44&gt;Start.listina!$K$7,Start.listina!G44=TRUE)," - ",Start.listina!AL44)</f>
        <v>34 1. KPK Vrchlabí - Šebek Viktor</v>
      </c>
      <c r="D36" s="318">
        <f ca="1">IF(OR(A36&gt;Start.listina!$K$7,TYPE(VLOOKUP(A36,$V$3:$X$130,3,0))&gt;3),"",VLOOKUP(A36,$V$3:$X$130,3,0))</f>
        <v>9</v>
      </c>
      <c r="E36" s="422">
        <f ca="1">IF(A36&gt;Start.listina!$K$7,"",IF(MIN(F36:K36)&gt;Start.listina!$Y$4,D36,MIN(F36:K36)))</f>
        <v>16</v>
      </c>
      <c r="F36" s="318">
        <f ca="1">IF(TYPE(VLOOKUP(C36,Konečné_pořadí_1_16!$B$2:$D$17,3,0))&lt;4,VLOOKUP(C36,Konečné_pořadí_1_16!$B$2:$D$17,3,0),999)</f>
        <v>999</v>
      </c>
      <c r="G36" s="318">
        <f ca="1">IF(TYPE(VLOOKUP(C36,'KO64'!$D$4:$D$129,1,0))&lt;4,64,999)</f>
        <v>64</v>
      </c>
      <c r="H36" s="318">
        <f ca="1">IF(TYPE(VLOOKUP(C36,'KO32'!$D$4:$D$65,1,0))&lt;4,32,999)</f>
        <v>32</v>
      </c>
      <c r="I36" s="318">
        <f ca="1">IF(TYPE(VLOOKUP(C36,'KO16'!$D$4:$D$33,1,0))&lt;4,16,999)</f>
        <v>16</v>
      </c>
      <c r="J36" s="318">
        <f ca="1">IF(TYPE(VLOOKUP(C36,'KO8'!$D$4:$D$17,1,0))&lt;4,8,999)</f>
        <v>999</v>
      </c>
      <c r="K36" s="318">
        <f ca="1">IF(TYPE(VLOOKUP(C36,'KO4'!$D$4:$D$9,1,0))&lt;4,4,999)</f>
        <v>999</v>
      </c>
      <c r="M36" s="319">
        <v>34</v>
      </c>
      <c r="O36" s="318">
        <f t="shared" ca="1" si="8"/>
        <v>3</v>
      </c>
      <c r="P36" s="318">
        <f t="shared" ca="1" si="9"/>
        <v>17</v>
      </c>
      <c r="Q36" s="318">
        <f t="shared" ca="1" si="26"/>
        <v>11</v>
      </c>
      <c r="R36" s="318">
        <f t="shared" ca="1" si="27"/>
        <v>7</v>
      </c>
      <c r="S36" s="318">
        <f t="shared" ca="1" si="10"/>
        <v>32</v>
      </c>
      <c r="T36" s="318">
        <f t="shared" ca="1" si="11"/>
        <v>3</v>
      </c>
      <c r="U36" s="397">
        <f t="shared" si="25"/>
        <v>34</v>
      </c>
      <c r="V36" s="397">
        <v>25</v>
      </c>
      <c r="W36" s="423" t="str">
        <f ca="1">IF($V36="","",CONCATENATE(TEXT($O36,"0"),IF(Start.listina!$Y$5="","",TEXT(500+$P36,"0000")),IF(Start.listina!$Y$6="","",CHOOSE(Start.listina!$Y$7,TEXT($Q36,"00"),CONCATENATE(TEXT($Q36,"00"),TEXT($S36,"000")), TEXT($R36,"00"))),TEXT(500+$P36,"0000"),IF(Start.listina!$Y$8="","",TEXT($T36,"0")),TEXT(999999*RAND(),"000000")))</f>
        <v>3110320517006995</v>
      </c>
      <c r="X36" s="399">
        <f t="shared" si="12"/>
        <v>34</v>
      </c>
      <c r="Y36" s="397">
        <f t="shared" ca="1" si="28"/>
        <v>2</v>
      </c>
      <c r="Z36" s="318">
        <f t="shared" ca="1" si="13"/>
        <v>6</v>
      </c>
      <c r="AA36" s="318">
        <f t="shared" ca="1" si="14"/>
        <v>15</v>
      </c>
      <c r="AB36" s="318">
        <f t="shared" ca="1" si="15"/>
        <v>4</v>
      </c>
      <c r="AC36" s="318">
        <f t="shared" ca="1" si="16"/>
        <v>10</v>
      </c>
      <c r="AD36" s="318">
        <f t="shared" ca="1" si="17"/>
        <v>0</v>
      </c>
      <c r="AE36" s="318">
        <f t="shared" ca="1" si="18"/>
        <v>0</v>
      </c>
      <c r="AG36" s="318">
        <f ca="1">IF(TYPE(VLOOKUP($A36,'1.kolo'!$L$3:$L$66,1,0))&gt;3,VLOOKUP($A36,'1.kolo'!$K$3:$L$66,2,0),VLOOKUP($A36,'1.kolo'!$L$3:$O$66,4,0))</f>
        <v>6</v>
      </c>
      <c r="AH36" s="318">
        <f ca="1">IF(TYPE(VLOOKUP($A36,'1.kolo'!$L$3:$L$66,1,0))&gt;3,VLOOKUP($A36,'1.kolo'!$O$3:$Q$66,2,0),VLOOKUP($A36,'1.kolo'!$L$3:$N$66,2,0))</f>
        <v>1</v>
      </c>
      <c r="AI36" s="318">
        <f ca="1">IF(TYPE(VLOOKUP($A36,'1.kolo'!$L$3:$L$66,1,0))&gt;3,VLOOKUP($A36,'1.kolo'!$O$3:$Q$66,3,0),VLOOKUP($A36,'1.kolo'!$L$3:$N$66,3,0))</f>
        <v>13</v>
      </c>
      <c r="AJ36" s="318">
        <f t="shared" ca="1" si="19"/>
        <v>1</v>
      </c>
      <c r="AK36" s="318">
        <v>34</v>
      </c>
      <c r="AL36" s="424"/>
      <c r="AP36" s="318">
        <f ca="1">IF(TYPE(VLOOKUP($A36,'2.kolo'!$L$3:$L$66,1,0))&gt;3,IF(TYPE(VLOOKUP($A36,'2.kolo'!$K$3:$L$66,2,0))&gt;3,0,VLOOKUP($A36,'2.kolo'!$K$3:$L$66,2,0)),VLOOKUP($A36,'2.kolo'!$L$3:$O$66,4,0))</f>
        <v>15</v>
      </c>
      <c r="AQ36" s="318">
        <f ca="1">IF(TYPE(VLOOKUP($A36,'2.kolo'!$L$3:$L$66,1,0))&gt;3,IF(TYPE(VLOOKUP($A36,'2.kolo'!$O$3:$Q$66,2,0))&gt;3,0,VLOOKUP($A36,'2.kolo'!$O$3:$Q$66,2,0)),VLOOKUP($A36,'2.kolo'!$L$3:$N$66,2,0))</f>
        <v>1</v>
      </c>
      <c r="AR36" s="318">
        <f ca="1">IF(TYPE(VLOOKUP($A36,'2.kolo'!$L$3:$L$66,1,0))&gt;3,IF(TYPE(VLOOKUP($A36,'2.kolo'!$O$3:$Q$66,3,0))&gt;3,0,VLOOKUP($A36,'2.kolo'!$O$3:$Q$66,3,0)),VLOOKUP($A36,'2.kolo'!$L$3:$N$66,3,0))</f>
        <v>5</v>
      </c>
      <c r="AS36" s="318">
        <f t="shared" ca="1" si="20"/>
        <v>1</v>
      </c>
      <c r="AT36" s="397">
        <v>36</v>
      </c>
      <c r="AU36" s="424" t="str">
        <f ca="1">IF(AT36="","",CONCATENATE(TEXT($O36,"0"),IF(Start.listina!$Y$5="","",TEXT(500+$P36,"000")),TEXT(999999*RAND(),"000000")))</f>
        <v>3785012</v>
      </c>
      <c r="AV36" s="318">
        <f t="shared" ca="1" si="29"/>
        <v>0</v>
      </c>
      <c r="AY36" s="318">
        <f ca="1">IF(TYPE(VLOOKUP($A36,'3.kolo'!$L$3:$L$66,1,0))&gt;3,IF(TYPE(VLOOKUP($A36,'3.kolo'!$K$3:$L$66,2,0))&gt;3,0,VLOOKUP($A36,'3.kolo'!$K$3:$L$66,2,0)),VLOOKUP($A36,'3.kolo'!$L$3:$O$66,4,0))</f>
        <v>4</v>
      </c>
      <c r="AZ36" s="318">
        <f ca="1">IF(TYPE(VLOOKUP($A36,'3.kolo'!$L$3:$L$66,1,0))&gt;3,IF(TYPE(VLOOKUP($A36,'3.kolo'!$O$3:$Q$66,2,0))&gt;3,0,VLOOKUP($A36,'3.kolo'!$O$3:$Q$66,2,0)),VLOOKUP($A36,'3.kolo'!$L$3:$N$66,2,0))</f>
        <v>0</v>
      </c>
      <c r="BA36" s="318">
        <f ca="1">IF(TYPE(VLOOKUP($A36,'3.kolo'!$L$3:$L$66,1,0))&gt;3,IF(TYPE(VLOOKUP($A36,'3.kolo'!$O$3:$Q$66,3,0))&gt;3,0,VLOOKUP($A36,'3.kolo'!$O$3:$Q$66,3,0)),VLOOKUP($A36,'3.kolo'!$L$3:$N$66,3,0))</f>
        <v>-8</v>
      </c>
      <c r="BB36" s="318">
        <f t="shared" ca="1" si="21"/>
        <v>0</v>
      </c>
      <c r="BC36" s="397">
        <v>36</v>
      </c>
      <c r="BD36" s="424" t="str">
        <f ca="1">IF(BC36="","",CONCATENATE(TEXT($O36,"0"),IF(Start.listina!$Y$5="","",TEXT(500+$P36,"000")),TEXT(999999*RAND(),"000000")))</f>
        <v>3270710</v>
      </c>
      <c r="BE36" s="318">
        <f t="shared" ca="1" si="30"/>
        <v>0</v>
      </c>
      <c r="BH36" s="318">
        <f ca="1">IF(TYPE(VLOOKUP($A36,'4.kolo'!$L$3:$L$66,1,0))&gt;3,IF(TYPE(VLOOKUP($A36,'4.kolo'!$K$3:$L$66,2,0))&gt;3,0,VLOOKUP($A36,'4.kolo'!$K$3:$L$66,2,0)),VLOOKUP($A36,'4.kolo'!$L$3:$O$66,4,0))</f>
        <v>10</v>
      </c>
      <c r="BI36" s="318">
        <f ca="1">IF(TYPE(VLOOKUP($A36,'4.kolo'!$L$3:$L$66,1,0))&gt;3,IF(TYPE(VLOOKUP($A36,'4.kolo'!$O$3:$Q$66,2,0))&gt;3,0,VLOOKUP($A36,'4.kolo'!$O$3:$Q$66,2,0)),VLOOKUP($A36,'4.kolo'!$L$3:$N$66,2,0))</f>
        <v>1</v>
      </c>
      <c r="BJ36" s="318">
        <f ca="1">IF(TYPE(VLOOKUP($A36,'4.kolo'!$L$3:$L$66,1,0))&gt;3,IF(TYPE(VLOOKUP($A36,'4.kolo'!$O$3:$Q$66,3,0))&gt;3,0,VLOOKUP($A36,'4.kolo'!$O$3:$Q$66,3,0)),VLOOKUP($A36,'4.kolo'!$L$3:$N$66,3,0))</f>
        <v>7</v>
      </c>
      <c r="BK36" s="318">
        <f t="shared" ca="1" si="22"/>
        <v>1</v>
      </c>
      <c r="BL36" s="397">
        <v>42</v>
      </c>
      <c r="BM36" s="424" t="str">
        <f ca="1">IF(BL36="","",CONCATENATE(TEXT($O36,"0"),IF(Start.listina!$Y$5="","",TEXT(500+$P36,"000")),TEXT(999999*RAND(),"000000")))</f>
        <v>3950939</v>
      </c>
      <c r="BN36" s="318">
        <f t="shared" ca="1" si="31"/>
        <v>0</v>
      </c>
      <c r="BQ36" s="318">
        <f ca="1">IF(TYPE(VLOOKUP($A36,'5.kolo'!$L$3:$L$66,1,0))&gt;3,IF(TYPE(VLOOKUP($A36,'5.kolo'!$K$3:$L$66,2,0))&gt;3,0,VLOOKUP($A36,'5.kolo'!$K$3:$L$66,2,0)),VLOOKUP($A36,'5.kolo'!$L$3:$O$66,4,0))</f>
        <v>0</v>
      </c>
      <c r="BR36" s="318">
        <f ca="1">IF(TYPE(VLOOKUP($A36,'5.kolo'!$L$3:$L$66,1,0))&gt;3,IF(TYPE(VLOOKUP($A36,'5.kolo'!$O$3:$Q$66,2,0))&gt;3,0,VLOOKUP($A36,'5.kolo'!$O$3:$Q$66,2,0)),VLOOKUP($A36,'5.kolo'!$L$3:$N$66,2,0))</f>
        <v>0</v>
      </c>
      <c r="BS36" s="318">
        <f ca="1">IF(TYPE(VLOOKUP($A36,'5.kolo'!$L$3:$L$66,1,0))&gt;3,IF(TYPE(VLOOKUP($A36,'5.kolo'!$O$3:$Q$66,3,0))&gt;3,0,VLOOKUP($A36,'5.kolo'!$O$3:$Q$66,3,0)),VLOOKUP($A36,'5.kolo'!$L$3:$N$66,3,0))</f>
        <v>0</v>
      </c>
      <c r="BT36" s="318">
        <f t="shared" ca="1" si="23"/>
        <v>0</v>
      </c>
      <c r="BU36" s="397"/>
      <c r="BV36" s="424" t="str">
        <f ca="1">IF(BU36="","",CONCATENATE(TEXT($O36,"0"),IF(Start.listina!$Y$5="","",TEXT(500+$P36,"000")),TEXT(999999*RAND(),"000000")))</f>
        <v/>
      </c>
      <c r="BW36" s="318">
        <f t="shared" ca="1" si="32"/>
        <v>0</v>
      </c>
      <c r="BZ36" s="318">
        <f ca="1">IF(TYPE(VLOOKUP($A36,'6.kolo'!$L$3:$L$66,1,0))&gt;3,IF(TYPE(VLOOKUP($A36,'6.kolo'!$K$3:$L$66,2,0))&gt;3,0,VLOOKUP($A36,'6.kolo'!$K$3:$L$66,2,0)),VLOOKUP($A36,'6.kolo'!$L$3:$O$66,4,0))</f>
        <v>0</v>
      </c>
      <c r="CA36" s="318">
        <f ca="1">IF(TYPE(VLOOKUP($A36,'6.kolo'!$L$3:$L$66,1,0))&gt;3,IF(TYPE(VLOOKUP($A36,'6.kolo'!$O$3:$Q$66,2,0))&gt;3,0,VLOOKUP($A36,'6.kolo'!$O$3:$Q$66,2,0)),VLOOKUP($A36,'6.kolo'!$L$3:$N$66,2,0))</f>
        <v>0</v>
      </c>
      <c r="CB36" s="318">
        <f ca="1">IF(TYPE(VLOOKUP($A36,'6.kolo'!$L$3:$L$66,1,0))&gt;3,IF(TYPE(VLOOKUP($A36,'6.kolo'!$O$3:$Q$66,3,0))&gt;3,0,VLOOKUP($A36,'6.kolo'!$O$3:$Q$66,3,0)),VLOOKUP($A36,'6.kolo'!$L$3:$N$66,3,0))</f>
        <v>0</v>
      </c>
      <c r="CC36" s="318">
        <f t="shared" ca="1" si="24"/>
        <v>0</v>
      </c>
      <c r="CD36" s="397"/>
      <c r="CE36" s="424" t="str">
        <f ca="1">IF(CD36="","",CONCATENATE(TEXT($O36,"0"),IF(Start.listina!$Y$5="","",TEXT(500+$P36,"000")),TEXT(999999*RAND(),"000000")))</f>
        <v/>
      </c>
      <c r="CF36" s="318">
        <f t="shared" ca="1" si="33"/>
        <v>0</v>
      </c>
    </row>
    <row r="37" spans="1:84" x14ac:dyDescent="0.4">
      <c r="A37" s="318">
        <f ca="1">IF(OR(Start.listina!H45&gt;Start.listina!$K$7,Start.listina!G45=TRUE),"",Start.listina!H45)</f>
        <v>35</v>
      </c>
      <c r="B37" s="318">
        <f ca="1">IF($A37&gt;Start.listina!$K$7,"",INT(($A37-1)/Start.listina!$O$7)+1)</f>
        <v>2</v>
      </c>
      <c r="C37" s="421" t="str">
        <f ca="1">IF(OR(Start.listina!H45&gt;Start.listina!$K$7,Start.listina!G45=TRUE)," - ",Start.listina!AL45)</f>
        <v>35 SK Pétanque Řepy - Josífková Eva</v>
      </c>
      <c r="D37" s="318">
        <f ca="1">IF(OR(A37&gt;Start.listina!$K$7,TYPE(VLOOKUP(A37,$V$3:$X$130,3,0))&gt;3),"",VLOOKUP(A37,$V$3:$X$130,3,0))</f>
        <v>45</v>
      </c>
      <c r="E37" s="422">
        <f ca="1">IF(A37&gt;Start.listina!$K$7,"",IF(MIN(F37:K37)&gt;Start.listina!$Y$4,D37,MIN(F37:K37)))</f>
        <v>45</v>
      </c>
      <c r="F37" s="318">
        <f ca="1">IF(TYPE(VLOOKUP(C37,Konečné_pořadí_1_16!$B$2:$D$17,3,0))&lt;4,VLOOKUP(C37,Konečné_pořadí_1_16!$B$2:$D$17,3,0),999)</f>
        <v>999</v>
      </c>
      <c r="G37" s="318">
        <f ca="1">IF(TYPE(VLOOKUP(C37,'KO64'!$D$4:$D$129,1,0))&lt;4,64,999)</f>
        <v>999</v>
      </c>
      <c r="H37" s="318">
        <f ca="1">IF(TYPE(VLOOKUP(C37,'KO32'!$D$4:$D$65,1,0))&lt;4,32,999)</f>
        <v>999</v>
      </c>
      <c r="I37" s="318">
        <f ca="1">IF(TYPE(VLOOKUP(C37,'KO16'!$D$4:$D$33,1,0))&lt;4,16,999)</f>
        <v>999</v>
      </c>
      <c r="J37" s="318">
        <f ca="1">IF(TYPE(VLOOKUP(C37,'KO8'!$D$4:$D$17,1,0))&lt;4,8,999)</f>
        <v>999</v>
      </c>
      <c r="K37" s="318">
        <f ca="1">IF(TYPE(VLOOKUP(C37,'KO4'!$D$4:$D$9,1,0))&lt;4,4,999)</f>
        <v>999</v>
      </c>
      <c r="M37" s="319">
        <v>35</v>
      </c>
      <c r="O37" s="318">
        <f t="shared" ca="1" si="8"/>
        <v>1</v>
      </c>
      <c r="P37" s="318">
        <f t="shared" ca="1" si="9"/>
        <v>-13</v>
      </c>
      <c r="Q37" s="318">
        <f t="shared" ca="1" si="26"/>
        <v>9</v>
      </c>
      <c r="R37" s="318">
        <f t="shared" ca="1" si="27"/>
        <v>1</v>
      </c>
      <c r="S37" s="318">
        <f t="shared" ca="1" si="10"/>
        <v>28</v>
      </c>
      <c r="T37" s="318">
        <f t="shared" ca="1" si="11"/>
        <v>1</v>
      </c>
      <c r="U37" s="397">
        <f t="shared" si="25"/>
        <v>35</v>
      </c>
      <c r="V37" s="397">
        <v>40</v>
      </c>
      <c r="W37" s="423" t="str">
        <f ca="1">IF($V37="","",CONCATENATE(TEXT($O37,"0"),IF(Start.listina!$Y$5="","",TEXT(500+$P37,"0000")),IF(Start.listina!$Y$6="","",CHOOSE(Start.listina!$Y$7,TEXT($Q37,"00"),CONCATENATE(TEXT($Q37,"00"),TEXT($S37,"000")), TEXT($R37,"00"))),TEXT(500+$P37,"0000"),IF(Start.listina!$Y$8="","",TEXT($T37,"0")),TEXT(999999*RAND(),"000000")))</f>
        <v>1090280487003422</v>
      </c>
      <c r="X37" s="399">
        <f t="shared" si="12"/>
        <v>35</v>
      </c>
      <c r="Y37" s="397">
        <f t="shared" ca="1" si="28"/>
        <v>2</v>
      </c>
      <c r="Z37" s="318">
        <f t="shared" ca="1" si="13"/>
        <v>7</v>
      </c>
      <c r="AA37" s="318">
        <f t="shared" ca="1" si="14"/>
        <v>19</v>
      </c>
      <c r="AB37" s="318">
        <f t="shared" ca="1" si="15"/>
        <v>3</v>
      </c>
      <c r="AC37" s="318">
        <f t="shared" ca="1" si="16"/>
        <v>25</v>
      </c>
      <c r="AD37" s="318">
        <f t="shared" ca="1" si="17"/>
        <v>0</v>
      </c>
      <c r="AE37" s="318">
        <f t="shared" ca="1" si="18"/>
        <v>0</v>
      </c>
      <c r="AG37" s="318">
        <f ca="1">IF(TYPE(VLOOKUP($A37,'1.kolo'!$L$3:$L$66,1,0))&gt;3,VLOOKUP($A37,'1.kolo'!$K$3:$L$66,2,0),VLOOKUP($A37,'1.kolo'!$L$3:$O$66,4,0))</f>
        <v>7</v>
      </c>
      <c r="AH37" s="318">
        <f ca="1">IF(TYPE(VLOOKUP($A37,'1.kolo'!$L$3:$L$66,1,0))&gt;3,VLOOKUP($A37,'1.kolo'!$O$3:$Q$66,2,0),VLOOKUP($A37,'1.kolo'!$L$3:$N$66,2,0))</f>
        <v>0</v>
      </c>
      <c r="AI37" s="318">
        <f ca="1">IF(TYPE(VLOOKUP($A37,'1.kolo'!$L$3:$L$66,1,0))&gt;3,VLOOKUP($A37,'1.kolo'!$O$3:$Q$66,3,0),VLOOKUP($A37,'1.kolo'!$L$3:$N$66,3,0))</f>
        <v>-7</v>
      </c>
      <c r="AJ37" s="318">
        <f t="shared" ca="1" si="19"/>
        <v>0</v>
      </c>
      <c r="AK37" s="318">
        <v>35</v>
      </c>
      <c r="AL37" s="424"/>
      <c r="AP37" s="318">
        <f ca="1">IF(TYPE(VLOOKUP($A37,'2.kolo'!$L$3:$L$66,1,0))&gt;3,IF(TYPE(VLOOKUP($A37,'2.kolo'!$K$3:$L$66,2,0))&gt;3,0,VLOOKUP($A37,'2.kolo'!$K$3:$L$66,2,0)),VLOOKUP($A37,'2.kolo'!$L$3:$O$66,4,0))</f>
        <v>19</v>
      </c>
      <c r="AQ37" s="318">
        <f ca="1">IF(TYPE(VLOOKUP($A37,'2.kolo'!$L$3:$L$66,1,0))&gt;3,IF(TYPE(VLOOKUP($A37,'2.kolo'!$O$3:$Q$66,2,0))&gt;3,0,VLOOKUP($A37,'2.kolo'!$O$3:$Q$66,2,0)),VLOOKUP($A37,'2.kolo'!$L$3:$N$66,2,0))</f>
        <v>1</v>
      </c>
      <c r="AR37" s="318">
        <f ca="1">IF(TYPE(VLOOKUP($A37,'2.kolo'!$L$3:$L$66,1,0))&gt;3,IF(TYPE(VLOOKUP($A37,'2.kolo'!$O$3:$Q$66,3,0))&gt;3,0,VLOOKUP($A37,'2.kolo'!$O$3:$Q$66,3,0)),VLOOKUP($A37,'2.kolo'!$L$3:$N$66,3,0))</f>
        <v>11</v>
      </c>
      <c r="AS37" s="318">
        <f t="shared" ca="1" si="20"/>
        <v>1</v>
      </c>
      <c r="AT37" s="397">
        <v>49</v>
      </c>
      <c r="AU37" s="424" t="str">
        <f ca="1">IF(AT37="","",CONCATENATE(TEXT($O37,"0"),IF(Start.listina!$Y$5="","",TEXT(500+$P37,"000")),TEXT(999999*RAND(),"000000")))</f>
        <v>1052931</v>
      </c>
      <c r="AV37" s="318">
        <f t="shared" ca="1" si="29"/>
        <v>0</v>
      </c>
      <c r="AY37" s="318">
        <f ca="1">IF(TYPE(VLOOKUP($A37,'3.kolo'!$L$3:$L$66,1,0))&gt;3,IF(TYPE(VLOOKUP($A37,'3.kolo'!$K$3:$L$66,2,0))&gt;3,0,VLOOKUP($A37,'3.kolo'!$K$3:$L$66,2,0)),VLOOKUP($A37,'3.kolo'!$L$3:$O$66,4,0))</f>
        <v>3</v>
      </c>
      <c r="AZ37" s="318">
        <f ca="1">IF(TYPE(VLOOKUP($A37,'3.kolo'!$L$3:$L$66,1,0))&gt;3,IF(TYPE(VLOOKUP($A37,'3.kolo'!$O$3:$Q$66,2,0))&gt;3,0,VLOOKUP($A37,'3.kolo'!$O$3:$Q$66,2,0)),VLOOKUP($A37,'3.kolo'!$L$3:$N$66,2,0))</f>
        <v>0</v>
      </c>
      <c r="BA37" s="318">
        <f ca="1">IF(TYPE(VLOOKUP($A37,'3.kolo'!$L$3:$L$66,1,0))&gt;3,IF(TYPE(VLOOKUP($A37,'3.kolo'!$O$3:$Q$66,3,0))&gt;3,0,VLOOKUP($A37,'3.kolo'!$O$3:$Q$66,3,0)),VLOOKUP($A37,'3.kolo'!$L$3:$N$66,3,0))</f>
        <v>-10</v>
      </c>
      <c r="BB37" s="318">
        <f t="shared" ca="1" si="21"/>
        <v>0</v>
      </c>
      <c r="BC37" s="397">
        <v>16</v>
      </c>
      <c r="BD37" s="424" t="str">
        <f ca="1">IF(BC37="","",CONCATENATE(TEXT($O37,"0"),IF(Start.listina!$Y$5="","",TEXT(500+$P37,"000")),TEXT(999999*RAND(),"000000")))</f>
        <v>1402178</v>
      </c>
      <c r="BE37" s="318">
        <f t="shared" ca="1" si="30"/>
        <v>0</v>
      </c>
      <c r="BH37" s="318">
        <f ca="1">IF(TYPE(VLOOKUP($A37,'4.kolo'!$L$3:$L$66,1,0))&gt;3,IF(TYPE(VLOOKUP($A37,'4.kolo'!$K$3:$L$66,2,0))&gt;3,0,VLOOKUP($A37,'4.kolo'!$K$3:$L$66,2,0)),VLOOKUP($A37,'4.kolo'!$L$3:$O$66,4,0))</f>
        <v>25</v>
      </c>
      <c r="BI37" s="318">
        <f ca="1">IF(TYPE(VLOOKUP($A37,'4.kolo'!$L$3:$L$66,1,0))&gt;3,IF(TYPE(VLOOKUP($A37,'4.kolo'!$O$3:$Q$66,2,0))&gt;3,0,VLOOKUP($A37,'4.kolo'!$O$3:$Q$66,2,0)),VLOOKUP($A37,'4.kolo'!$L$3:$N$66,2,0))</f>
        <v>0</v>
      </c>
      <c r="BJ37" s="318">
        <f ca="1">IF(TYPE(VLOOKUP($A37,'4.kolo'!$L$3:$L$66,1,0))&gt;3,IF(TYPE(VLOOKUP($A37,'4.kolo'!$O$3:$Q$66,3,0))&gt;3,0,VLOOKUP($A37,'4.kolo'!$O$3:$Q$66,3,0)),VLOOKUP($A37,'4.kolo'!$L$3:$N$66,3,0))</f>
        <v>-7</v>
      </c>
      <c r="BK37" s="318">
        <f t="shared" ca="1" si="22"/>
        <v>0</v>
      </c>
      <c r="BL37" s="397">
        <v>47</v>
      </c>
      <c r="BM37" s="424" t="str">
        <f ca="1">IF(BL37="","",CONCATENATE(TEXT($O37,"0"),IF(Start.listina!$Y$5="","",TEXT(500+$P37,"000")),TEXT(999999*RAND(),"000000")))</f>
        <v>1710660</v>
      </c>
      <c r="BN37" s="318">
        <f t="shared" ca="1" si="31"/>
        <v>0</v>
      </c>
      <c r="BQ37" s="318">
        <f ca="1">IF(TYPE(VLOOKUP($A37,'5.kolo'!$L$3:$L$66,1,0))&gt;3,IF(TYPE(VLOOKUP($A37,'5.kolo'!$K$3:$L$66,2,0))&gt;3,0,VLOOKUP($A37,'5.kolo'!$K$3:$L$66,2,0)),VLOOKUP($A37,'5.kolo'!$L$3:$O$66,4,0))</f>
        <v>0</v>
      </c>
      <c r="BR37" s="318">
        <f ca="1">IF(TYPE(VLOOKUP($A37,'5.kolo'!$L$3:$L$66,1,0))&gt;3,IF(TYPE(VLOOKUP($A37,'5.kolo'!$O$3:$Q$66,2,0))&gt;3,0,VLOOKUP($A37,'5.kolo'!$O$3:$Q$66,2,0)),VLOOKUP($A37,'5.kolo'!$L$3:$N$66,2,0))</f>
        <v>0</v>
      </c>
      <c r="BS37" s="318">
        <f ca="1">IF(TYPE(VLOOKUP($A37,'5.kolo'!$L$3:$L$66,1,0))&gt;3,IF(TYPE(VLOOKUP($A37,'5.kolo'!$O$3:$Q$66,3,0))&gt;3,0,VLOOKUP($A37,'5.kolo'!$O$3:$Q$66,3,0)),VLOOKUP($A37,'5.kolo'!$L$3:$N$66,3,0))</f>
        <v>0</v>
      </c>
      <c r="BT37" s="318">
        <f t="shared" ca="1" si="23"/>
        <v>0</v>
      </c>
      <c r="BU37" s="397"/>
      <c r="BV37" s="424" t="str">
        <f ca="1">IF(BU37="","",CONCATENATE(TEXT($O37,"0"),IF(Start.listina!$Y$5="","",TEXT(500+$P37,"000")),TEXT(999999*RAND(),"000000")))</f>
        <v/>
      </c>
      <c r="BW37" s="318">
        <f t="shared" ca="1" si="32"/>
        <v>0</v>
      </c>
      <c r="BZ37" s="318">
        <f ca="1">IF(TYPE(VLOOKUP($A37,'6.kolo'!$L$3:$L$66,1,0))&gt;3,IF(TYPE(VLOOKUP($A37,'6.kolo'!$K$3:$L$66,2,0))&gt;3,0,VLOOKUP($A37,'6.kolo'!$K$3:$L$66,2,0)),VLOOKUP($A37,'6.kolo'!$L$3:$O$66,4,0))</f>
        <v>0</v>
      </c>
      <c r="CA37" s="318">
        <f ca="1">IF(TYPE(VLOOKUP($A37,'6.kolo'!$L$3:$L$66,1,0))&gt;3,IF(TYPE(VLOOKUP($A37,'6.kolo'!$O$3:$Q$66,2,0))&gt;3,0,VLOOKUP($A37,'6.kolo'!$O$3:$Q$66,2,0)),VLOOKUP($A37,'6.kolo'!$L$3:$N$66,2,0))</f>
        <v>0</v>
      </c>
      <c r="CB37" s="318">
        <f ca="1">IF(TYPE(VLOOKUP($A37,'6.kolo'!$L$3:$L$66,1,0))&gt;3,IF(TYPE(VLOOKUP($A37,'6.kolo'!$O$3:$Q$66,3,0))&gt;3,0,VLOOKUP($A37,'6.kolo'!$O$3:$Q$66,3,0)),VLOOKUP($A37,'6.kolo'!$L$3:$N$66,3,0))</f>
        <v>0</v>
      </c>
      <c r="CC37" s="318">
        <f t="shared" ca="1" si="24"/>
        <v>0</v>
      </c>
      <c r="CD37" s="397"/>
      <c r="CE37" s="424" t="str">
        <f ca="1">IF(CD37="","",CONCATENATE(TEXT($O37,"0"),IF(Start.listina!$Y$5="","",TEXT(500+$P37,"000")),TEXT(999999*RAND(),"000000")))</f>
        <v/>
      </c>
      <c r="CF37" s="318">
        <f t="shared" ca="1" si="33"/>
        <v>0</v>
      </c>
    </row>
    <row r="38" spans="1:84" x14ac:dyDescent="0.4">
      <c r="A38" s="318">
        <f ca="1">IF(OR(Start.listina!H46&gt;Start.listina!$K$7,Start.listina!G46=TRUE),"",Start.listina!H46)</f>
        <v>36</v>
      </c>
      <c r="B38" s="318">
        <f ca="1">IF($A38&gt;Start.listina!$K$7,"",INT(($A38-1)/Start.listina!$O$7)+1)</f>
        <v>2</v>
      </c>
      <c r="C38" s="421" t="str">
        <f ca="1">IF(OR(Start.listina!H46&gt;Start.listina!$K$7,Start.listina!G46=TRUE)," - ",Start.listina!AL46)</f>
        <v>36 FRAPECO - Ondryáš Jiří</v>
      </c>
      <c r="D38" s="318">
        <f ca="1">IF(OR(A38&gt;Start.listina!$K$7,TYPE(VLOOKUP(A38,$V$3:$X$130,3,0))&gt;3),"",VLOOKUP(A38,$V$3:$X$130,3,0))</f>
        <v>47</v>
      </c>
      <c r="E38" s="422">
        <f ca="1">IF(A38&gt;Start.listina!$K$7,"",IF(MIN(F38:K38)&gt;Start.listina!$Y$4,D38,MIN(F38:K38)))</f>
        <v>47</v>
      </c>
      <c r="F38" s="318">
        <f ca="1">IF(TYPE(VLOOKUP(C38,Konečné_pořadí_1_16!$B$2:$D$17,3,0))&lt;4,VLOOKUP(C38,Konečné_pořadí_1_16!$B$2:$D$17,3,0),999)</f>
        <v>999</v>
      </c>
      <c r="G38" s="318">
        <f ca="1">IF(TYPE(VLOOKUP(C38,'KO64'!$D$4:$D$129,1,0))&lt;4,64,999)</f>
        <v>999</v>
      </c>
      <c r="H38" s="318">
        <f ca="1">IF(TYPE(VLOOKUP(C38,'KO32'!$D$4:$D$65,1,0))&lt;4,32,999)</f>
        <v>999</v>
      </c>
      <c r="I38" s="318">
        <f ca="1">IF(TYPE(VLOOKUP(C38,'KO16'!$D$4:$D$33,1,0))&lt;4,16,999)</f>
        <v>999</v>
      </c>
      <c r="J38" s="318">
        <f ca="1">IF(TYPE(VLOOKUP(C38,'KO8'!$D$4:$D$17,1,0))&lt;4,8,999)</f>
        <v>999</v>
      </c>
      <c r="K38" s="318">
        <f ca="1">IF(TYPE(VLOOKUP(C38,'KO4'!$D$4:$D$9,1,0))&lt;4,4,999)</f>
        <v>999</v>
      </c>
      <c r="M38" s="319">
        <v>36</v>
      </c>
      <c r="O38" s="318">
        <f t="shared" ca="1" si="8"/>
        <v>1</v>
      </c>
      <c r="P38" s="318">
        <f t="shared" ca="1" si="9"/>
        <v>-12</v>
      </c>
      <c r="Q38" s="318">
        <f t="shared" ca="1" si="26"/>
        <v>8</v>
      </c>
      <c r="R38" s="318">
        <f t="shared" ca="1" si="27"/>
        <v>2</v>
      </c>
      <c r="S38" s="318">
        <f t="shared" ca="1" si="10"/>
        <v>27</v>
      </c>
      <c r="T38" s="318">
        <f t="shared" ca="1" si="11"/>
        <v>1</v>
      </c>
      <c r="U38" s="397">
        <f t="shared" si="25"/>
        <v>36</v>
      </c>
      <c r="V38" s="397">
        <v>45</v>
      </c>
      <c r="W38" s="423" t="str">
        <f ca="1">IF($V38="","",CONCATENATE(TEXT($O38,"0"),IF(Start.listina!$Y$5="","",TEXT(500+$P38,"0000")),IF(Start.listina!$Y$6="","",CHOOSE(Start.listina!$Y$7,TEXT($Q38,"00"),CONCATENATE(TEXT($Q38,"00"),TEXT($S38,"000")), TEXT($R38,"00"))),TEXT(500+$P38,"0000"),IF(Start.listina!$Y$8="","",TEXT($T38,"0")),TEXT(999999*RAND(),"000000")))</f>
        <v>1080270488814502</v>
      </c>
      <c r="X38" s="399">
        <f t="shared" si="12"/>
        <v>36</v>
      </c>
      <c r="Y38" s="397">
        <f t="shared" ca="1" si="28"/>
        <v>2</v>
      </c>
      <c r="Z38" s="318">
        <f t="shared" ca="1" si="13"/>
        <v>8</v>
      </c>
      <c r="AA38" s="318">
        <f t="shared" ca="1" si="14"/>
        <v>6</v>
      </c>
      <c r="AB38" s="318">
        <f t="shared" ca="1" si="15"/>
        <v>9</v>
      </c>
      <c r="AC38" s="318">
        <f t="shared" ca="1" si="16"/>
        <v>20</v>
      </c>
      <c r="AD38" s="318">
        <f t="shared" ca="1" si="17"/>
        <v>0</v>
      </c>
      <c r="AE38" s="318">
        <f t="shared" ca="1" si="18"/>
        <v>0</v>
      </c>
      <c r="AG38" s="318">
        <f ca="1">IF(TYPE(VLOOKUP($A38,'1.kolo'!$L$3:$L$66,1,0))&gt;3,VLOOKUP($A38,'1.kolo'!$K$3:$L$66,2,0),VLOOKUP($A38,'1.kolo'!$L$3:$O$66,4,0))</f>
        <v>8</v>
      </c>
      <c r="AH38" s="318">
        <f ca="1">IF(TYPE(VLOOKUP($A38,'1.kolo'!$L$3:$L$66,1,0))&gt;3,VLOOKUP($A38,'1.kolo'!$O$3:$Q$66,2,0),VLOOKUP($A38,'1.kolo'!$L$3:$N$66,2,0))</f>
        <v>0</v>
      </c>
      <c r="AI38" s="318">
        <f ca="1">IF(TYPE(VLOOKUP($A38,'1.kolo'!$L$3:$L$66,1,0))&gt;3,VLOOKUP($A38,'1.kolo'!$O$3:$Q$66,3,0),VLOOKUP($A38,'1.kolo'!$L$3:$N$66,3,0))</f>
        <v>-8</v>
      </c>
      <c r="AJ38" s="318">
        <f t="shared" ca="1" si="19"/>
        <v>0</v>
      </c>
      <c r="AK38" s="318">
        <v>36</v>
      </c>
      <c r="AL38" s="424"/>
      <c r="AP38" s="318">
        <f ca="1">IF(TYPE(VLOOKUP($A38,'2.kolo'!$L$3:$L$66,1,0))&gt;3,IF(TYPE(VLOOKUP($A38,'2.kolo'!$K$3:$L$66,2,0))&gt;3,0,VLOOKUP($A38,'2.kolo'!$K$3:$L$66,2,0)),VLOOKUP($A38,'2.kolo'!$L$3:$O$66,4,0))</f>
        <v>6</v>
      </c>
      <c r="AQ38" s="318">
        <f ca="1">IF(TYPE(VLOOKUP($A38,'2.kolo'!$L$3:$L$66,1,0))&gt;3,IF(TYPE(VLOOKUP($A38,'2.kolo'!$O$3:$Q$66,2,0))&gt;3,0,VLOOKUP($A38,'2.kolo'!$O$3:$Q$66,2,0)),VLOOKUP($A38,'2.kolo'!$L$3:$N$66,2,0))</f>
        <v>1</v>
      </c>
      <c r="AR38" s="318">
        <f ca="1">IF(TYPE(VLOOKUP($A38,'2.kolo'!$L$3:$L$66,1,0))&gt;3,IF(TYPE(VLOOKUP($A38,'2.kolo'!$O$3:$Q$66,3,0))&gt;3,0,VLOOKUP($A38,'2.kolo'!$O$3:$Q$66,3,0)),VLOOKUP($A38,'2.kolo'!$L$3:$N$66,3,0))</f>
        <v>7</v>
      </c>
      <c r="AS38" s="318">
        <f t="shared" ca="1" si="20"/>
        <v>1</v>
      </c>
      <c r="AT38" s="397">
        <v>50</v>
      </c>
      <c r="AU38" s="424" t="str">
        <f ca="1">IF(AT38="","",CONCATENATE(TEXT($O38,"0"),IF(Start.listina!$Y$5="","",TEXT(500+$P38,"000")),TEXT(999999*RAND(),"000000")))</f>
        <v>1776906</v>
      </c>
      <c r="AV38" s="318">
        <f t="shared" ca="1" si="29"/>
        <v>0</v>
      </c>
      <c r="AY38" s="318">
        <f ca="1">IF(TYPE(VLOOKUP($A38,'3.kolo'!$L$3:$L$66,1,0))&gt;3,IF(TYPE(VLOOKUP($A38,'3.kolo'!$K$3:$L$66,2,0))&gt;3,0,VLOOKUP($A38,'3.kolo'!$K$3:$L$66,2,0)),VLOOKUP($A38,'3.kolo'!$L$3:$O$66,4,0))</f>
        <v>9</v>
      </c>
      <c r="AZ38" s="318">
        <f ca="1">IF(TYPE(VLOOKUP($A38,'3.kolo'!$L$3:$L$66,1,0))&gt;3,IF(TYPE(VLOOKUP($A38,'3.kolo'!$O$3:$Q$66,2,0))&gt;3,0,VLOOKUP($A38,'3.kolo'!$O$3:$Q$66,2,0)),VLOOKUP($A38,'3.kolo'!$L$3:$N$66,2,0))</f>
        <v>0</v>
      </c>
      <c r="BA38" s="318">
        <f ca="1">IF(TYPE(VLOOKUP($A38,'3.kolo'!$L$3:$L$66,1,0))&gt;3,IF(TYPE(VLOOKUP($A38,'3.kolo'!$O$3:$Q$66,3,0))&gt;3,0,VLOOKUP($A38,'3.kolo'!$O$3:$Q$66,3,0)),VLOOKUP($A38,'3.kolo'!$L$3:$N$66,3,0))</f>
        <v>-9</v>
      </c>
      <c r="BB38" s="318">
        <f t="shared" ca="1" si="21"/>
        <v>0</v>
      </c>
      <c r="BC38" s="397">
        <v>17</v>
      </c>
      <c r="BD38" s="424" t="str">
        <f ca="1">IF(BC38="","",CONCATENATE(TEXT($O38,"0"),IF(Start.listina!$Y$5="","",TEXT(500+$P38,"000")),TEXT(999999*RAND(),"000000")))</f>
        <v>1392195</v>
      </c>
      <c r="BE38" s="318">
        <f t="shared" ca="1" si="30"/>
        <v>0</v>
      </c>
      <c r="BH38" s="318">
        <f ca="1">IF(TYPE(VLOOKUP($A38,'4.kolo'!$L$3:$L$66,1,0))&gt;3,IF(TYPE(VLOOKUP($A38,'4.kolo'!$K$3:$L$66,2,0))&gt;3,0,VLOOKUP($A38,'4.kolo'!$K$3:$L$66,2,0)),VLOOKUP($A38,'4.kolo'!$L$3:$O$66,4,0))</f>
        <v>20</v>
      </c>
      <c r="BI38" s="318">
        <f ca="1">IF(TYPE(VLOOKUP($A38,'4.kolo'!$L$3:$L$66,1,0))&gt;3,IF(TYPE(VLOOKUP($A38,'4.kolo'!$O$3:$Q$66,2,0))&gt;3,0,VLOOKUP($A38,'4.kolo'!$O$3:$Q$66,2,0)),VLOOKUP($A38,'4.kolo'!$L$3:$N$66,2,0))</f>
        <v>0</v>
      </c>
      <c r="BJ38" s="318">
        <f ca="1">IF(TYPE(VLOOKUP($A38,'4.kolo'!$L$3:$L$66,1,0))&gt;3,IF(TYPE(VLOOKUP($A38,'4.kolo'!$O$3:$Q$66,3,0))&gt;3,0,VLOOKUP($A38,'4.kolo'!$O$3:$Q$66,3,0)),VLOOKUP($A38,'4.kolo'!$L$3:$N$66,3,0))</f>
        <v>-2</v>
      </c>
      <c r="BK38" s="318">
        <f t="shared" ca="1" si="22"/>
        <v>0</v>
      </c>
      <c r="BL38" s="397">
        <v>50</v>
      </c>
      <c r="BM38" s="424" t="str">
        <f ca="1">IF(BL38="","",CONCATENATE(TEXT($O38,"0"),IF(Start.listina!$Y$5="","",TEXT(500+$P38,"000")),TEXT(999999*RAND(),"000000")))</f>
        <v>1715179</v>
      </c>
      <c r="BN38" s="318">
        <f t="shared" ca="1" si="31"/>
        <v>0</v>
      </c>
      <c r="BQ38" s="318">
        <f ca="1">IF(TYPE(VLOOKUP($A38,'5.kolo'!$L$3:$L$66,1,0))&gt;3,IF(TYPE(VLOOKUP($A38,'5.kolo'!$K$3:$L$66,2,0))&gt;3,0,VLOOKUP($A38,'5.kolo'!$K$3:$L$66,2,0)),VLOOKUP($A38,'5.kolo'!$L$3:$O$66,4,0))</f>
        <v>0</v>
      </c>
      <c r="BR38" s="318">
        <f ca="1">IF(TYPE(VLOOKUP($A38,'5.kolo'!$L$3:$L$66,1,0))&gt;3,IF(TYPE(VLOOKUP($A38,'5.kolo'!$O$3:$Q$66,2,0))&gt;3,0,VLOOKUP($A38,'5.kolo'!$O$3:$Q$66,2,0)),VLOOKUP($A38,'5.kolo'!$L$3:$N$66,2,0))</f>
        <v>0</v>
      </c>
      <c r="BS38" s="318">
        <f ca="1">IF(TYPE(VLOOKUP($A38,'5.kolo'!$L$3:$L$66,1,0))&gt;3,IF(TYPE(VLOOKUP($A38,'5.kolo'!$O$3:$Q$66,3,0))&gt;3,0,VLOOKUP($A38,'5.kolo'!$O$3:$Q$66,3,0)),VLOOKUP($A38,'5.kolo'!$L$3:$N$66,3,0))</f>
        <v>0</v>
      </c>
      <c r="BT38" s="318">
        <f t="shared" ca="1" si="23"/>
        <v>0</v>
      </c>
      <c r="BU38" s="397"/>
      <c r="BV38" s="424" t="str">
        <f ca="1">IF(BU38="","",CONCATENATE(TEXT($O38,"0"),IF(Start.listina!$Y$5="","",TEXT(500+$P38,"000")),TEXT(999999*RAND(),"000000")))</f>
        <v/>
      </c>
      <c r="BW38" s="318">
        <f t="shared" ca="1" si="32"/>
        <v>0</v>
      </c>
      <c r="BZ38" s="318">
        <f ca="1">IF(TYPE(VLOOKUP($A38,'6.kolo'!$L$3:$L$66,1,0))&gt;3,IF(TYPE(VLOOKUP($A38,'6.kolo'!$K$3:$L$66,2,0))&gt;3,0,VLOOKUP($A38,'6.kolo'!$K$3:$L$66,2,0)),VLOOKUP($A38,'6.kolo'!$L$3:$O$66,4,0))</f>
        <v>0</v>
      </c>
      <c r="CA38" s="318">
        <f ca="1">IF(TYPE(VLOOKUP($A38,'6.kolo'!$L$3:$L$66,1,0))&gt;3,IF(TYPE(VLOOKUP($A38,'6.kolo'!$O$3:$Q$66,2,0))&gt;3,0,VLOOKUP($A38,'6.kolo'!$O$3:$Q$66,2,0)),VLOOKUP($A38,'6.kolo'!$L$3:$N$66,2,0))</f>
        <v>0</v>
      </c>
      <c r="CB38" s="318">
        <f ca="1">IF(TYPE(VLOOKUP($A38,'6.kolo'!$L$3:$L$66,1,0))&gt;3,IF(TYPE(VLOOKUP($A38,'6.kolo'!$O$3:$Q$66,3,0))&gt;3,0,VLOOKUP($A38,'6.kolo'!$O$3:$Q$66,3,0)),VLOOKUP($A38,'6.kolo'!$L$3:$N$66,3,0))</f>
        <v>0</v>
      </c>
      <c r="CC38" s="318">
        <f t="shared" ca="1" si="24"/>
        <v>0</v>
      </c>
      <c r="CD38" s="397"/>
      <c r="CE38" s="424" t="str">
        <f ca="1">IF(CD38="","",CONCATENATE(TEXT($O38,"0"),IF(Start.listina!$Y$5="","",TEXT(500+$P38,"000")),TEXT(999999*RAND(),"000000")))</f>
        <v/>
      </c>
      <c r="CF38" s="318">
        <f t="shared" ca="1" si="33"/>
        <v>0</v>
      </c>
    </row>
    <row r="39" spans="1:84" x14ac:dyDescent="0.4">
      <c r="A39" s="318">
        <f ca="1">IF(OR(Start.listina!H47&gt;Start.listina!$K$7,Start.listina!G47=TRUE),"",Start.listina!H47)</f>
        <v>37</v>
      </c>
      <c r="B39" s="318">
        <f ca="1">IF($A39&gt;Start.listina!$K$7,"",INT(($A39-1)/Start.listina!$O$7)+1)</f>
        <v>2</v>
      </c>
      <c r="C39" s="421" t="str">
        <f ca="1">IF(OR(Start.listina!H47&gt;Start.listina!$K$7,Start.listina!G47=TRUE)," - ",Start.listina!AL47)</f>
        <v>37 SK Pétanque Řepy - Konopová Marta</v>
      </c>
      <c r="D39" s="318">
        <f ca="1">IF(OR(A39&gt;Start.listina!$K$7,TYPE(VLOOKUP(A39,$V$3:$X$130,3,0))&gt;3),"",VLOOKUP(A39,$V$3:$X$130,3,0))</f>
        <v>33</v>
      </c>
      <c r="E39" s="422">
        <f ca="1">IF(A39&gt;Start.listina!$K$7,"",IF(MIN(F39:K39)&gt;Start.listina!$Y$4,D39,MIN(F39:K39)))</f>
        <v>33</v>
      </c>
      <c r="F39" s="318">
        <f ca="1">IF(TYPE(VLOOKUP(C39,Konečné_pořadí_1_16!$B$2:$D$17,3,0))&lt;4,VLOOKUP(C39,Konečné_pořadí_1_16!$B$2:$D$17,3,0),999)</f>
        <v>999</v>
      </c>
      <c r="G39" s="318">
        <f ca="1">IF(TYPE(VLOOKUP(C39,'KO64'!$D$4:$D$129,1,0))&lt;4,64,999)</f>
        <v>999</v>
      </c>
      <c r="H39" s="318">
        <f ca="1">IF(TYPE(VLOOKUP(C39,'KO32'!$D$4:$D$65,1,0))&lt;4,32,999)</f>
        <v>999</v>
      </c>
      <c r="I39" s="318">
        <f ca="1">IF(TYPE(VLOOKUP(C39,'KO16'!$D$4:$D$33,1,0))&lt;4,16,999)</f>
        <v>999</v>
      </c>
      <c r="J39" s="318">
        <f ca="1">IF(TYPE(VLOOKUP(C39,'KO8'!$D$4:$D$17,1,0))&lt;4,8,999)</f>
        <v>999</v>
      </c>
      <c r="K39" s="318">
        <f ca="1">IF(TYPE(VLOOKUP(C39,'KO4'!$D$4:$D$9,1,0))&lt;4,4,999)</f>
        <v>999</v>
      </c>
      <c r="M39" s="319">
        <v>37</v>
      </c>
      <c r="O39" s="318">
        <f t="shared" ca="1" si="8"/>
        <v>2</v>
      </c>
      <c r="P39" s="318">
        <f t="shared" ca="1" si="9"/>
        <v>-5</v>
      </c>
      <c r="Q39" s="318">
        <f t="shared" ca="1" si="26"/>
        <v>7</v>
      </c>
      <c r="R39" s="318">
        <f t="shared" ca="1" si="27"/>
        <v>2</v>
      </c>
      <c r="S39" s="318">
        <f t="shared" ca="1" si="10"/>
        <v>34</v>
      </c>
      <c r="T39" s="318">
        <f t="shared" ca="1" si="11"/>
        <v>2</v>
      </c>
      <c r="U39" s="397">
        <f t="shared" si="25"/>
        <v>37</v>
      </c>
      <c r="V39" s="397">
        <v>18</v>
      </c>
      <c r="W39" s="423" t="str">
        <f ca="1">IF($V39="","",CONCATENATE(TEXT($O39,"0"),IF(Start.listina!$Y$5="","",TEXT(500+$P39,"0000")),IF(Start.listina!$Y$6="","",CHOOSE(Start.listina!$Y$7,TEXT($Q39,"00"),CONCATENATE(TEXT($Q39,"00"),TEXT($S39,"000")), TEXT($R39,"00"))),TEXT(500+$P39,"0000"),IF(Start.listina!$Y$8="","",TEXT($T39,"0")),TEXT(999999*RAND(),"000000")))</f>
        <v>2070340495322351</v>
      </c>
      <c r="X39" s="399">
        <f t="shared" si="12"/>
        <v>37</v>
      </c>
      <c r="Y39" s="397">
        <f t="shared" ca="1" si="28"/>
        <v>2</v>
      </c>
      <c r="Z39" s="318">
        <f t="shared" ca="1" si="13"/>
        <v>9</v>
      </c>
      <c r="AA39" s="318">
        <f t="shared" ca="1" si="14"/>
        <v>46</v>
      </c>
      <c r="AB39" s="318">
        <f t="shared" ca="1" si="15"/>
        <v>27</v>
      </c>
      <c r="AC39" s="318">
        <f t="shared" ca="1" si="16"/>
        <v>16</v>
      </c>
      <c r="AD39" s="318">
        <f t="shared" ca="1" si="17"/>
        <v>0</v>
      </c>
      <c r="AE39" s="318">
        <f t="shared" ca="1" si="18"/>
        <v>0</v>
      </c>
      <c r="AG39" s="318">
        <f ca="1">IF(TYPE(VLOOKUP($A39,'1.kolo'!$L$3:$L$66,1,0))&gt;3,VLOOKUP($A39,'1.kolo'!$K$3:$L$66,2,0),VLOOKUP($A39,'1.kolo'!$L$3:$O$66,4,0))</f>
        <v>9</v>
      </c>
      <c r="AH39" s="318">
        <f ca="1">IF(TYPE(VLOOKUP($A39,'1.kolo'!$L$3:$L$66,1,0))&gt;3,VLOOKUP($A39,'1.kolo'!$O$3:$Q$66,2,0),VLOOKUP($A39,'1.kolo'!$L$3:$N$66,2,0))</f>
        <v>0</v>
      </c>
      <c r="AI39" s="318">
        <f ca="1">IF(TYPE(VLOOKUP($A39,'1.kolo'!$L$3:$L$66,1,0))&gt;3,VLOOKUP($A39,'1.kolo'!$O$3:$Q$66,3,0),VLOOKUP($A39,'1.kolo'!$L$3:$N$66,3,0))</f>
        <v>-7</v>
      </c>
      <c r="AJ39" s="318">
        <f t="shared" ca="1" si="19"/>
        <v>0</v>
      </c>
      <c r="AK39" s="318">
        <v>37</v>
      </c>
      <c r="AL39" s="424"/>
      <c r="AP39" s="318">
        <f ca="1">IF(TYPE(VLOOKUP($A39,'2.kolo'!$L$3:$L$66,1,0))&gt;3,IF(TYPE(VLOOKUP($A39,'2.kolo'!$K$3:$L$66,2,0))&gt;3,0,VLOOKUP($A39,'2.kolo'!$K$3:$L$66,2,0)),VLOOKUP($A39,'2.kolo'!$L$3:$O$66,4,0))</f>
        <v>46</v>
      </c>
      <c r="AQ39" s="318">
        <f ca="1">IF(TYPE(VLOOKUP($A39,'2.kolo'!$L$3:$L$66,1,0))&gt;3,IF(TYPE(VLOOKUP($A39,'2.kolo'!$O$3:$Q$66,2,0))&gt;3,0,VLOOKUP($A39,'2.kolo'!$O$3:$Q$66,2,0)),VLOOKUP($A39,'2.kolo'!$L$3:$N$66,2,0))</f>
        <v>1</v>
      </c>
      <c r="AR39" s="318">
        <f ca="1">IF(TYPE(VLOOKUP($A39,'2.kolo'!$L$3:$L$66,1,0))&gt;3,IF(TYPE(VLOOKUP($A39,'2.kolo'!$O$3:$Q$66,3,0))&gt;3,0,VLOOKUP($A39,'2.kolo'!$O$3:$Q$66,3,0)),VLOOKUP($A39,'2.kolo'!$L$3:$N$66,3,0))</f>
        <v>4</v>
      </c>
      <c r="AS39" s="318">
        <f t="shared" ca="1" si="20"/>
        <v>1</v>
      </c>
      <c r="AT39" s="397">
        <v>35</v>
      </c>
      <c r="AU39" s="424" t="str">
        <f ca="1">IF(AT39="","",CONCATENATE(TEXT($O39,"0"),IF(Start.listina!$Y$5="","",TEXT(500+$P39,"000")),TEXT(999999*RAND(),"000000")))</f>
        <v>2248226</v>
      </c>
      <c r="AV39" s="318">
        <f t="shared" ca="1" si="29"/>
        <v>0</v>
      </c>
      <c r="AY39" s="318">
        <f ca="1">IF(TYPE(VLOOKUP($A39,'3.kolo'!$L$3:$L$66,1,0))&gt;3,IF(TYPE(VLOOKUP($A39,'3.kolo'!$K$3:$L$66,2,0))&gt;3,0,VLOOKUP($A39,'3.kolo'!$K$3:$L$66,2,0)),VLOOKUP($A39,'3.kolo'!$L$3:$O$66,4,0))</f>
        <v>27</v>
      </c>
      <c r="AZ39" s="318">
        <f ca="1">IF(TYPE(VLOOKUP($A39,'3.kolo'!$L$3:$L$66,1,0))&gt;3,IF(TYPE(VLOOKUP($A39,'3.kolo'!$O$3:$Q$66,2,0))&gt;3,0,VLOOKUP($A39,'3.kolo'!$O$3:$Q$66,2,0)),VLOOKUP($A39,'3.kolo'!$L$3:$N$66,2,0))</f>
        <v>0</v>
      </c>
      <c r="BA39" s="318">
        <f ca="1">IF(TYPE(VLOOKUP($A39,'3.kolo'!$L$3:$L$66,1,0))&gt;3,IF(TYPE(VLOOKUP($A39,'3.kolo'!$O$3:$Q$66,3,0))&gt;3,0,VLOOKUP($A39,'3.kolo'!$O$3:$Q$66,3,0)),VLOOKUP($A39,'3.kolo'!$L$3:$N$66,3,0))</f>
        <v>-6</v>
      </c>
      <c r="BB39" s="318">
        <f t="shared" ca="1" si="21"/>
        <v>0</v>
      </c>
      <c r="BC39" s="397">
        <v>38</v>
      </c>
      <c r="BD39" s="424" t="str">
        <f ca="1">IF(BC39="","",CONCATENATE(TEXT($O39,"0"),IF(Start.listina!$Y$5="","",TEXT(500+$P39,"000")),TEXT(999999*RAND(),"000000")))</f>
        <v>2143744</v>
      </c>
      <c r="BE39" s="318">
        <f t="shared" ca="1" si="30"/>
        <v>0</v>
      </c>
      <c r="BH39" s="318">
        <f ca="1">IF(TYPE(VLOOKUP($A39,'4.kolo'!$L$3:$L$66,1,0))&gt;3,IF(TYPE(VLOOKUP($A39,'4.kolo'!$K$3:$L$66,2,0))&gt;3,0,VLOOKUP($A39,'4.kolo'!$K$3:$L$66,2,0)),VLOOKUP($A39,'4.kolo'!$L$3:$O$66,4,0))</f>
        <v>16</v>
      </c>
      <c r="BI39" s="318">
        <f ca="1">IF(TYPE(VLOOKUP($A39,'4.kolo'!$L$3:$L$66,1,0))&gt;3,IF(TYPE(VLOOKUP($A39,'4.kolo'!$O$3:$Q$66,2,0))&gt;3,0,VLOOKUP($A39,'4.kolo'!$O$3:$Q$66,2,0)),VLOOKUP($A39,'4.kolo'!$L$3:$N$66,2,0))</f>
        <v>1</v>
      </c>
      <c r="BJ39" s="318">
        <f ca="1">IF(TYPE(VLOOKUP($A39,'4.kolo'!$L$3:$L$66,1,0))&gt;3,IF(TYPE(VLOOKUP($A39,'4.kolo'!$O$3:$Q$66,3,0))&gt;3,0,VLOOKUP($A39,'4.kolo'!$O$3:$Q$66,3,0)),VLOOKUP($A39,'4.kolo'!$L$3:$N$66,3,0))</f>
        <v>4</v>
      </c>
      <c r="BK39" s="318">
        <f t="shared" ca="1" si="22"/>
        <v>1</v>
      </c>
      <c r="BL39" s="397">
        <v>20</v>
      </c>
      <c r="BM39" s="424" t="str">
        <f ca="1">IF(BL39="","",CONCATENATE(TEXT($O39,"0"),IF(Start.listina!$Y$5="","",TEXT(500+$P39,"000")),TEXT(999999*RAND(),"000000")))</f>
        <v>2282494</v>
      </c>
      <c r="BN39" s="318">
        <f t="shared" ca="1" si="31"/>
        <v>0</v>
      </c>
      <c r="BQ39" s="318">
        <f ca="1">IF(TYPE(VLOOKUP($A39,'5.kolo'!$L$3:$L$66,1,0))&gt;3,IF(TYPE(VLOOKUP($A39,'5.kolo'!$K$3:$L$66,2,0))&gt;3,0,VLOOKUP($A39,'5.kolo'!$K$3:$L$66,2,0)),VLOOKUP($A39,'5.kolo'!$L$3:$O$66,4,0))</f>
        <v>0</v>
      </c>
      <c r="BR39" s="318">
        <f ca="1">IF(TYPE(VLOOKUP($A39,'5.kolo'!$L$3:$L$66,1,0))&gt;3,IF(TYPE(VLOOKUP($A39,'5.kolo'!$O$3:$Q$66,2,0))&gt;3,0,VLOOKUP($A39,'5.kolo'!$O$3:$Q$66,2,0)),VLOOKUP($A39,'5.kolo'!$L$3:$N$66,2,0))</f>
        <v>0</v>
      </c>
      <c r="BS39" s="318">
        <f ca="1">IF(TYPE(VLOOKUP($A39,'5.kolo'!$L$3:$L$66,1,0))&gt;3,IF(TYPE(VLOOKUP($A39,'5.kolo'!$O$3:$Q$66,3,0))&gt;3,0,VLOOKUP($A39,'5.kolo'!$O$3:$Q$66,3,0)),VLOOKUP($A39,'5.kolo'!$L$3:$N$66,3,0))</f>
        <v>0</v>
      </c>
      <c r="BT39" s="318">
        <f t="shared" ca="1" si="23"/>
        <v>0</v>
      </c>
      <c r="BU39" s="397"/>
      <c r="BV39" s="424" t="str">
        <f ca="1">IF(BU39="","",CONCATENATE(TEXT($O39,"0"),IF(Start.listina!$Y$5="","",TEXT(500+$P39,"000")),TEXT(999999*RAND(),"000000")))</f>
        <v/>
      </c>
      <c r="BW39" s="318">
        <f t="shared" ca="1" si="32"/>
        <v>0</v>
      </c>
      <c r="BZ39" s="318">
        <f ca="1">IF(TYPE(VLOOKUP($A39,'6.kolo'!$L$3:$L$66,1,0))&gt;3,IF(TYPE(VLOOKUP($A39,'6.kolo'!$K$3:$L$66,2,0))&gt;3,0,VLOOKUP($A39,'6.kolo'!$K$3:$L$66,2,0)),VLOOKUP($A39,'6.kolo'!$L$3:$O$66,4,0))</f>
        <v>0</v>
      </c>
      <c r="CA39" s="318">
        <f ca="1">IF(TYPE(VLOOKUP($A39,'6.kolo'!$L$3:$L$66,1,0))&gt;3,IF(TYPE(VLOOKUP($A39,'6.kolo'!$O$3:$Q$66,2,0))&gt;3,0,VLOOKUP($A39,'6.kolo'!$O$3:$Q$66,2,0)),VLOOKUP($A39,'6.kolo'!$L$3:$N$66,2,0))</f>
        <v>0</v>
      </c>
      <c r="CB39" s="318">
        <f ca="1">IF(TYPE(VLOOKUP($A39,'6.kolo'!$L$3:$L$66,1,0))&gt;3,IF(TYPE(VLOOKUP($A39,'6.kolo'!$O$3:$Q$66,3,0))&gt;3,0,VLOOKUP($A39,'6.kolo'!$O$3:$Q$66,3,0)),VLOOKUP($A39,'6.kolo'!$L$3:$N$66,3,0))</f>
        <v>0</v>
      </c>
      <c r="CC39" s="318">
        <f t="shared" ca="1" si="24"/>
        <v>0</v>
      </c>
      <c r="CD39" s="397"/>
      <c r="CE39" s="424" t="str">
        <f ca="1">IF(CD39="","",CONCATENATE(TEXT($O39,"0"),IF(Start.listina!$Y$5="","",TEXT(500+$P39,"000")),TEXT(999999*RAND(),"000000")))</f>
        <v/>
      </c>
      <c r="CF39" s="318">
        <f t="shared" ca="1" si="33"/>
        <v>0</v>
      </c>
    </row>
    <row r="40" spans="1:84" x14ac:dyDescent="0.4">
      <c r="A40" s="318">
        <f ca="1">IF(OR(Start.listina!H48&gt;Start.listina!$K$7,Start.listina!G48=TRUE),"",Start.listina!H48)</f>
        <v>38</v>
      </c>
      <c r="B40" s="318">
        <f ca="1">IF($A40&gt;Start.listina!$K$7,"",INT(($A40-1)/Start.listina!$O$7)+1)</f>
        <v>2</v>
      </c>
      <c r="C40" s="421" t="str">
        <f ca="1">IF(OR(Start.listina!H48&gt;Start.listina!$K$7,Start.listina!G48=TRUE)," - ",Start.listina!AL48)</f>
        <v>38 C.T.P. Club Ořech - Glaser Vladimír</v>
      </c>
      <c r="D40" s="318">
        <f ca="1">IF(OR(A40&gt;Start.listina!$K$7,TYPE(VLOOKUP(A40,$V$3:$X$130,3,0))&gt;3),"",VLOOKUP(A40,$V$3:$X$130,3,0))</f>
        <v>32</v>
      </c>
      <c r="E40" s="422">
        <f ca="1">IF(A40&gt;Start.listina!$K$7,"",IF(MIN(F40:K40)&gt;Start.listina!$Y$4,D40,MIN(F40:K40)))</f>
        <v>32</v>
      </c>
      <c r="F40" s="318">
        <f ca="1">IF(TYPE(VLOOKUP(C40,Konečné_pořadí_1_16!$B$2:$D$17,3,0))&lt;4,VLOOKUP(C40,Konečné_pořadí_1_16!$B$2:$D$17,3,0),999)</f>
        <v>999</v>
      </c>
      <c r="G40" s="318">
        <f ca="1">IF(TYPE(VLOOKUP(C40,'KO64'!$D$4:$D$129,1,0))&lt;4,64,999)</f>
        <v>999</v>
      </c>
      <c r="H40" s="318">
        <f ca="1">IF(TYPE(VLOOKUP(C40,'KO32'!$D$4:$D$65,1,0))&lt;4,32,999)</f>
        <v>999</v>
      </c>
      <c r="I40" s="318">
        <f ca="1">IF(TYPE(VLOOKUP(C40,'KO16'!$D$4:$D$33,1,0))&lt;4,16,999)</f>
        <v>999</v>
      </c>
      <c r="J40" s="318">
        <f ca="1">IF(TYPE(VLOOKUP(C40,'KO8'!$D$4:$D$17,1,0))&lt;4,8,999)</f>
        <v>999</v>
      </c>
      <c r="K40" s="318">
        <f ca="1">IF(TYPE(VLOOKUP(C40,'KO4'!$D$4:$D$9,1,0))&lt;4,4,999)</f>
        <v>999</v>
      </c>
      <c r="M40" s="319">
        <v>38</v>
      </c>
      <c r="O40" s="318">
        <f t="shared" ca="1" si="8"/>
        <v>2</v>
      </c>
      <c r="P40" s="318">
        <f t="shared" ca="1" si="9"/>
        <v>2</v>
      </c>
      <c r="Q40" s="318">
        <f t="shared" ca="1" si="26"/>
        <v>7</v>
      </c>
      <c r="R40" s="318">
        <f t="shared" ca="1" si="27"/>
        <v>2</v>
      </c>
      <c r="S40" s="318">
        <f t="shared" ca="1" si="10"/>
        <v>35</v>
      </c>
      <c r="T40" s="318">
        <f t="shared" ca="1" si="11"/>
        <v>2</v>
      </c>
      <c r="U40" s="397">
        <f t="shared" si="25"/>
        <v>38</v>
      </c>
      <c r="V40" s="397">
        <v>50</v>
      </c>
      <c r="W40" s="423" t="str">
        <f ca="1">IF($V40="","",CONCATENATE(TEXT($O40,"0"),IF(Start.listina!$Y$5="","",TEXT(500+$P40,"0000")),IF(Start.listina!$Y$6="","",CHOOSE(Start.listina!$Y$7,TEXT($Q40,"00"),CONCATENATE(TEXT($Q40,"00"),TEXT($S40,"000")), TEXT($R40,"00"))),TEXT(500+$P40,"0000"),IF(Start.listina!$Y$8="","",TEXT($T40,"0")),TEXT(999999*RAND(),"000000")))</f>
        <v>2070350502400842</v>
      </c>
      <c r="X40" s="399">
        <f t="shared" si="12"/>
        <v>38</v>
      </c>
      <c r="Y40" s="397">
        <f t="shared" ca="1" si="28"/>
        <v>2</v>
      </c>
      <c r="Z40" s="318">
        <f t="shared" ca="1" si="13"/>
        <v>10</v>
      </c>
      <c r="AA40" s="318">
        <f t="shared" ca="1" si="14"/>
        <v>48</v>
      </c>
      <c r="AB40" s="318">
        <f t="shared" ca="1" si="15"/>
        <v>53</v>
      </c>
      <c r="AC40" s="318">
        <f t="shared" ca="1" si="16"/>
        <v>51</v>
      </c>
      <c r="AD40" s="318">
        <f t="shared" ca="1" si="17"/>
        <v>0</v>
      </c>
      <c r="AE40" s="318">
        <f t="shared" ca="1" si="18"/>
        <v>0</v>
      </c>
      <c r="AG40" s="318">
        <f ca="1">IF(TYPE(VLOOKUP($A40,'1.kolo'!$L$3:$L$66,1,0))&gt;3,VLOOKUP($A40,'1.kolo'!$K$3:$L$66,2,0),VLOOKUP($A40,'1.kolo'!$L$3:$O$66,4,0))</f>
        <v>10</v>
      </c>
      <c r="AH40" s="318">
        <f ca="1">IF(TYPE(VLOOKUP($A40,'1.kolo'!$L$3:$L$66,1,0))&gt;3,VLOOKUP($A40,'1.kolo'!$O$3:$Q$66,2,0),VLOOKUP($A40,'1.kolo'!$L$3:$N$66,2,0))</f>
        <v>0</v>
      </c>
      <c r="AI40" s="318">
        <f ca="1">IF(TYPE(VLOOKUP($A40,'1.kolo'!$L$3:$L$66,1,0))&gt;3,VLOOKUP($A40,'1.kolo'!$O$3:$Q$66,3,0),VLOOKUP($A40,'1.kolo'!$L$3:$N$66,3,0))</f>
        <v>-7</v>
      </c>
      <c r="AJ40" s="318">
        <f t="shared" ca="1" si="19"/>
        <v>0</v>
      </c>
      <c r="AK40" s="318">
        <v>38</v>
      </c>
      <c r="AL40" s="424"/>
      <c r="AP40" s="318">
        <f ca="1">IF(TYPE(VLOOKUP($A40,'2.kolo'!$L$3:$L$66,1,0))&gt;3,IF(TYPE(VLOOKUP($A40,'2.kolo'!$K$3:$L$66,2,0))&gt;3,0,VLOOKUP($A40,'2.kolo'!$K$3:$L$66,2,0)),VLOOKUP($A40,'2.kolo'!$L$3:$O$66,4,0))</f>
        <v>48</v>
      </c>
      <c r="AQ40" s="318">
        <f ca="1">IF(TYPE(VLOOKUP($A40,'2.kolo'!$L$3:$L$66,1,0))&gt;3,IF(TYPE(VLOOKUP($A40,'2.kolo'!$O$3:$Q$66,2,0))&gt;3,0,VLOOKUP($A40,'2.kolo'!$O$3:$Q$66,2,0)),VLOOKUP($A40,'2.kolo'!$L$3:$N$66,2,0))</f>
        <v>1</v>
      </c>
      <c r="AR40" s="318">
        <f ca="1">IF(TYPE(VLOOKUP($A40,'2.kolo'!$L$3:$L$66,1,0))&gt;3,IF(TYPE(VLOOKUP($A40,'2.kolo'!$O$3:$Q$66,3,0))&gt;3,0,VLOOKUP($A40,'2.kolo'!$O$3:$Q$66,3,0)),VLOOKUP($A40,'2.kolo'!$L$3:$N$66,3,0))</f>
        <v>5</v>
      </c>
      <c r="AS40" s="318">
        <f t="shared" ca="1" si="20"/>
        <v>1</v>
      </c>
      <c r="AT40" s="397">
        <v>19</v>
      </c>
      <c r="AU40" s="424" t="str">
        <f ca="1">IF(AT40="","",CONCATENATE(TEXT($O40,"0"),IF(Start.listina!$Y$5="","",TEXT(500+$P40,"000")),TEXT(999999*RAND(),"000000")))</f>
        <v>2210394</v>
      </c>
      <c r="AV40" s="318">
        <f t="shared" ca="1" si="29"/>
        <v>0</v>
      </c>
      <c r="AY40" s="318">
        <f ca="1">IF(TYPE(VLOOKUP($A40,'3.kolo'!$L$3:$L$66,1,0))&gt;3,IF(TYPE(VLOOKUP($A40,'3.kolo'!$K$3:$L$66,2,0))&gt;3,0,VLOOKUP($A40,'3.kolo'!$K$3:$L$66,2,0)),VLOOKUP($A40,'3.kolo'!$L$3:$O$66,4,0))</f>
        <v>53</v>
      </c>
      <c r="AZ40" s="318">
        <f ca="1">IF(TYPE(VLOOKUP($A40,'3.kolo'!$L$3:$L$66,1,0))&gt;3,IF(TYPE(VLOOKUP($A40,'3.kolo'!$O$3:$Q$66,2,0))&gt;3,0,VLOOKUP($A40,'3.kolo'!$O$3:$Q$66,2,0)),VLOOKUP($A40,'3.kolo'!$L$3:$N$66,2,0))</f>
        <v>1</v>
      </c>
      <c r="BA40" s="318">
        <f ca="1">IF(TYPE(VLOOKUP($A40,'3.kolo'!$L$3:$L$66,1,0))&gt;3,IF(TYPE(VLOOKUP($A40,'3.kolo'!$O$3:$Q$66,3,0))&gt;3,0,VLOOKUP($A40,'3.kolo'!$O$3:$Q$66,3,0)),VLOOKUP($A40,'3.kolo'!$L$3:$N$66,3,0))</f>
        <v>5</v>
      </c>
      <c r="BB40" s="318">
        <f t="shared" ca="1" si="21"/>
        <v>1</v>
      </c>
      <c r="BC40" s="397">
        <v>53</v>
      </c>
      <c r="BD40" s="424" t="str">
        <f ca="1">IF(BC40="","",CONCATENATE(TEXT($O40,"0"),IF(Start.listina!$Y$5="","",TEXT(500+$P40,"000")),TEXT(999999*RAND(),"000000")))</f>
        <v>2301983</v>
      </c>
      <c r="BE40" s="318">
        <f t="shared" ca="1" si="30"/>
        <v>0</v>
      </c>
      <c r="BH40" s="318">
        <f ca="1">IF(TYPE(VLOOKUP($A40,'4.kolo'!$L$3:$L$66,1,0))&gt;3,IF(TYPE(VLOOKUP($A40,'4.kolo'!$K$3:$L$66,2,0))&gt;3,0,VLOOKUP($A40,'4.kolo'!$K$3:$L$66,2,0)),VLOOKUP($A40,'4.kolo'!$L$3:$O$66,4,0))</f>
        <v>51</v>
      </c>
      <c r="BI40" s="318">
        <f ca="1">IF(TYPE(VLOOKUP($A40,'4.kolo'!$L$3:$L$66,1,0))&gt;3,IF(TYPE(VLOOKUP($A40,'4.kolo'!$O$3:$Q$66,2,0))&gt;3,0,VLOOKUP($A40,'4.kolo'!$O$3:$Q$66,2,0)),VLOOKUP($A40,'4.kolo'!$L$3:$N$66,2,0))</f>
        <v>0</v>
      </c>
      <c r="BJ40" s="318">
        <f ca="1">IF(TYPE(VLOOKUP($A40,'4.kolo'!$L$3:$L$66,1,0))&gt;3,IF(TYPE(VLOOKUP($A40,'4.kolo'!$O$3:$Q$66,3,0))&gt;3,0,VLOOKUP($A40,'4.kolo'!$O$3:$Q$66,3,0)),VLOOKUP($A40,'4.kolo'!$L$3:$N$66,3,0))</f>
        <v>-1</v>
      </c>
      <c r="BK40" s="318">
        <f t="shared" ca="1" si="22"/>
        <v>0</v>
      </c>
      <c r="BL40" s="397">
        <v>36</v>
      </c>
      <c r="BM40" s="424" t="str">
        <f ca="1">IF(BL40="","",CONCATENATE(TEXT($O40,"0"),IF(Start.listina!$Y$5="","",TEXT(500+$P40,"000")),TEXT(999999*RAND(),"000000")))</f>
        <v>2792984</v>
      </c>
      <c r="BN40" s="318">
        <f t="shared" ca="1" si="31"/>
        <v>0</v>
      </c>
      <c r="BQ40" s="318">
        <f ca="1">IF(TYPE(VLOOKUP($A40,'5.kolo'!$L$3:$L$66,1,0))&gt;3,IF(TYPE(VLOOKUP($A40,'5.kolo'!$K$3:$L$66,2,0))&gt;3,0,VLOOKUP($A40,'5.kolo'!$K$3:$L$66,2,0)),VLOOKUP($A40,'5.kolo'!$L$3:$O$66,4,0))</f>
        <v>0</v>
      </c>
      <c r="BR40" s="318">
        <f ca="1">IF(TYPE(VLOOKUP($A40,'5.kolo'!$L$3:$L$66,1,0))&gt;3,IF(TYPE(VLOOKUP($A40,'5.kolo'!$O$3:$Q$66,2,0))&gt;3,0,VLOOKUP($A40,'5.kolo'!$O$3:$Q$66,2,0)),VLOOKUP($A40,'5.kolo'!$L$3:$N$66,2,0))</f>
        <v>0</v>
      </c>
      <c r="BS40" s="318">
        <f ca="1">IF(TYPE(VLOOKUP($A40,'5.kolo'!$L$3:$L$66,1,0))&gt;3,IF(TYPE(VLOOKUP($A40,'5.kolo'!$O$3:$Q$66,3,0))&gt;3,0,VLOOKUP($A40,'5.kolo'!$O$3:$Q$66,3,0)),VLOOKUP($A40,'5.kolo'!$L$3:$N$66,3,0))</f>
        <v>0</v>
      </c>
      <c r="BT40" s="318">
        <f t="shared" ca="1" si="23"/>
        <v>0</v>
      </c>
      <c r="BU40" s="397"/>
      <c r="BV40" s="424" t="str">
        <f ca="1">IF(BU40="","",CONCATENATE(TEXT($O40,"0"),IF(Start.listina!$Y$5="","",TEXT(500+$P40,"000")),TEXT(999999*RAND(),"000000")))</f>
        <v/>
      </c>
      <c r="BW40" s="318">
        <f t="shared" ca="1" si="32"/>
        <v>0</v>
      </c>
      <c r="BZ40" s="318">
        <f ca="1">IF(TYPE(VLOOKUP($A40,'6.kolo'!$L$3:$L$66,1,0))&gt;3,IF(TYPE(VLOOKUP($A40,'6.kolo'!$K$3:$L$66,2,0))&gt;3,0,VLOOKUP($A40,'6.kolo'!$K$3:$L$66,2,0)),VLOOKUP($A40,'6.kolo'!$L$3:$O$66,4,0))</f>
        <v>0</v>
      </c>
      <c r="CA40" s="318">
        <f ca="1">IF(TYPE(VLOOKUP($A40,'6.kolo'!$L$3:$L$66,1,0))&gt;3,IF(TYPE(VLOOKUP($A40,'6.kolo'!$O$3:$Q$66,2,0))&gt;3,0,VLOOKUP($A40,'6.kolo'!$O$3:$Q$66,2,0)),VLOOKUP($A40,'6.kolo'!$L$3:$N$66,2,0))</f>
        <v>0</v>
      </c>
      <c r="CB40" s="318">
        <f ca="1">IF(TYPE(VLOOKUP($A40,'6.kolo'!$L$3:$L$66,1,0))&gt;3,IF(TYPE(VLOOKUP($A40,'6.kolo'!$O$3:$Q$66,3,0))&gt;3,0,VLOOKUP($A40,'6.kolo'!$O$3:$Q$66,3,0)),VLOOKUP($A40,'6.kolo'!$L$3:$N$66,3,0))</f>
        <v>0</v>
      </c>
      <c r="CC40" s="318">
        <f t="shared" ca="1" si="24"/>
        <v>0</v>
      </c>
      <c r="CD40" s="397"/>
      <c r="CE40" s="424" t="str">
        <f ca="1">IF(CD40="","",CONCATENATE(TEXT($O40,"0"),IF(Start.listina!$Y$5="","",TEXT(500+$P40,"000")),TEXT(999999*RAND(),"000000")))</f>
        <v/>
      </c>
      <c r="CF40" s="318">
        <f t="shared" ca="1" si="33"/>
        <v>0</v>
      </c>
    </row>
    <row r="41" spans="1:84" x14ac:dyDescent="0.4">
      <c r="A41" s="318">
        <f ca="1">IF(OR(Start.listina!H49&gt;Start.listina!$K$7,Start.listina!G49=TRUE),"",Start.listina!H49)</f>
        <v>39</v>
      </c>
      <c r="B41" s="318">
        <f ca="1">IF($A41&gt;Start.listina!$K$7,"",INT(($A41-1)/Start.listina!$O$7)+1)</f>
        <v>2</v>
      </c>
      <c r="C41" s="421" t="str">
        <f ca="1">IF(OR(Start.listina!H49&gt;Start.listina!$K$7,Start.listina!G49=TRUE)," - ",Start.listina!AL49)</f>
        <v>39 PC Přítkov - Šnejdr Josef</v>
      </c>
      <c r="D41" s="318">
        <f ca="1">IF(OR(A41&gt;Start.listina!$K$7,TYPE(VLOOKUP(A41,$V$3:$X$130,3,0))&gt;3),"",VLOOKUP(A41,$V$3:$X$130,3,0))</f>
        <v>22</v>
      </c>
      <c r="E41" s="422">
        <f ca="1">IF(A41&gt;Start.listina!$K$7,"",IF(MIN(F41:K41)&gt;Start.listina!$Y$4,D41,MIN(F41:K41)))</f>
        <v>22</v>
      </c>
      <c r="F41" s="318">
        <f ca="1">IF(TYPE(VLOOKUP(C41,Konečné_pořadí_1_16!$B$2:$D$17,3,0))&lt;4,VLOOKUP(C41,Konečné_pořadí_1_16!$B$2:$D$17,3,0),999)</f>
        <v>999</v>
      </c>
      <c r="G41" s="318">
        <f ca="1">IF(TYPE(VLOOKUP(C41,'KO64'!$D$4:$D$129,1,0))&lt;4,64,999)</f>
        <v>999</v>
      </c>
      <c r="H41" s="318">
        <f ca="1">IF(TYPE(VLOOKUP(C41,'KO32'!$D$4:$D$65,1,0))&lt;4,32,999)</f>
        <v>999</v>
      </c>
      <c r="I41" s="318">
        <f ca="1">IF(TYPE(VLOOKUP(C41,'KO16'!$D$4:$D$33,1,0))&lt;4,16,999)</f>
        <v>999</v>
      </c>
      <c r="J41" s="318">
        <f ca="1">IF(TYPE(VLOOKUP(C41,'KO8'!$D$4:$D$17,1,0))&lt;4,8,999)</f>
        <v>999</v>
      </c>
      <c r="K41" s="318">
        <f ca="1">IF(TYPE(VLOOKUP(C41,'KO4'!$D$4:$D$9,1,0))&lt;4,4,999)</f>
        <v>999</v>
      </c>
      <c r="M41" s="319">
        <v>39</v>
      </c>
      <c r="O41" s="318">
        <f t="shared" ca="1" si="8"/>
        <v>2</v>
      </c>
      <c r="P41" s="318">
        <f t="shared" ca="1" si="9"/>
        <v>-5</v>
      </c>
      <c r="Q41" s="318">
        <f t="shared" ca="1" si="26"/>
        <v>10</v>
      </c>
      <c r="R41" s="318">
        <f t="shared" ca="1" si="27"/>
        <v>4</v>
      </c>
      <c r="S41" s="318">
        <f t="shared" ca="1" si="10"/>
        <v>29</v>
      </c>
      <c r="T41" s="318">
        <f t="shared" ca="1" si="11"/>
        <v>2</v>
      </c>
      <c r="U41" s="397">
        <f t="shared" si="25"/>
        <v>39</v>
      </c>
      <c r="V41" s="397">
        <v>6</v>
      </c>
      <c r="W41" s="423" t="str">
        <f ca="1">IF($V41="","",CONCATENATE(TEXT($O41,"0"),IF(Start.listina!$Y$5="","",TEXT(500+$P41,"0000")),IF(Start.listina!$Y$6="","",CHOOSE(Start.listina!$Y$7,TEXT($Q41,"00"),CONCATENATE(TEXT($Q41,"00"),TEXT($S41,"000")), TEXT($R41,"00"))),TEXT(500+$P41,"0000"),IF(Start.listina!$Y$8="","",TEXT($T41,"0")),TEXT(999999*RAND(),"000000")))</f>
        <v>2100290495477737</v>
      </c>
      <c r="X41" s="399">
        <f t="shared" si="12"/>
        <v>39</v>
      </c>
      <c r="Y41" s="397">
        <f t="shared" ca="1" si="28"/>
        <v>2</v>
      </c>
      <c r="Z41" s="318">
        <f t="shared" ca="1" si="13"/>
        <v>11</v>
      </c>
      <c r="AA41" s="318">
        <f t="shared" ca="1" si="14"/>
        <v>5</v>
      </c>
      <c r="AB41" s="318">
        <f t="shared" ca="1" si="15"/>
        <v>18</v>
      </c>
      <c r="AC41" s="318">
        <f t="shared" ca="1" si="16"/>
        <v>56</v>
      </c>
      <c r="AD41" s="318">
        <f t="shared" ca="1" si="17"/>
        <v>0</v>
      </c>
      <c r="AE41" s="318">
        <f t="shared" ca="1" si="18"/>
        <v>0</v>
      </c>
      <c r="AG41" s="318">
        <f ca="1">IF(TYPE(VLOOKUP($A41,'1.kolo'!$L$3:$L$66,1,0))&gt;3,VLOOKUP($A41,'1.kolo'!$K$3:$L$66,2,0),VLOOKUP($A41,'1.kolo'!$L$3:$O$66,4,0))</f>
        <v>11</v>
      </c>
      <c r="AH41" s="318">
        <f ca="1">IF(TYPE(VLOOKUP($A41,'1.kolo'!$L$3:$L$66,1,0))&gt;3,VLOOKUP($A41,'1.kolo'!$O$3:$Q$66,2,0),VLOOKUP($A41,'1.kolo'!$L$3:$N$66,2,0))</f>
        <v>1</v>
      </c>
      <c r="AI41" s="318">
        <f ca="1">IF(TYPE(VLOOKUP($A41,'1.kolo'!$L$3:$L$66,1,0))&gt;3,VLOOKUP($A41,'1.kolo'!$O$3:$Q$66,3,0),VLOOKUP($A41,'1.kolo'!$L$3:$N$66,3,0))</f>
        <v>1</v>
      </c>
      <c r="AJ41" s="318">
        <f t="shared" ca="1" si="19"/>
        <v>1</v>
      </c>
      <c r="AK41" s="318">
        <v>39</v>
      </c>
      <c r="AL41" s="424"/>
      <c r="AP41" s="318">
        <f ca="1">IF(TYPE(VLOOKUP($A41,'2.kolo'!$L$3:$L$66,1,0))&gt;3,IF(TYPE(VLOOKUP($A41,'2.kolo'!$K$3:$L$66,2,0))&gt;3,0,VLOOKUP($A41,'2.kolo'!$K$3:$L$66,2,0)),VLOOKUP($A41,'2.kolo'!$L$3:$O$66,4,0))</f>
        <v>5</v>
      </c>
      <c r="AQ41" s="318">
        <f ca="1">IF(TYPE(VLOOKUP($A41,'2.kolo'!$L$3:$L$66,1,0))&gt;3,IF(TYPE(VLOOKUP($A41,'2.kolo'!$O$3:$Q$66,2,0))&gt;3,0,VLOOKUP($A41,'2.kolo'!$O$3:$Q$66,2,0)),VLOOKUP($A41,'2.kolo'!$L$3:$N$66,2,0))</f>
        <v>0</v>
      </c>
      <c r="AR41" s="318">
        <f ca="1">IF(TYPE(VLOOKUP($A41,'2.kolo'!$L$3:$L$66,1,0))&gt;3,IF(TYPE(VLOOKUP($A41,'2.kolo'!$O$3:$Q$66,3,0))&gt;3,0,VLOOKUP($A41,'2.kolo'!$O$3:$Q$66,3,0)),VLOOKUP($A41,'2.kolo'!$L$3:$N$66,3,0))</f>
        <v>-5</v>
      </c>
      <c r="AS41" s="318">
        <f t="shared" ca="1" si="20"/>
        <v>0</v>
      </c>
      <c r="AT41" s="397">
        <v>55</v>
      </c>
      <c r="AU41" s="424" t="str">
        <f ca="1">IF(AT41="","",CONCATENATE(TEXT($O41,"0"),IF(Start.listina!$Y$5="","",TEXT(500+$P41,"000")),TEXT(999999*RAND(),"000000")))</f>
        <v>2210591</v>
      </c>
      <c r="AV41" s="318">
        <f t="shared" ca="1" si="29"/>
        <v>0</v>
      </c>
      <c r="AY41" s="318">
        <f ca="1">IF(TYPE(VLOOKUP($A41,'3.kolo'!$L$3:$L$66,1,0))&gt;3,IF(TYPE(VLOOKUP($A41,'3.kolo'!$K$3:$L$66,2,0))&gt;3,0,VLOOKUP($A41,'3.kolo'!$K$3:$L$66,2,0)),VLOOKUP($A41,'3.kolo'!$L$3:$O$66,4,0))</f>
        <v>18</v>
      </c>
      <c r="AZ41" s="318">
        <f ca="1">IF(TYPE(VLOOKUP($A41,'3.kolo'!$L$3:$L$66,1,0))&gt;3,IF(TYPE(VLOOKUP($A41,'3.kolo'!$O$3:$Q$66,2,0))&gt;3,0,VLOOKUP($A41,'3.kolo'!$O$3:$Q$66,2,0)),VLOOKUP($A41,'3.kolo'!$L$3:$N$66,2,0))</f>
        <v>1</v>
      </c>
      <c r="BA41" s="318">
        <f ca="1">IF(TYPE(VLOOKUP($A41,'3.kolo'!$L$3:$L$66,1,0))&gt;3,IF(TYPE(VLOOKUP($A41,'3.kolo'!$O$3:$Q$66,3,0))&gt;3,0,VLOOKUP($A41,'3.kolo'!$O$3:$Q$66,3,0)),VLOOKUP($A41,'3.kolo'!$L$3:$N$66,3,0))</f>
        <v>4</v>
      </c>
      <c r="BB41" s="318">
        <f t="shared" ca="1" si="21"/>
        <v>1</v>
      </c>
      <c r="BC41" s="397">
        <v>52</v>
      </c>
      <c r="BD41" s="424" t="str">
        <f ca="1">IF(BC41="","",CONCATENATE(TEXT($O41,"0"),IF(Start.listina!$Y$5="","",TEXT(500+$P41,"000")),TEXT(999999*RAND(),"000000")))</f>
        <v>2693357</v>
      </c>
      <c r="BE41" s="318">
        <f t="shared" ca="1" si="30"/>
        <v>0</v>
      </c>
      <c r="BH41" s="318">
        <f ca="1">IF(TYPE(VLOOKUP($A41,'4.kolo'!$L$3:$L$66,1,0))&gt;3,IF(TYPE(VLOOKUP($A41,'4.kolo'!$K$3:$L$66,2,0))&gt;3,0,VLOOKUP($A41,'4.kolo'!$K$3:$L$66,2,0)),VLOOKUP($A41,'4.kolo'!$L$3:$O$66,4,0))</f>
        <v>56</v>
      </c>
      <c r="BI41" s="318">
        <f ca="1">IF(TYPE(VLOOKUP($A41,'4.kolo'!$L$3:$L$66,1,0))&gt;3,IF(TYPE(VLOOKUP($A41,'4.kolo'!$O$3:$Q$66,2,0))&gt;3,0,VLOOKUP($A41,'4.kolo'!$O$3:$Q$66,2,0)),VLOOKUP($A41,'4.kolo'!$L$3:$N$66,2,0))</f>
        <v>0</v>
      </c>
      <c r="BJ41" s="318">
        <f ca="1">IF(TYPE(VLOOKUP($A41,'4.kolo'!$L$3:$L$66,1,0))&gt;3,IF(TYPE(VLOOKUP($A41,'4.kolo'!$O$3:$Q$66,3,0))&gt;3,0,VLOOKUP($A41,'4.kolo'!$O$3:$Q$66,3,0)),VLOOKUP($A41,'4.kolo'!$L$3:$N$66,3,0))</f>
        <v>-5</v>
      </c>
      <c r="BK41" s="318">
        <f t="shared" ca="1" si="22"/>
        <v>0</v>
      </c>
      <c r="BL41" s="397">
        <v>49</v>
      </c>
      <c r="BM41" s="424" t="str">
        <f ca="1">IF(BL41="","",CONCATENATE(TEXT($O41,"0"),IF(Start.listina!$Y$5="","",TEXT(500+$P41,"000")),TEXT(999999*RAND(),"000000")))</f>
        <v>2236021</v>
      </c>
      <c r="BN41" s="318">
        <f t="shared" ca="1" si="31"/>
        <v>0</v>
      </c>
      <c r="BQ41" s="318">
        <f ca="1">IF(TYPE(VLOOKUP($A41,'5.kolo'!$L$3:$L$66,1,0))&gt;3,IF(TYPE(VLOOKUP($A41,'5.kolo'!$K$3:$L$66,2,0))&gt;3,0,VLOOKUP($A41,'5.kolo'!$K$3:$L$66,2,0)),VLOOKUP($A41,'5.kolo'!$L$3:$O$66,4,0))</f>
        <v>0</v>
      </c>
      <c r="BR41" s="318">
        <f ca="1">IF(TYPE(VLOOKUP($A41,'5.kolo'!$L$3:$L$66,1,0))&gt;3,IF(TYPE(VLOOKUP($A41,'5.kolo'!$O$3:$Q$66,2,0))&gt;3,0,VLOOKUP($A41,'5.kolo'!$O$3:$Q$66,2,0)),VLOOKUP($A41,'5.kolo'!$L$3:$N$66,2,0))</f>
        <v>0</v>
      </c>
      <c r="BS41" s="318">
        <f ca="1">IF(TYPE(VLOOKUP($A41,'5.kolo'!$L$3:$L$66,1,0))&gt;3,IF(TYPE(VLOOKUP($A41,'5.kolo'!$O$3:$Q$66,3,0))&gt;3,0,VLOOKUP($A41,'5.kolo'!$O$3:$Q$66,3,0)),VLOOKUP($A41,'5.kolo'!$L$3:$N$66,3,0))</f>
        <v>0</v>
      </c>
      <c r="BT41" s="318">
        <f t="shared" ca="1" si="23"/>
        <v>0</v>
      </c>
      <c r="BU41" s="397"/>
      <c r="BV41" s="424" t="str">
        <f ca="1">IF(BU41="","",CONCATENATE(TEXT($O41,"0"),IF(Start.listina!$Y$5="","",TEXT(500+$P41,"000")),TEXT(999999*RAND(),"000000")))</f>
        <v/>
      </c>
      <c r="BW41" s="318">
        <f t="shared" ca="1" si="32"/>
        <v>0</v>
      </c>
      <c r="BZ41" s="318">
        <f ca="1">IF(TYPE(VLOOKUP($A41,'6.kolo'!$L$3:$L$66,1,0))&gt;3,IF(TYPE(VLOOKUP($A41,'6.kolo'!$K$3:$L$66,2,0))&gt;3,0,VLOOKUP($A41,'6.kolo'!$K$3:$L$66,2,0)),VLOOKUP($A41,'6.kolo'!$L$3:$O$66,4,0))</f>
        <v>0</v>
      </c>
      <c r="CA41" s="318">
        <f ca="1">IF(TYPE(VLOOKUP($A41,'6.kolo'!$L$3:$L$66,1,0))&gt;3,IF(TYPE(VLOOKUP($A41,'6.kolo'!$O$3:$Q$66,2,0))&gt;3,0,VLOOKUP($A41,'6.kolo'!$O$3:$Q$66,2,0)),VLOOKUP($A41,'6.kolo'!$L$3:$N$66,2,0))</f>
        <v>0</v>
      </c>
      <c r="CB41" s="318">
        <f ca="1">IF(TYPE(VLOOKUP($A41,'6.kolo'!$L$3:$L$66,1,0))&gt;3,IF(TYPE(VLOOKUP($A41,'6.kolo'!$O$3:$Q$66,3,0))&gt;3,0,VLOOKUP($A41,'6.kolo'!$O$3:$Q$66,3,0)),VLOOKUP($A41,'6.kolo'!$L$3:$N$66,3,0))</f>
        <v>0</v>
      </c>
      <c r="CC41" s="318">
        <f t="shared" ca="1" si="24"/>
        <v>0</v>
      </c>
      <c r="CD41" s="397"/>
      <c r="CE41" s="424" t="str">
        <f ca="1">IF(CD41="","",CONCATENATE(TEXT($O41,"0"),IF(Start.listina!$Y$5="","",TEXT(500+$P41,"000")),TEXT(999999*RAND(),"000000")))</f>
        <v/>
      </c>
      <c r="CF41" s="318">
        <f t="shared" ca="1" si="33"/>
        <v>0</v>
      </c>
    </row>
    <row r="42" spans="1:84" x14ac:dyDescent="0.4">
      <c r="A42" s="318">
        <f ca="1">IF(OR(Start.listina!H50&gt;Start.listina!$K$7,Start.listina!G50=TRUE),"",Start.listina!H50)</f>
        <v>40</v>
      </c>
      <c r="B42" s="318">
        <f ca="1">IF($A42&gt;Start.listina!$K$7,"",INT(($A42-1)/Start.listina!$O$7)+1)</f>
        <v>2</v>
      </c>
      <c r="C42" s="421" t="str">
        <f ca="1">IF(OR(Start.listina!H50&gt;Start.listina!$K$7,Start.listina!G50=TRUE)," - ",Start.listina!AL50)</f>
        <v>40 SKP Kulová osma - Krhovská Dana</v>
      </c>
      <c r="D42" s="318">
        <f ca="1">IF(OR(A42&gt;Start.listina!$K$7,TYPE(VLOOKUP(A42,$V$3:$X$130,3,0))&gt;3),"",VLOOKUP(A42,$V$3:$X$130,3,0))</f>
        <v>35</v>
      </c>
      <c r="E42" s="422">
        <f ca="1">IF(A42&gt;Start.listina!$K$7,"",IF(MIN(F42:K42)&gt;Start.listina!$Y$4,D42,MIN(F42:K42)))</f>
        <v>35</v>
      </c>
      <c r="F42" s="318">
        <f ca="1">IF(TYPE(VLOOKUP(C42,Konečné_pořadí_1_16!$B$2:$D$17,3,0))&lt;4,VLOOKUP(C42,Konečné_pořadí_1_16!$B$2:$D$17,3,0),999)</f>
        <v>999</v>
      </c>
      <c r="G42" s="318">
        <f ca="1">IF(TYPE(VLOOKUP(C42,'KO64'!$D$4:$D$129,1,0))&lt;4,64,999)</f>
        <v>999</v>
      </c>
      <c r="H42" s="318">
        <f ca="1">IF(TYPE(VLOOKUP(C42,'KO32'!$D$4:$D$65,1,0))&lt;4,32,999)</f>
        <v>999</v>
      </c>
      <c r="I42" s="318">
        <f ca="1">IF(TYPE(VLOOKUP(C42,'KO16'!$D$4:$D$33,1,0))&lt;4,16,999)</f>
        <v>999</v>
      </c>
      <c r="J42" s="318">
        <f ca="1">IF(TYPE(VLOOKUP(C42,'KO8'!$D$4:$D$17,1,0))&lt;4,8,999)</f>
        <v>999</v>
      </c>
      <c r="K42" s="318">
        <f ca="1">IF(TYPE(VLOOKUP(C42,'KO4'!$D$4:$D$9,1,0))&lt;4,4,999)</f>
        <v>999</v>
      </c>
      <c r="M42" s="319">
        <v>40</v>
      </c>
      <c r="O42" s="318">
        <f t="shared" ca="1" si="8"/>
        <v>2</v>
      </c>
      <c r="P42" s="318">
        <f t="shared" ca="1" si="9"/>
        <v>1</v>
      </c>
      <c r="Q42" s="318">
        <f t="shared" ca="1" si="26"/>
        <v>7</v>
      </c>
      <c r="R42" s="318">
        <f t="shared" ca="1" si="27"/>
        <v>2</v>
      </c>
      <c r="S42" s="318">
        <f t="shared" ca="1" si="10"/>
        <v>31</v>
      </c>
      <c r="T42" s="318">
        <f t="shared" ca="1" si="11"/>
        <v>2</v>
      </c>
      <c r="U42" s="397">
        <f t="shared" si="25"/>
        <v>40</v>
      </c>
      <c r="V42" s="397">
        <v>20</v>
      </c>
      <c r="W42" s="423" t="str">
        <f ca="1">IF($V42="","",CONCATENATE(TEXT($O42,"0"),IF(Start.listina!$Y$5="","",TEXT(500+$P42,"0000")),IF(Start.listina!$Y$6="","",CHOOSE(Start.listina!$Y$7,TEXT($Q42,"00"),CONCATENATE(TEXT($Q42,"00"),TEXT($S42,"000")), TEXT($R42,"00"))),TEXT(500+$P42,"0000"),IF(Start.listina!$Y$8="","",TEXT($T42,"0")),TEXT(999999*RAND(),"000000")))</f>
        <v>2070310501947837</v>
      </c>
      <c r="X42" s="399">
        <f t="shared" si="12"/>
        <v>40</v>
      </c>
      <c r="Y42" s="397">
        <f t="shared" ca="1" si="28"/>
        <v>2</v>
      </c>
      <c r="Z42" s="318">
        <f t="shared" ca="1" si="13"/>
        <v>12</v>
      </c>
      <c r="AA42" s="318">
        <f t="shared" ca="1" si="14"/>
        <v>11</v>
      </c>
      <c r="AB42" s="318">
        <f t="shared" ca="1" si="15"/>
        <v>32</v>
      </c>
      <c r="AC42" s="318">
        <f t="shared" ca="1" si="16"/>
        <v>26</v>
      </c>
      <c r="AD42" s="318">
        <f t="shared" ca="1" si="17"/>
        <v>0</v>
      </c>
      <c r="AE42" s="318">
        <f t="shared" ca="1" si="18"/>
        <v>0</v>
      </c>
      <c r="AG42" s="318">
        <f ca="1">IF(TYPE(VLOOKUP($A42,'1.kolo'!$L$3:$L$66,1,0))&gt;3,VLOOKUP($A42,'1.kolo'!$K$3:$L$66,2,0),VLOOKUP($A42,'1.kolo'!$L$3:$O$66,4,0))</f>
        <v>12</v>
      </c>
      <c r="AH42" s="318">
        <f ca="1">IF(TYPE(VLOOKUP($A42,'1.kolo'!$L$3:$L$66,1,0))&gt;3,VLOOKUP($A42,'1.kolo'!$O$3:$Q$66,2,0),VLOOKUP($A42,'1.kolo'!$L$3:$N$66,2,0))</f>
        <v>0</v>
      </c>
      <c r="AI42" s="318">
        <f ca="1">IF(TYPE(VLOOKUP($A42,'1.kolo'!$L$3:$L$66,1,0))&gt;3,VLOOKUP($A42,'1.kolo'!$O$3:$Q$66,3,0),VLOOKUP($A42,'1.kolo'!$L$3:$N$66,3,0))</f>
        <v>-2</v>
      </c>
      <c r="AJ42" s="318">
        <f t="shared" ca="1" si="19"/>
        <v>0</v>
      </c>
      <c r="AK42" s="318">
        <v>40</v>
      </c>
      <c r="AL42" s="424"/>
      <c r="AP42" s="318">
        <f ca="1">IF(TYPE(VLOOKUP($A42,'2.kolo'!$L$3:$L$66,1,0))&gt;3,IF(TYPE(VLOOKUP($A42,'2.kolo'!$K$3:$L$66,2,0))&gt;3,0,VLOOKUP($A42,'2.kolo'!$K$3:$L$66,2,0)),VLOOKUP($A42,'2.kolo'!$L$3:$O$66,4,0))</f>
        <v>11</v>
      </c>
      <c r="AQ42" s="318">
        <f ca="1">IF(TYPE(VLOOKUP($A42,'2.kolo'!$L$3:$L$66,1,0))&gt;3,IF(TYPE(VLOOKUP($A42,'2.kolo'!$O$3:$Q$66,2,0))&gt;3,0,VLOOKUP($A42,'2.kolo'!$O$3:$Q$66,2,0)),VLOOKUP($A42,'2.kolo'!$L$3:$N$66,2,0))</f>
        <v>0</v>
      </c>
      <c r="AR42" s="318">
        <f ca="1">IF(TYPE(VLOOKUP($A42,'2.kolo'!$L$3:$L$66,1,0))&gt;3,IF(TYPE(VLOOKUP($A42,'2.kolo'!$O$3:$Q$66,3,0))&gt;3,0,VLOOKUP($A42,'2.kolo'!$O$3:$Q$66,3,0)),VLOOKUP($A42,'2.kolo'!$L$3:$N$66,3,0))</f>
        <v>-4</v>
      </c>
      <c r="AS42" s="318">
        <f t="shared" ca="1" si="20"/>
        <v>0</v>
      </c>
      <c r="AT42" s="397">
        <v>25</v>
      </c>
      <c r="AU42" s="424" t="str">
        <f ca="1">IF(AT42="","",CONCATENATE(TEXT($O42,"0"),IF(Start.listina!$Y$5="","",TEXT(500+$P42,"000")),TEXT(999999*RAND(),"000000")))</f>
        <v>2224440</v>
      </c>
      <c r="AV42" s="318">
        <f t="shared" ca="1" si="29"/>
        <v>0</v>
      </c>
      <c r="AY42" s="318">
        <f ca="1">IF(TYPE(VLOOKUP($A42,'3.kolo'!$L$3:$L$66,1,0))&gt;3,IF(TYPE(VLOOKUP($A42,'3.kolo'!$K$3:$L$66,2,0))&gt;3,0,VLOOKUP($A42,'3.kolo'!$K$3:$L$66,2,0)),VLOOKUP($A42,'3.kolo'!$L$3:$O$66,4,0))</f>
        <v>32</v>
      </c>
      <c r="AZ42" s="318">
        <f ca="1">IF(TYPE(VLOOKUP($A42,'3.kolo'!$L$3:$L$66,1,0))&gt;3,IF(TYPE(VLOOKUP($A42,'3.kolo'!$O$3:$Q$66,2,0))&gt;3,0,VLOOKUP($A42,'3.kolo'!$O$3:$Q$66,2,0)),VLOOKUP($A42,'3.kolo'!$L$3:$N$66,2,0))</f>
        <v>1</v>
      </c>
      <c r="BA42" s="318">
        <f ca="1">IF(TYPE(VLOOKUP($A42,'3.kolo'!$L$3:$L$66,1,0))&gt;3,IF(TYPE(VLOOKUP($A42,'3.kolo'!$O$3:$Q$66,3,0))&gt;3,0,VLOOKUP($A42,'3.kolo'!$O$3:$Q$66,3,0)),VLOOKUP($A42,'3.kolo'!$L$3:$N$66,3,0))</f>
        <v>4</v>
      </c>
      <c r="BB42" s="318">
        <f t="shared" ca="1" si="21"/>
        <v>1</v>
      </c>
      <c r="BC42" s="397">
        <v>47</v>
      </c>
      <c r="BD42" s="424" t="str">
        <f ca="1">IF(BC42="","",CONCATENATE(TEXT($O42,"0"),IF(Start.listina!$Y$5="","",TEXT(500+$P42,"000")),TEXT(999999*RAND(),"000000")))</f>
        <v>2089548</v>
      </c>
      <c r="BE42" s="318">
        <f t="shared" ca="1" si="30"/>
        <v>0</v>
      </c>
      <c r="BH42" s="318">
        <f ca="1">IF(TYPE(VLOOKUP($A42,'4.kolo'!$L$3:$L$66,1,0))&gt;3,IF(TYPE(VLOOKUP($A42,'4.kolo'!$K$3:$L$66,2,0))&gt;3,0,VLOOKUP($A42,'4.kolo'!$K$3:$L$66,2,0)),VLOOKUP($A42,'4.kolo'!$L$3:$O$66,4,0))</f>
        <v>26</v>
      </c>
      <c r="BI42" s="318">
        <f ca="1">IF(TYPE(VLOOKUP($A42,'4.kolo'!$L$3:$L$66,1,0))&gt;3,IF(TYPE(VLOOKUP($A42,'4.kolo'!$O$3:$Q$66,2,0))&gt;3,0,VLOOKUP($A42,'4.kolo'!$O$3:$Q$66,2,0)),VLOOKUP($A42,'4.kolo'!$L$3:$N$66,2,0))</f>
        <v>1</v>
      </c>
      <c r="BJ42" s="318">
        <f ca="1">IF(TYPE(VLOOKUP($A42,'4.kolo'!$L$3:$L$66,1,0))&gt;3,IF(TYPE(VLOOKUP($A42,'4.kolo'!$O$3:$Q$66,3,0))&gt;3,0,VLOOKUP($A42,'4.kolo'!$O$3:$Q$66,3,0)),VLOOKUP($A42,'4.kolo'!$L$3:$N$66,3,0))</f>
        <v>3</v>
      </c>
      <c r="BK42" s="318">
        <f t="shared" ca="1" si="22"/>
        <v>1</v>
      </c>
      <c r="BL42" s="397">
        <v>8</v>
      </c>
      <c r="BM42" s="424" t="str">
        <f ca="1">IF(BL42="","",CONCATENATE(TEXT($O42,"0"),IF(Start.listina!$Y$5="","",TEXT(500+$P42,"000")),TEXT(999999*RAND(),"000000")))</f>
        <v>2716478</v>
      </c>
      <c r="BN42" s="318">
        <f t="shared" ca="1" si="31"/>
        <v>0</v>
      </c>
      <c r="BQ42" s="318">
        <f ca="1">IF(TYPE(VLOOKUP($A42,'5.kolo'!$L$3:$L$66,1,0))&gt;3,IF(TYPE(VLOOKUP($A42,'5.kolo'!$K$3:$L$66,2,0))&gt;3,0,VLOOKUP($A42,'5.kolo'!$K$3:$L$66,2,0)),VLOOKUP($A42,'5.kolo'!$L$3:$O$66,4,0))</f>
        <v>0</v>
      </c>
      <c r="BR42" s="318">
        <f ca="1">IF(TYPE(VLOOKUP($A42,'5.kolo'!$L$3:$L$66,1,0))&gt;3,IF(TYPE(VLOOKUP($A42,'5.kolo'!$O$3:$Q$66,2,0))&gt;3,0,VLOOKUP($A42,'5.kolo'!$O$3:$Q$66,2,0)),VLOOKUP($A42,'5.kolo'!$L$3:$N$66,2,0))</f>
        <v>0</v>
      </c>
      <c r="BS42" s="318">
        <f ca="1">IF(TYPE(VLOOKUP($A42,'5.kolo'!$L$3:$L$66,1,0))&gt;3,IF(TYPE(VLOOKUP($A42,'5.kolo'!$O$3:$Q$66,3,0))&gt;3,0,VLOOKUP($A42,'5.kolo'!$O$3:$Q$66,3,0)),VLOOKUP($A42,'5.kolo'!$L$3:$N$66,3,0))</f>
        <v>0</v>
      </c>
      <c r="BT42" s="318">
        <f t="shared" ca="1" si="23"/>
        <v>0</v>
      </c>
      <c r="BU42" s="397"/>
      <c r="BV42" s="424" t="str">
        <f ca="1">IF(BU42="","",CONCATENATE(TEXT($O42,"0"),IF(Start.listina!$Y$5="","",TEXT(500+$P42,"000")),TEXT(999999*RAND(),"000000")))</f>
        <v/>
      </c>
      <c r="BW42" s="318">
        <f t="shared" ca="1" si="32"/>
        <v>0</v>
      </c>
      <c r="BZ42" s="318">
        <f ca="1">IF(TYPE(VLOOKUP($A42,'6.kolo'!$L$3:$L$66,1,0))&gt;3,IF(TYPE(VLOOKUP($A42,'6.kolo'!$K$3:$L$66,2,0))&gt;3,0,VLOOKUP($A42,'6.kolo'!$K$3:$L$66,2,0)),VLOOKUP($A42,'6.kolo'!$L$3:$O$66,4,0))</f>
        <v>0</v>
      </c>
      <c r="CA42" s="318">
        <f ca="1">IF(TYPE(VLOOKUP($A42,'6.kolo'!$L$3:$L$66,1,0))&gt;3,IF(TYPE(VLOOKUP($A42,'6.kolo'!$O$3:$Q$66,2,0))&gt;3,0,VLOOKUP($A42,'6.kolo'!$O$3:$Q$66,2,0)),VLOOKUP($A42,'6.kolo'!$L$3:$N$66,2,0))</f>
        <v>0</v>
      </c>
      <c r="CB42" s="318">
        <f ca="1">IF(TYPE(VLOOKUP($A42,'6.kolo'!$L$3:$L$66,1,0))&gt;3,IF(TYPE(VLOOKUP($A42,'6.kolo'!$O$3:$Q$66,3,0))&gt;3,0,VLOOKUP($A42,'6.kolo'!$O$3:$Q$66,3,0)),VLOOKUP($A42,'6.kolo'!$L$3:$N$66,3,0))</f>
        <v>0</v>
      </c>
      <c r="CC42" s="318">
        <f t="shared" ca="1" si="24"/>
        <v>0</v>
      </c>
      <c r="CD42" s="397"/>
      <c r="CE42" s="424" t="str">
        <f ca="1">IF(CD42="","",CONCATENATE(TEXT($O42,"0"),IF(Start.listina!$Y$5="","",TEXT(500+$P42,"000")),TEXT(999999*RAND(),"000000")))</f>
        <v/>
      </c>
      <c r="CF42" s="318">
        <f t="shared" ca="1" si="33"/>
        <v>0</v>
      </c>
    </row>
    <row r="43" spans="1:84" x14ac:dyDescent="0.4">
      <c r="A43" s="318">
        <f ca="1">IF(OR(Start.listina!H51&gt;Start.listina!$K$7,Start.listina!G51=TRUE),"",Start.listina!H51)</f>
        <v>41</v>
      </c>
      <c r="B43" s="318">
        <f ca="1">IF($A43&gt;Start.listina!$K$7,"",INT(($A43-1)/Start.listina!$O$7)+1)</f>
        <v>2</v>
      </c>
      <c r="C43" s="421" t="str">
        <f ca="1">IF(OR(Start.listina!H51&gt;Start.listina!$K$7,Start.listina!G51=TRUE)," - ",Start.listina!AL51)</f>
        <v>41 SKMZ Sport - Kovář Petr</v>
      </c>
      <c r="D43" s="318">
        <f ca="1">IF(OR(A43&gt;Start.listina!$K$7,TYPE(VLOOKUP(A43,$V$3:$X$130,3,0))&gt;3),"",VLOOKUP(A43,$V$3:$X$130,3,0))</f>
        <v>54</v>
      </c>
      <c r="E43" s="422">
        <f ca="1">IF(A43&gt;Start.listina!$K$7,"",IF(MIN(F43:K43)&gt;Start.listina!$Y$4,D43,MIN(F43:K43)))</f>
        <v>54</v>
      </c>
      <c r="F43" s="318">
        <f ca="1">IF(TYPE(VLOOKUP(C43,Konečné_pořadí_1_16!$B$2:$D$17,3,0))&lt;4,VLOOKUP(C43,Konečné_pořadí_1_16!$B$2:$D$17,3,0),999)</f>
        <v>999</v>
      </c>
      <c r="G43" s="318">
        <f ca="1">IF(TYPE(VLOOKUP(C43,'KO64'!$D$4:$D$129,1,0))&lt;4,64,999)</f>
        <v>999</v>
      </c>
      <c r="H43" s="318">
        <f ca="1">IF(TYPE(VLOOKUP(C43,'KO32'!$D$4:$D$65,1,0))&lt;4,32,999)</f>
        <v>999</v>
      </c>
      <c r="I43" s="318">
        <f ca="1">IF(TYPE(VLOOKUP(C43,'KO16'!$D$4:$D$33,1,0))&lt;4,16,999)</f>
        <v>999</v>
      </c>
      <c r="J43" s="318">
        <f ca="1">IF(TYPE(VLOOKUP(C43,'KO8'!$D$4:$D$17,1,0))&lt;4,8,999)</f>
        <v>999</v>
      </c>
      <c r="K43" s="318">
        <f ca="1">IF(TYPE(VLOOKUP(C43,'KO4'!$D$4:$D$9,1,0))&lt;4,4,999)</f>
        <v>999</v>
      </c>
      <c r="M43" s="319">
        <v>41</v>
      </c>
      <c r="O43" s="318">
        <f t="shared" ca="1" si="8"/>
        <v>1</v>
      </c>
      <c r="P43" s="318">
        <f t="shared" ca="1" si="9"/>
        <v>-18</v>
      </c>
      <c r="Q43" s="318">
        <f t="shared" ca="1" si="26"/>
        <v>5</v>
      </c>
      <c r="R43" s="318">
        <f t="shared" ca="1" si="27"/>
        <v>0</v>
      </c>
      <c r="S43" s="318">
        <f t="shared" ca="1" si="10"/>
        <v>26</v>
      </c>
      <c r="T43" s="318">
        <f t="shared" ca="1" si="11"/>
        <v>1</v>
      </c>
      <c r="U43" s="397">
        <f t="shared" si="25"/>
        <v>41</v>
      </c>
      <c r="V43" s="397">
        <v>13</v>
      </c>
      <c r="W43" s="423" t="str">
        <f ca="1">IF($V43="","",CONCATENATE(TEXT($O43,"0"),IF(Start.listina!$Y$5="","",TEXT(500+$P43,"0000")),IF(Start.listina!$Y$6="","",CHOOSE(Start.listina!$Y$7,TEXT($Q43,"00"),CONCATENATE(TEXT($Q43,"00"),TEXT($S43,"000")), TEXT($R43,"00"))),TEXT(500+$P43,"0000"),IF(Start.listina!$Y$8="","",TEXT($T43,"0")),TEXT(999999*RAND(),"000000")))</f>
        <v>1050260482620109</v>
      </c>
      <c r="X43" s="399">
        <f t="shared" si="12"/>
        <v>41</v>
      </c>
      <c r="Y43" s="397">
        <f t="shared" ca="1" si="28"/>
        <v>1</v>
      </c>
      <c r="Z43" s="318">
        <f t="shared" ca="1" si="13"/>
        <v>13</v>
      </c>
      <c r="AA43" s="318" t="str">
        <f t="shared" ca="1" si="14"/>
        <v/>
      </c>
      <c r="AB43" s="318">
        <f t="shared" ca="1" si="15"/>
        <v>11</v>
      </c>
      <c r="AC43" s="318">
        <f t="shared" ca="1" si="16"/>
        <v>18</v>
      </c>
      <c r="AD43" s="318">
        <f t="shared" ca="1" si="17"/>
        <v>0</v>
      </c>
      <c r="AE43" s="318">
        <f t="shared" ca="1" si="18"/>
        <v>0</v>
      </c>
      <c r="AG43" s="318">
        <f ca="1">IF(TYPE(VLOOKUP($A43,'1.kolo'!$L$3:$L$66,1,0))&gt;3,VLOOKUP($A43,'1.kolo'!$K$3:$L$66,2,0),VLOOKUP($A43,'1.kolo'!$L$3:$O$66,4,0))</f>
        <v>13</v>
      </c>
      <c r="AH43" s="318">
        <f ca="1">IF(TYPE(VLOOKUP($A43,'1.kolo'!$L$3:$L$66,1,0))&gt;3,VLOOKUP($A43,'1.kolo'!$O$3:$Q$66,2,0),VLOOKUP($A43,'1.kolo'!$L$3:$N$66,2,0))</f>
        <v>0</v>
      </c>
      <c r="AI43" s="318">
        <f ca="1">IF(TYPE(VLOOKUP($A43,'1.kolo'!$L$3:$L$66,1,0))&gt;3,VLOOKUP($A43,'1.kolo'!$O$3:$Q$66,3,0),VLOOKUP($A43,'1.kolo'!$L$3:$N$66,3,0))</f>
        <v>-9</v>
      </c>
      <c r="AJ43" s="318">
        <f t="shared" ca="1" si="19"/>
        <v>0</v>
      </c>
      <c r="AK43" s="318">
        <v>41</v>
      </c>
      <c r="AL43" s="424"/>
      <c r="AP43" s="318" t="str">
        <f ca="1">IF(TYPE(VLOOKUP($A43,'2.kolo'!$L$3:$L$66,1,0))&gt;3,IF(TYPE(VLOOKUP($A43,'2.kolo'!$K$3:$L$66,2,0))&gt;3,0,VLOOKUP($A43,'2.kolo'!$K$3:$L$66,2,0)),VLOOKUP($A43,'2.kolo'!$L$3:$O$66,4,0))</f>
        <v/>
      </c>
      <c r="AQ43" s="318">
        <f ca="1">IF(TYPE(VLOOKUP($A43,'2.kolo'!$L$3:$L$66,1,0))&gt;3,IF(TYPE(VLOOKUP($A43,'2.kolo'!$O$3:$Q$66,2,0))&gt;3,0,VLOOKUP($A43,'2.kolo'!$O$3:$Q$66,2,0)),VLOOKUP($A43,'2.kolo'!$L$3:$N$66,2,0))</f>
        <v>1</v>
      </c>
      <c r="AR43" s="318">
        <f ca="1">IF(TYPE(VLOOKUP($A43,'2.kolo'!$L$3:$L$66,1,0))&gt;3,IF(TYPE(VLOOKUP($A43,'2.kolo'!$O$3:$Q$66,3,0))&gt;3,0,VLOOKUP($A43,'2.kolo'!$O$3:$Q$66,3,0)),VLOOKUP($A43,'2.kolo'!$L$3:$N$66,3,0))</f>
        <v>6</v>
      </c>
      <c r="AS43" s="318">
        <f t="shared" ca="1" si="20"/>
        <v>1</v>
      </c>
      <c r="AT43" s="397">
        <v>30</v>
      </c>
      <c r="AU43" s="424" t="str">
        <f ca="1">IF(AT43="","",CONCATENATE(TEXT($O43,"0"),IF(Start.listina!$Y$5="","",TEXT(500+$P43,"000")),TEXT(999999*RAND(),"000000")))</f>
        <v>1228594</v>
      </c>
      <c r="AV43" s="318">
        <f t="shared" ca="1" si="29"/>
        <v>0</v>
      </c>
      <c r="AY43" s="318">
        <f ca="1">IF(TYPE(VLOOKUP($A43,'3.kolo'!$L$3:$L$66,1,0))&gt;3,IF(TYPE(VLOOKUP($A43,'3.kolo'!$K$3:$L$66,2,0))&gt;3,0,VLOOKUP($A43,'3.kolo'!$K$3:$L$66,2,0)),VLOOKUP($A43,'3.kolo'!$L$3:$O$66,4,0))</f>
        <v>11</v>
      </c>
      <c r="AZ43" s="318">
        <f ca="1">IF(TYPE(VLOOKUP($A43,'3.kolo'!$L$3:$L$66,1,0))&gt;3,IF(TYPE(VLOOKUP($A43,'3.kolo'!$O$3:$Q$66,2,0))&gt;3,0,VLOOKUP($A43,'3.kolo'!$O$3:$Q$66,2,0)),VLOOKUP($A43,'3.kolo'!$L$3:$N$66,2,0))</f>
        <v>0</v>
      </c>
      <c r="BA43" s="318">
        <f ca="1">IF(TYPE(VLOOKUP($A43,'3.kolo'!$L$3:$L$66,1,0))&gt;3,IF(TYPE(VLOOKUP($A43,'3.kolo'!$O$3:$Q$66,3,0))&gt;3,0,VLOOKUP($A43,'3.kolo'!$O$3:$Q$66,3,0)),VLOOKUP($A43,'3.kolo'!$L$3:$N$66,3,0))</f>
        <v>-9</v>
      </c>
      <c r="BB43" s="318">
        <f t="shared" ca="1" si="21"/>
        <v>0</v>
      </c>
      <c r="BC43" s="397">
        <v>15</v>
      </c>
      <c r="BD43" s="424" t="str">
        <f ca="1">IF(BC43="","",CONCATENATE(TEXT($O43,"0"),IF(Start.listina!$Y$5="","",TEXT(500+$P43,"000")),TEXT(999999*RAND(),"000000")))</f>
        <v>1229744</v>
      </c>
      <c r="BE43" s="318">
        <f t="shared" ca="1" si="30"/>
        <v>0</v>
      </c>
      <c r="BH43" s="318">
        <f ca="1">IF(TYPE(VLOOKUP($A43,'4.kolo'!$L$3:$L$66,1,0))&gt;3,IF(TYPE(VLOOKUP($A43,'4.kolo'!$K$3:$L$66,2,0))&gt;3,0,VLOOKUP($A43,'4.kolo'!$K$3:$L$66,2,0)),VLOOKUP($A43,'4.kolo'!$L$3:$O$66,4,0))</f>
        <v>18</v>
      </c>
      <c r="BI43" s="318">
        <f ca="1">IF(TYPE(VLOOKUP($A43,'4.kolo'!$L$3:$L$66,1,0))&gt;3,IF(TYPE(VLOOKUP($A43,'4.kolo'!$O$3:$Q$66,2,0))&gt;3,0,VLOOKUP($A43,'4.kolo'!$O$3:$Q$66,2,0)),VLOOKUP($A43,'4.kolo'!$L$3:$N$66,2,0))</f>
        <v>0</v>
      </c>
      <c r="BJ43" s="318">
        <f ca="1">IF(TYPE(VLOOKUP($A43,'4.kolo'!$L$3:$L$66,1,0))&gt;3,IF(TYPE(VLOOKUP($A43,'4.kolo'!$O$3:$Q$66,3,0))&gt;3,0,VLOOKUP($A43,'4.kolo'!$O$3:$Q$66,3,0)),VLOOKUP($A43,'4.kolo'!$L$3:$N$66,3,0))</f>
        <v>-6</v>
      </c>
      <c r="BK43" s="318">
        <f t="shared" ca="1" si="22"/>
        <v>0</v>
      </c>
      <c r="BL43" s="397">
        <v>13</v>
      </c>
      <c r="BM43" s="424" t="str">
        <f ca="1">IF(BL43="","",CONCATENATE(TEXT($O43,"0"),IF(Start.listina!$Y$5="","",TEXT(500+$P43,"000")),TEXT(999999*RAND(),"000000")))</f>
        <v>1179507</v>
      </c>
      <c r="BN43" s="318">
        <f t="shared" ca="1" si="31"/>
        <v>0</v>
      </c>
      <c r="BQ43" s="318">
        <f ca="1">IF(TYPE(VLOOKUP($A43,'5.kolo'!$L$3:$L$66,1,0))&gt;3,IF(TYPE(VLOOKUP($A43,'5.kolo'!$K$3:$L$66,2,0))&gt;3,0,VLOOKUP($A43,'5.kolo'!$K$3:$L$66,2,0)),VLOOKUP($A43,'5.kolo'!$L$3:$O$66,4,0))</f>
        <v>0</v>
      </c>
      <c r="BR43" s="318">
        <f ca="1">IF(TYPE(VLOOKUP($A43,'5.kolo'!$L$3:$L$66,1,0))&gt;3,IF(TYPE(VLOOKUP($A43,'5.kolo'!$O$3:$Q$66,2,0))&gt;3,0,VLOOKUP($A43,'5.kolo'!$O$3:$Q$66,2,0)),VLOOKUP($A43,'5.kolo'!$L$3:$N$66,2,0))</f>
        <v>0</v>
      </c>
      <c r="BS43" s="318">
        <f ca="1">IF(TYPE(VLOOKUP($A43,'5.kolo'!$L$3:$L$66,1,0))&gt;3,IF(TYPE(VLOOKUP($A43,'5.kolo'!$O$3:$Q$66,3,0))&gt;3,0,VLOOKUP($A43,'5.kolo'!$O$3:$Q$66,3,0)),VLOOKUP($A43,'5.kolo'!$L$3:$N$66,3,0))</f>
        <v>0</v>
      </c>
      <c r="BT43" s="318">
        <f t="shared" ca="1" si="23"/>
        <v>0</v>
      </c>
      <c r="BU43" s="397"/>
      <c r="BV43" s="424" t="str">
        <f ca="1">IF(BU43="","",CONCATENATE(TEXT($O43,"0"),IF(Start.listina!$Y$5="","",TEXT(500+$P43,"000")),TEXT(999999*RAND(),"000000")))</f>
        <v/>
      </c>
      <c r="BW43" s="318">
        <f t="shared" ca="1" si="32"/>
        <v>0</v>
      </c>
      <c r="BZ43" s="318">
        <f ca="1">IF(TYPE(VLOOKUP($A43,'6.kolo'!$L$3:$L$66,1,0))&gt;3,IF(TYPE(VLOOKUP($A43,'6.kolo'!$K$3:$L$66,2,0))&gt;3,0,VLOOKUP($A43,'6.kolo'!$K$3:$L$66,2,0)),VLOOKUP($A43,'6.kolo'!$L$3:$O$66,4,0))</f>
        <v>0</v>
      </c>
      <c r="CA43" s="318">
        <f ca="1">IF(TYPE(VLOOKUP($A43,'6.kolo'!$L$3:$L$66,1,0))&gt;3,IF(TYPE(VLOOKUP($A43,'6.kolo'!$O$3:$Q$66,2,0))&gt;3,0,VLOOKUP($A43,'6.kolo'!$O$3:$Q$66,2,0)),VLOOKUP($A43,'6.kolo'!$L$3:$N$66,2,0))</f>
        <v>0</v>
      </c>
      <c r="CB43" s="318">
        <f ca="1">IF(TYPE(VLOOKUP($A43,'6.kolo'!$L$3:$L$66,1,0))&gt;3,IF(TYPE(VLOOKUP($A43,'6.kolo'!$O$3:$Q$66,3,0))&gt;3,0,VLOOKUP($A43,'6.kolo'!$O$3:$Q$66,3,0)),VLOOKUP($A43,'6.kolo'!$L$3:$N$66,3,0))</f>
        <v>0</v>
      </c>
      <c r="CC43" s="318">
        <f t="shared" ca="1" si="24"/>
        <v>0</v>
      </c>
      <c r="CD43" s="397"/>
      <c r="CE43" s="424" t="str">
        <f ca="1">IF(CD43="","",CONCATENATE(TEXT($O43,"0"),IF(Start.listina!$Y$5="","",TEXT(500+$P43,"000")),TEXT(999999*RAND(),"000000")))</f>
        <v/>
      </c>
      <c r="CF43" s="318">
        <f t="shared" ca="1" si="33"/>
        <v>0</v>
      </c>
    </row>
    <row r="44" spans="1:84" x14ac:dyDescent="0.4">
      <c r="A44" s="318">
        <f ca="1">IF(OR(Start.listina!H52&gt;Start.listina!$K$7,Start.listina!G52=TRUE),"",Start.listina!H52)</f>
        <v>42</v>
      </c>
      <c r="B44" s="318">
        <f ca="1">IF($A44&gt;Start.listina!$K$7,"",INT(($A44-1)/Start.listina!$O$7)+1)</f>
        <v>2</v>
      </c>
      <c r="C44" s="421" t="str">
        <f ca="1">IF(OR(Start.listina!H52&gt;Start.listina!$K$7,Start.listina!G52=TRUE)," - ",Start.listina!AL52)</f>
        <v>42 C.T.P. Club Ořech - Leiský Leander</v>
      </c>
      <c r="D44" s="318">
        <f ca="1">IF(OR(A44&gt;Start.listina!$K$7,TYPE(VLOOKUP(A44,$V$3:$X$130,3,0))&gt;3),"",VLOOKUP(A44,$V$3:$X$130,3,0))</f>
        <v>27</v>
      </c>
      <c r="E44" s="422">
        <f ca="1">IF(A44&gt;Start.listina!$K$7,"",IF(MIN(F44:K44)&gt;Start.listina!$Y$4,D44,MIN(F44:K44)))</f>
        <v>27</v>
      </c>
      <c r="F44" s="318">
        <f ca="1">IF(TYPE(VLOOKUP(C44,Konečné_pořadí_1_16!$B$2:$D$17,3,0))&lt;4,VLOOKUP(C44,Konečné_pořadí_1_16!$B$2:$D$17,3,0),999)</f>
        <v>999</v>
      </c>
      <c r="G44" s="318">
        <f ca="1">IF(TYPE(VLOOKUP(C44,'KO64'!$D$4:$D$129,1,0))&lt;4,64,999)</f>
        <v>999</v>
      </c>
      <c r="H44" s="318">
        <f ca="1">IF(TYPE(VLOOKUP(C44,'KO32'!$D$4:$D$65,1,0))&lt;4,32,999)</f>
        <v>999</v>
      </c>
      <c r="I44" s="318">
        <f ca="1">IF(TYPE(VLOOKUP(C44,'KO16'!$D$4:$D$33,1,0))&lt;4,16,999)</f>
        <v>999</v>
      </c>
      <c r="J44" s="318">
        <f ca="1">IF(TYPE(VLOOKUP(C44,'KO8'!$D$4:$D$17,1,0))&lt;4,8,999)</f>
        <v>999</v>
      </c>
      <c r="K44" s="318">
        <f ca="1">IF(TYPE(VLOOKUP(C44,'KO4'!$D$4:$D$9,1,0))&lt;4,4,999)</f>
        <v>999</v>
      </c>
      <c r="M44" s="319">
        <v>42</v>
      </c>
      <c r="O44" s="318">
        <f t="shared" ca="1" si="8"/>
        <v>2</v>
      </c>
      <c r="P44" s="318">
        <f t="shared" ca="1" si="9"/>
        <v>-1</v>
      </c>
      <c r="Q44" s="318">
        <f t="shared" ca="1" si="26"/>
        <v>8</v>
      </c>
      <c r="R44" s="318">
        <f t="shared" ca="1" si="27"/>
        <v>2</v>
      </c>
      <c r="S44" s="318">
        <f t="shared" ca="1" si="10"/>
        <v>34</v>
      </c>
      <c r="T44" s="318">
        <f t="shared" ca="1" si="11"/>
        <v>2</v>
      </c>
      <c r="U44" s="397">
        <f t="shared" si="25"/>
        <v>42</v>
      </c>
      <c r="V44" s="397">
        <v>32</v>
      </c>
      <c r="W44" s="423" t="str">
        <f ca="1">IF($V44="","",CONCATENATE(TEXT($O44,"0"),IF(Start.listina!$Y$5="","",TEXT(500+$P44,"0000")),IF(Start.listina!$Y$6="","",CHOOSE(Start.listina!$Y$7,TEXT($Q44,"00"),CONCATENATE(TEXT($Q44,"00"),TEXT($S44,"000")), TEXT($R44,"00"))),TEXT(500+$P44,"0000"),IF(Start.listina!$Y$8="","",TEXT($T44,"0")),TEXT(999999*RAND(),"000000")))</f>
        <v>2080340499754171</v>
      </c>
      <c r="X44" s="399">
        <f t="shared" si="12"/>
        <v>42</v>
      </c>
      <c r="Y44" s="397">
        <f t="shared" ca="1" si="28"/>
        <v>1</v>
      </c>
      <c r="Z44" s="318">
        <f t="shared" ca="1" si="13"/>
        <v>14</v>
      </c>
      <c r="AA44" s="318">
        <f t="shared" ca="1" si="14"/>
        <v>51</v>
      </c>
      <c r="AB44" s="318">
        <f t="shared" ca="1" si="15"/>
        <v>31</v>
      </c>
      <c r="AC44" s="318">
        <f t="shared" ca="1" si="16"/>
        <v>46</v>
      </c>
      <c r="AD44" s="318">
        <f t="shared" ca="1" si="17"/>
        <v>0</v>
      </c>
      <c r="AE44" s="318">
        <f t="shared" ca="1" si="18"/>
        <v>0</v>
      </c>
      <c r="AG44" s="318">
        <f ca="1">IF(TYPE(VLOOKUP($A44,'1.kolo'!$L$3:$L$66,1,0))&gt;3,VLOOKUP($A44,'1.kolo'!$K$3:$L$66,2,0),VLOOKUP($A44,'1.kolo'!$L$3:$O$66,4,0))</f>
        <v>14</v>
      </c>
      <c r="AH44" s="318">
        <f ca="1">IF(TYPE(VLOOKUP($A44,'1.kolo'!$L$3:$L$66,1,0))&gt;3,VLOOKUP($A44,'1.kolo'!$O$3:$Q$66,2,0),VLOOKUP($A44,'1.kolo'!$L$3:$N$66,2,0))</f>
        <v>0</v>
      </c>
      <c r="AI44" s="318">
        <f ca="1">IF(TYPE(VLOOKUP($A44,'1.kolo'!$L$3:$L$66,1,0))&gt;3,VLOOKUP($A44,'1.kolo'!$O$3:$Q$66,3,0),VLOOKUP($A44,'1.kolo'!$L$3:$N$66,3,0))</f>
        <v>-11</v>
      </c>
      <c r="AJ44" s="318">
        <f t="shared" ca="1" si="19"/>
        <v>0</v>
      </c>
      <c r="AK44" s="318">
        <v>42</v>
      </c>
      <c r="AL44" s="424"/>
      <c r="AP44" s="318">
        <f ca="1">IF(TYPE(VLOOKUP($A44,'2.kolo'!$L$3:$L$66,1,0))&gt;3,IF(TYPE(VLOOKUP($A44,'2.kolo'!$K$3:$L$66,2,0))&gt;3,0,VLOOKUP($A44,'2.kolo'!$K$3:$L$66,2,0)),VLOOKUP($A44,'2.kolo'!$L$3:$O$66,4,0))</f>
        <v>51</v>
      </c>
      <c r="AQ44" s="318">
        <f ca="1">IF(TYPE(VLOOKUP($A44,'2.kolo'!$L$3:$L$66,1,0))&gt;3,IF(TYPE(VLOOKUP($A44,'2.kolo'!$O$3:$Q$66,2,0))&gt;3,0,VLOOKUP($A44,'2.kolo'!$O$3:$Q$66,2,0)),VLOOKUP($A44,'2.kolo'!$L$3:$N$66,2,0))</f>
        <v>0</v>
      </c>
      <c r="AR44" s="318">
        <f ca="1">IF(TYPE(VLOOKUP($A44,'2.kolo'!$L$3:$L$66,1,0))&gt;3,IF(TYPE(VLOOKUP($A44,'2.kolo'!$O$3:$Q$66,3,0))&gt;3,0,VLOOKUP($A44,'2.kolo'!$O$3:$Q$66,3,0)),VLOOKUP($A44,'2.kolo'!$L$3:$N$66,3,0))</f>
        <v>-3</v>
      </c>
      <c r="AS44" s="318">
        <f t="shared" ca="1" si="20"/>
        <v>0</v>
      </c>
      <c r="AT44" s="397">
        <v>45</v>
      </c>
      <c r="AU44" s="424" t="str">
        <f ca="1">IF(AT44="","",CONCATENATE(TEXT($O44,"0"),IF(Start.listina!$Y$5="","",TEXT(500+$P44,"000")),TEXT(999999*RAND(),"000000")))</f>
        <v>2541696</v>
      </c>
      <c r="AV44" s="318">
        <f t="shared" ca="1" si="29"/>
        <v>0</v>
      </c>
      <c r="AY44" s="318">
        <f ca="1">IF(TYPE(VLOOKUP($A44,'3.kolo'!$L$3:$L$66,1,0))&gt;3,IF(TYPE(VLOOKUP($A44,'3.kolo'!$K$3:$L$66,2,0))&gt;3,0,VLOOKUP($A44,'3.kolo'!$K$3:$L$66,2,0)),VLOOKUP($A44,'3.kolo'!$L$3:$O$66,4,0))</f>
        <v>31</v>
      </c>
      <c r="AZ44" s="318">
        <f ca="1">IF(TYPE(VLOOKUP($A44,'3.kolo'!$L$3:$L$66,1,0))&gt;3,IF(TYPE(VLOOKUP($A44,'3.kolo'!$O$3:$Q$66,2,0))&gt;3,0,VLOOKUP($A44,'3.kolo'!$O$3:$Q$66,2,0)),VLOOKUP($A44,'3.kolo'!$L$3:$N$66,2,0))</f>
        <v>1</v>
      </c>
      <c r="BA44" s="318">
        <f ca="1">IF(TYPE(VLOOKUP($A44,'3.kolo'!$L$3:$L$66,1,0))&gt;3,IF(TYPE(VLOOKUP($A44,'3.kolo'!$O$3:$Q$66,3,0))&gt;3,0,VLOOKUP($A44,'3.kolo'!$O$3:$Q$66,3,0)),VLOOKUP($A44,'3.kolo'!$L$3:$N$66,3,0))</f>
        <v>11</v>
      </c>
      <c r="BB44" s="318">
        <f t="shared" ca="1" si="21"/>
        <v>1</v>
      </c>
      <c r="BC44" s="397">
        <v>22</v>
      </c>
      <c r="BD44" s="424" t="str">
        <f ca="1">IF(BC44="","",CONCATENATE(TEXT($O44,"0"),IF(Start.listina!$Y$5="","",TEXT(500+$P44,"000")),TEXT(999999*RAND(),"000000")))</f>
        <v>2192614</v>
      </c>
      <c r="BE44" s="318">
        <f t="shared" ca="1" si="30"/>
        <v>0</v>
      </c>
      <c r="BH44" s="318">
        <f ca="1">IF(TYPE(VLOOKUP($A44,'4.kolo'!$L$3:$L$66,1,0))&gt;3,IF(TYPE(VLOOKUP($A44,'4.kolo'!$K$3:$L$66,2,0))&gt;3,0,VLOOKUP($A44,'4.kolo'!$K$3:$L$66,2,0)),VLOOKUP($A44,'4.kolo'!$L$3:$O$66,4,0))</f>
        <v>46</v>
      </c>
      <c r="BI44" s="318">
        <f ca="1">IF(TYPE(VLOOKUP($A44,'4.kolo'!$L$3:$L$66,1,0))&gt;3,IF(TYPE(VLOOKUP($A44,'4.kolo'!$O$3:$Q$66,2,0))&gt;3,0,VLOOKUP($A44,'4.kolo'!$O$3:$Q$66,2,0)),VLOOKUP($A44,'4.kolo'!$L$3:$N$66,2,0))</f>
        <v>1</v>
      </c>
      <c r="BJ44" s="318">
        <f ca="1">IF(TYPE(VLOOKUP($A44,'4.kolo'!$L$3:$L$66,1,0))&gt;3,IF(TYPE(VLOOKUP($A44,'4.kolo'!$O$3:$Q$66,3,0))&gt;3,0,VLOOKUP($A44,'4.kolo'!$O$3:$Q$66,3,0)),VLOOKUP($A44,'4.kolo'!$L$3:$N$66,3,0))</f>
        <v>2</v>
      </c>
      <c r="BK44" s="318">
        <f t="shared" ca="1" si="22"/>
        <v>1</v>
      </c>
      <c r="BL44" s="397">
        <v>22</v>
      </c>
      <c r="BM44" s="424" t="str">
        <f ca="1">IF(BL44="","",CONCATENATE(TEXT($O44,"0"),IF(Start.listina!$Y$5="","",TEXT(500+$P44,"000")),TEXT(999999*RAND(),"000000")))</f>
        <v>2352176</v>
      </c>
      <c r="BN44" s="318">
        <f t="shared" ca="1" si="31"/>
        <v>0</v>
      </c>
      <c r="BQ44" s="318">
        <f ca="1">IF(TYPE(VLOOKUP($A44,'5.kolo'!$L$3:$L$66,1,0))&gt;3,IF(TYPE(VLOOKUP($A44,'5.kolo'!$K$3:$L$66,2,0))&gt;3,0,VLOOKUP($A44,'5.kolo'!$K$3:$L$66,2,0)),VLOOKUP($A44,'5.kolo'!$L$3:$O$66,4,0))</f>
        <v>0</v>
      </c>
      <c r="BR44" s="318">
        <f ca="1">IF(TYPE(VLOOKUP($A44,'5.kolo'!$L$3:$L$66,1,0))&gt;3,IF(TYPE(VLOOKUP($A44,'5.kolo'!$O$3:$Q$66,2,0))&gt;3,0,VLOOKUP($A44,'5.kolo'!$O$3:$Q$66,2,0)),VLOOKUP($A44,'5.kolo'!$L$3:$N$66,2,0))</f>
        <v>0</v>
      </c>
      <c r="BS44" s="318">
        <f ca="1">IF(TYPE(VLOOKUP($A44,'5.kolo'!$L$3:$L$66,1,0))&gt;3,IF(TYPE(VLOOKUP($A44,'5.kolo'!$O$3:$Q$66,3,0))&gt;3,0,VLOOKUP($A44,'5.kolo'!$O$3:$Q$66,3,0)),VLOOKUP($A44,'5.kolo'!$L$3:$N$66,3,0))</f>
        <v>0</v>
      </c>
      <c r="BT44" s="318">
        <f t="shared" ca="1" si="23"/>
        <v>0</v>
      </c>
      <c r="BU44" s="397"/>
      <c r="BV44" s="424" t="str">
        <f ca="1">IF(BU44="","",CONCATENATE(TEXT($O44,"0"),IF(Start.listina!$Y$5="","",TEXT(500+$P44,"000")),TEXT(999999*RAND(),"000000")))</f>
        <v/>
      </c>
      <c r="BW44" s="318">
        <f t="shared" ca="1" si="32"/>
        <v>0</v>
      </c>
      <c r="BZ44" s="318">
        <f ca="1">IF(TYPE(VLOOKUP($A44,'6.kolo'!$L$3:$L$66,1,0))&gt;3,IF(TYPE(VLOOKUP($A44,'6.kolo'!$K$3:$L$66,2,0))&gt;3,0,VLOOKUP($A44,'6.kolo'!$K$3:$L$66,2,0)),VLOOKUP($A44,'6.kolo'!$L$3:$O$66,4,0))</f>
        <v>0</v>
      </c>
      <c r="CA44" s="318">
        <f ca="1">IF(TYPE(VLOOKUP($A44,'6.kolo'!$L$3:$L$66,1,0))&gt;3,IF(TYPE(VLOOKUP($A44,'6.kolo'!$O$3:$Q$66,2,0))&gt;3,0,VLOOKUP($A44,'6.kolo'!$O$3:$Q$66,2,0)),VLOOKUP($A44,'6.kolo'!$L$3:$N$66,2,0))</f>
        <v>0</v>
      </c>
      <c r="CB44" s="318">
        <f ca="1">IF(TYPE(VLOOKUP($A44,'6.kolo'!$L$3:$L$66,1,0))&gt;3,IF(TYPE(VLOOKUP($A44,'6.kolo'!$O$3:$Q$66,3,0))&gt;3,0,VLOOKUP($A44,'6.kolo'!$O$3:$Q$66,3,0)),VLOOKUP($A44,'6.kolo'!$L$3:$N$66,3,0))</f>
        <v>0</v>
      </c>
      <c r="CC44" s="318">
        <f t="shared" ca="1" si="24"/>
        <v>0</v>
      </c>
      <c r="CD44" s="397"/>
      <c r="CE44" s="424" t="str">
        <f ca="1">IF(CD44="","",CONCATENATE(TEXT($O44,"0"),IF(Start.listina!$Y$5="","",TEXT(500+$P44,"000")),TEXT(999999*RAND(),"000000")))</f>
        <v/>
      </c>
      <c r="CF44" s="318">
        <f t="shared" ca="1" si="33"/>
        <v>0</v>
      </c>
    </row>
    <row r="45" spans="1:84" x14ac:dyDescent="0.4">
      <c r="A45" s="318">
        <f ca="1">IF(OR(Start.listina!H53&gt;Start.listina!$K$7,Start.listina!G53=TRUE),"",Start.listina!H53)</f>
        <v>43</v>
      </c>
      <c r="B45" s="318">
        <f ca="1">IF($A45&gt;Start.listina!$K$7,"",INT(($A45-1)/Start.listina!$O$7)+1)</f>
        <v>2</v>
      </c>
      <c r="C45" s="421" t="str">
        <f ca="1">IF(OR(Start.listina!H53&gt;Start.listina!$K$7,Start.listina!G53=TRUE)," - ",Start.listina!AL53)</f>
        <v xml:space="preserve">43   - Mika, Dánsko  </v>
      </c>
      <c r="D45" s="318">
        <f ca="1">IF(OR(A45&gt;Start.listina!$K$7,TYPE(VLOOKUP(A45,$V$3:$X$130,3,0))&gt;3),"",VLOOKUP(A45,$V$3:$X$130,3,0))</f>
        <v>56</v>
      </c>
      <c r="E45" s="422">
        <f ca="1">IF(A45&gt;Start.listina!$K$7,"",IF(MIN(F45:K45)&gt;Start.listina!$Y$4,D45,MIN(F45:K45)))</f>
        <v>56</v>
      </c>
      <c r="F45" s="318">
        <f ca="1">IF(TYPE(VLOOKUP(C45,Konečné_pořadí_1_16!$B$2:$D$17,3,0))&lt;4,VLOOKUP(C45,Konečné_pořadí_1_16!$B$2:$D$17,3,0),999)</f>
        <v>999</v>
      </c>
      <c r="G45" s="318">
        <f ca="1">IF(TYPE(VLOOKUP(C45,'KO64'!$D$4:$D$129,1,0))&lt;4,64,999)</f>
        <v>999</v>
      </c>
      <c r="H45" s="318">
        <f ca="1">IF(TYPE(VLOOKUP(C45,'KO32'!$D$4:$D$65,1,0))&lt;4,32,999)</f>
        <v>999</v>
      </c>
      <c r="I45" s="318">
        <f ca="1">IF(TYPE(VLOOKUP(C45,'KO16'!$D$4:$D$33,1,0))&lt;4,16,999)</f>
        <v>999</v>
      </c>
      <c r="J45" s="318">
        <f ca="1">IF(TYPE(VLOOKUP(C45,'KO8'!$D$4:$D$17,1,0))&lt;4,8,999)</f>
        <v>999</v>
      </c>
      <c r="K45" s="318">
        <f ca="1">IF(TYPE(VLOOKUP(C45,'KO4'!$D$4:$D$9,1,0))&lt;4,4,999)</f>
        <v>999</v>
      </c>
      <c r="M45" s="319">
        <v>43</v>
      </c>
      <c r="O45" s="318">
        <f t="shared" ca="1" si="8"/>
        <v>0</v>
      </c>
      <c r="P45" s="318">
        <f t="shared" ca="1" si="9"/>
        <v>-36</v>
      </c>
      <c r="Q45" s="318">
        <f t="shared" ca="1" si="26"/>
        <v>8</v>
      </c>
      <c r="R45" s="318">
        <f t="shared" ca="1" si="27"/>
        <v>0</v>
      </c>
      <c r="S45" s="318">
        <f t="shared" ca="1" si="10"/>
        <v>25</v>
      </c>
      <c r="T45" s="318">
        <f t="shared" ca="1" si="11"/>
        <v>0</v>
      </c>
      <c r="U45" s="397">
        <f t="shared" si="25"/>
        <v>43</v>
      </c>
      <c r="V45" s="397">
        <v>8</v>
      </c>
      <c r="W45" s="423" t="str">
        <f ca="1">IF($V45="","",CONCATENATE(TEXT($O45,"0"),IF(Start.listina!$Y$5="","",TEXT(500+$P45,"0000")),IF(Start.listina!$Y$6="","",CHOOSE(Start.listina!$Y$7,TEXT($Q45,"00"),CONCATENATE(TEXT($Q45,"00"),TEXT($S45,"000")), TEXT($R45,"00"))),TEXT(500+$P45,"0000"),IF(Start.listina!$Y$8="","",TEXT($T45,"0")),TEXT(999999*RAND(),"000000")))</f>
        <v>0080250464464090</v>
      </c>
      <c r="X45" s="399">
        <f t="shared" si="12"/>
        <v>43</v>
      </c>
      <c r="Y45" s="397">
        <f t="shared" ca="1" si="28"/>
        <v>1</v>
      </c>
      <c r="Z45" s="318">
        <f t="shared" ca="1" si="13"/>
        <v>15</v>
      </c>
      <c r="AA45" s="318">
        <f t="shared" ca="1" si="14"/>
        <v>56</v>
      </c>
      <c r="AB45" s="318">
        <f t="shared" ca="1" si="15"/>
        <v>55</v>
      </c>
      <c r="AC45" s="318">
        <f t="shared" ca="1" si="16"/>
        <v>31</v>
      </c>
      <c r="AD45" s="318">
        <f t="shared" ca="1" si="17"/>
        <v>0</v>
      </c>
      <c r="AE45" s="318">
        <f t="shared" ca="1" si="18"/>
        <v>0</v>
      </c>
      <c r="AG45" s="318">
        <f ca="1">IF(TYPE(VLOOKUP($A45,'1.kolo'!$L$3:$L$66,1,0))&gt;3,VLOOKUP($A45,'1.kolo'!$K$3:$L$66,2,0),VLOOKUP($A45,'1.kolo'!$L$3:$O$66,4,0))</f>
        <v>15</v>
      </c>
      <c r="AH45" s="318">
        <f ca="1">IF(TYPE(VLOOKUP($A45,'1.kolo'!$L$3:$L$66,1,0))&gt;3,VLOOKUP($A45,'1.kolo'!$O$3:$Q$66,2,0),VLOOKUP($A45,'1.kolo'!$L$3:$N$66,2,0))</f>
        <v>0</v>
      </c>
      <c r="AI45" s="318">
        <f ca="1">IF(TYPE(VLOOKUP($A45,'1.kolo'!$L$3:$L$66,1,0))&gt;3,VLOOKUP($A45,'1.kolo'!$O$3:$Q$66,3,0),VLOOKUP($A45,'1.kolo'!$L$3:$N$66,3,0))</f>
        <v>-10</v>
      </c>
      <c r="AJ45" s="318">
        <f t="shared" ca="1" si="19"/>
        <v>0</v>
      </c>
      <c r="AK45" s="318">
        <v>43</v>
      </c>
      <c r="AL45" s="424"/>
      <c r="AP45" s="318">
        <f ca="1">IF(TYPE(VLOOKUP($A45,'2.kolo'!$L$3:$L$66,1,0))&gt;3,IF(TYPE(VLOOKUP($A45,'2.kolo'!$K$3:$L$66,2,0))&gt;3,0,VLOOKUP($A45,'2.kolo'!$K$3:$L$66,2,0)),VLOOKUP($A45,'2.kolo'!$L$3:$O$66,4,0))</f>
        <v>56</v>
      </c>
      <c r="AQ45" s="318">
        <f ca="1">IF(TYPE(VLOOKUP($A45,'2.kolo'!$L$3:$L$66,1,0))&gt;3,IF(TYPE(VLOOKUP($A45,'2.kolo'!$O$3:$Q$66,2,0))&gt;3,0,VLOOKUP($A45,'2.kolo'!$O$3:$Q$66,2,0)),VLOOKUP($A45,'2.kolo'!$L$3:$N$66,2,0))</f>
        <v>0</v>
      </c>
      <c r="AR45" s="318">
        <f ca="1">IF(TYPE(VLOOKUP($A45,'2.kolo'!$L$3:$L$66,1,0))&gt;3,IF(TYPE(VLOOKUP($A45,'2.kolo'!$O$3:$Q$66,3,0))&gt;3,0,VLOOKUP($A45,'2.kolo'!$O$3:$Q$66,3,0)),VLOOKUP($A45,'2.kolo'!$L$3:$N$66,3,0))</f>
        <v>-8</v>
      </c>
      <c r="AS45" s="318">
        <f t="shared" ca="1" si="20"/>
        <v>0</v>
      </c>
      <c r="AT45" s="397">
        <v>56</v>
      </c>
      <c r="AU45" s="424" t="str">
        <f ca="1">IF(AT45="","",CONCATENATE(TEXT($O45,"0"),IF(Start.listina!$Y$5="","",TEXT(500+$P45,"000")),TEXT(999999*RAND(),"000000")))</f>
        <v>0088541</v>
      </c>
      <c r="AV45" s="318">
        <f t="shared" ca="1" si="29"/>
        <v>0</v>
      </c>
      <c r="AY45" s="318">
        <f ca="1">IF(TYPE(VLOOKUP($A45,'3.kolo'!$L$3:$L$66,1,0))&gt;3,IF(TYPE(VLOOKUP($A45,'3.kolo'!$K$3:$L$66,2,0))&gt;3,0,VLOOKUP($A45,'3.kolo'!$K$3:$L$66,2,0)),VLOOKUP($A45,'3.kolo'!$L$3:$O$66,4,0))</f>
        <v>55</v>
      </c>
      <c r="AZ45" s="318">
        <f ca="1">IF(TYPE(VLOOKUP($A45,'3.kolo'!$L$3:$L$66,1,0))&gt;3,IF(TYPE(VLOOKUP($A45,'3.kolo'!$O$3:$Q$66,2,0))&gt;3,0,VLOOKUP($A45,'3.kolo'!$O$3:$Q$66,2,0)),VLOOKUP($A45,'3.kolo'!$L$3:$N$66,2,0))</f>
        <v>0</v>
      </c>
      <c r="BA45" s="318">
        <f ca="1">IF(TYPE(VLOOKUP($A45,'3.kolo'!$L$3:$L$66,1,0))&gt;3,IF(TYPE(VLOOKUP($A45,'3.kolo'!$O$3:$Q$66,3,0))&gt;3,0,VLOOKUP($A45,'3.kolo'!$O$3:$Q$66,3,0)),VLOOKUP($A45,'3.kolo'!$L$3:$N$66,3,0))</f>
        <v>-9</v>
      </c>
      <c r="BB45" s="318">
        <f t="shared" ca="1" si="21"/>
        <v>0</v>
      </c>
      <c r="BC45" s="397">
        <v>20</v>
      </c>
      <c r="BD45" s="424" t="str">
        <f ca="1">IF(BC45="","",CONCATENATE(TEXT($O45,"0"),IF(Start.listina!$Y$5="","",TEXT(500+$P45,"000")),TEXT(999999*RAND(),"000000")))</f>
        <v>0658544</v>
      </c>
      <c r="BE45" s="318">
        <f t="shared" ca="1" si="30"/>
        <v>0</v>
      </c>
      <c r="BH45" s="318">
        <f ca="1">IF(TYPE(VLOOKUP($A45,'4.kolo'!$L$3:$L$66,1,0))&gt;3,IF(TYPE(VLOOKUP($A45,'4.kolo'!$K$3:$L$66,2,0))&gt;3,0,VLOOKUP($A45,'4.kolo'!$K$3:$L$66,2,0)),VLOOKUP($A45,'4.kolo'!$L$3:$O$66,4,0))</f>
        <v>31</v>
      </c>
      <c r="BI45" s="318">
        <f ca="1">IF(TYPE(VLOOKUP($A45,'4.kolo'!$L$3:$L$66,1,0))&gt;3,IF(TYPE(VLOOKUP($A45,'4.kolo'!$O$3:$Q$66,2,0))&gt;3,0,VLOOKUP($A45,'4.kolo'!$O$3:$Q$66,2,0)),VLOOKUP($A45,'4.kolo'!$L$3:$N$66,2,0))</f>
        <v>0</v>
      </c>
      <c r="BJ45" s="318">
        <f ca="1">IF(TYPE(VLOOKUP($A45,'4.kolo'!$L$3:$L$66,1,0))&gt;3,IF(TYPE(VLOOKUP($A45,'4.kolo'!$O$3:$Q$66,3,0))&gt;3,0,VLOOKUP($A45,'4.kolo'!$O$3:$Q$66,3,0)),VLOOKUP($A45,'4.kolo'!$L$3:$N$66,3,0))</f>
        <v>-9</v>
      </c>
      <c r="BK45" s="318">
        <f t="shared" ca="1" si="22"/>
        <v>0</v>
      </c>
      <c r="BL45" s="397">
        <v>55</v>
      </c>
      <c r="BM45" s="424" t="str">
        <f ca="1">IF(BL45="","",CONCATENATE(TEXT($O45,"0"),IF(Start.listina!$Y$5="","",TEXT(500+$P45,"000")),TEXT(999999*RAND(),"000000")))</f>
        <v>0805206</v>
      </c>
      <c r="BN45" s="318">
        <f t="shared" ca="1" si="31"/>
        <v>0</v>
      </c>
      <c r="BQ45" s="318">
        <f ca="1">IF(TYPE(VLOOKUP($A45,'5.kolo'!$L$3:$L$66,1,0))&gt;3,IF(TYPE(VLOOKUP($A45,'5.kolo'!$K$3:$L$66,2,0))&gt;3,0,VLOOKUP($A45,'5.kolo'!$K$3:$L$66,2,0)),VLOOKUP($A45,'5.kolo'!$L$3:$O$66,4,0))</f>
        <v>0</v>
      </c>
      <c r="BR45" s="318">
        <f ca="1">IF(TYPE(VLOOKUP($A45,'5.kolo'!$L$3:$L$66,1,0))&gt;3,IF(TYPE(VLOOKUP($A45,'5.kolo'!$O$3:$Q$66,2,0))&gt;3,0,VLOOKUP($A45,'5.kolo'!$O$3:$Q$66,2,0)),VLOOKUP($A45,'5.kolo'!$L$3:$N$66,2,0))</f>
        <v>0</v>
      </c>
      <c r="BS45" s="318">
        <f ca="1">IF(TYPE(VLOOKUP($A45,'5.kolo'!$L$3:$L$66,1,0))&gt;3,IF(TYPE(VLOOKUP($A45,'5.kolo'!$O$3:$Q$66,3,0))&gt;3,0,VLOOKUP($A45,'5.kolo'!$O$3:$Q$66,3,0)),VLOOKUP($A45,'5.kolo'!$L$3:$N$66,3,0))</f>
        <v>0</v>
      </c>
      <c r="BT45" s="318">
        <f t="shared" ca="1" si="23"/>
        <v>0</v>
      </c>
      <c r="BU45" s="397"/>
      <c r="BV45" s="424" t="str">
        <f ca="1">IF(BU45="","",CONCATENATE(TEXT($O45,"0"),IF(Start.listina!$Y$5="","",TEXT(500+$P45,"000")),TEXT(999999*RAND(),"000000")))</f>
        <v/>
      </c>
      <c r="BW45" s="318">
        <f t="shared" ca="1" si="32"/>
        <v>0</v>
      </c>
      <c r="BZ45" s="318">
        <f ca="1">IF(TYPE(VLOOKUP($A45,'6.kolo'!$L$3:$L$66,1,0))&gt;3,IF(TYPE(VLOOKUP($A45,'6.kolo'!$K$3:$L$66,2,0))&gt;3,0,VLOOKUP($A45,'6.kolo'!$K$3:$L$66,2,0)),VLOOKUP($A45,'6.kolo'!$L$3:$O$66,4,0))</f>
        <v>0</v>
      </c>
      <c r="CA45" s="318">
        <f ca="1">IF(TYPE(VLOOKUP($A45,'6.kolo'!$L$3:$L$66,1,0))&gt;3,IF(TYPE(VLOOKUP($A45,'6.kolo'!$O$3:$Q$66,2,0))&gt;3,0,VLOOKUP($A45,'6.kolo'!$O$3:$Q$66,2,0)),VLOOKUP($A45,'6.kolo'!$L$3:$N$66,2,0))</f>
        <v>0</v>
      </c>
      <c r="CB45" s="318">
        <f ca="1">IF(TYPE(VLOOKUP($A45,'6.kolo'!$L$3:$L$66,1,0))&gt;3,IF(TYPE(VLOOKUP($A45,'6.kolo'!$O$3:$Q$66,3,0))&gt;3,0,VLOOKUP($A45,'6.kolo'!$O$3:$Q$66,3,0)),VLOOKUP($A45,'6.kolo'!$L$3:$N$66,3,0))</f>
        <v>0</v>
      </c>
      <c r="CC45" s="318">
        <f t="shared" ca="1" si="24"/>
        <v>0</v>
      </c>
      <c r="CD45" s="397"/>
      <c r="CE45" s="424" t="str">
        <f ca="1">IF(CD45="","",CONCATENATE(TEXT($O45,"0"),IF(Start.listina!$Y$5="","",TEXT(500+$P45,"000")),TEXT(999999*RAND(),"000000")))</f>
        <v/>
      </c>
      <c r="CF45" s="318">
        <f t="shared" ca="1" si="33"/>
        <v>0</v>
      </c>
    </row>
    <row r="46" spans="1:84" x14ac:dyDescent="0.4">
      <c r="A46" s="318">
        <f ca="1">IF(OR(Start.listina!H54&gt;Start.listina!$K$7,Start.listina!G54=TRUE),"",Start.listina!H54)</f>
        <v>44</v>
      </c>
      <c r="B46" s="318">
        <f ca="1">IF($A46&gt;Start.listina!$K$7,"",INT(($A46-1)/Start.listina!$O$7)+1)</f>
        <v>2</v>
      </c>
      <c r="C46" s="421" t="str">
        <f ca="1">IF(OR(Start.listina!H54&gt;Start.listina!$K$7,Start.listina!G54=TRUE)," - ",Start.listina!AL54)</f>
        <v xml:space="preserve">44   - michael dánsko  </v>
      </c>
      <c r="D46" s="318">
        <f ca="1">IF(OR(A46&gt;Start.listina!$K$7,TYPE(VLOOKUP(A46,$V$3:$X$130,3,0))&gt;3),"",VLOOKUP(A46,$V$3:$X$130,3,0))</f>
        <v>15</v>
      </c>
      <c r="E46" s="422">
        <f ca="1">IF(A46&gt;Start.listina!$K$7,"",IF(MIN(F46:K46)&gt;Start.listina!$Y$4,D46,MIN(F46:K46)))</f>
        <v>16</v>
      </c>
      <c r="F46" s="318">
        <f ca="1">IF(TYPE(VLOOKUP(C46,Konečné_pořadí_1_16!$B$2:$D$17,3,0))&lt;4,VLOOKUP(C46,Konečné_pořadí_1_16!$B$2:$D$17,3,0),999)</f>
        <v>999</v>
      </c>
      <c r="G46" s="318">
        <f ca="1">IF(TYPE(VLOOKUP(C46,'KO64'!$D$4:$D$129,1,0))&lt;4,64,999)</f>
        <v>64</v>
      </c>
      <c r="H46" s="318">
        <f ca="1">IF(TYPE(VLOOKUP(C46,'KO32'!$D$4:$D$65,1,0))&lt;4,32,999)</f>
        <v>32</v>
      </c>
      <c r="I46" s="318">
        <f ca="1">IF(TYPE(VLOOKUP(C46,'KO16'!$D$4:$D$33,1,0))&lt;4,16,999)</f>
        <v>16</v>
      </c>
      <c r="J46" s="318">
        <f ca="1">IF(TYPE(VLOOKUP(C46,'KO8'!$D$4:$D$17,1,0))&lt;4,8,999)</f>
        <v>999</v>
      </c>
      <c r="K46" s="318">
        <f ca="1">IF(TYPE(VLOOKUP(C46,'KO4'!$D$4:$D$9,1,0))&lt;4,4,999)</f>
        <v>999</v>
      </c>
      <c r="M46" s="319">
        <v>44</v>
      </c>
      <c r="O46" s="318">
        <f t="shared" ca="1" si="8"/>
        <v>3</v>
      </c>
      <c r="P46" s="318">
        <f t="shared" ca="1" si="9"/>
        <v>6</v>
      </c>
      <c r="Q46" s="318">
        <f t="shared" ca="1" si="26"/>
        <v>8</v>
      </c>
      <c r="R46" s="318">
        <f t="shared" ca="1" si="27"/>
        <v>5</v>
      </c>
      <c r="S46" s="318">
        <f t="shared" ca="1" si="10"/>
        <v>32</v>
      </c>
      <c r="T46" s="318">
        <f t="shared" ca="1" si="11"/>
        <v>3</v>
      </c>
      <c r="U46" s="397">
        <f t="shared" si="25"/>
        <v>44</v>
      </c>
      <c r="V46" s="397">
        <v>47</v>
      </c>
      <c r="W46" s="423" t="str">
        <f ca="1">IF($V46="","",CONCATENATE(TEXT($O46,"0"),IF(Start.listina!$Y$5="","",TEXT(500+$P46,"0000")),IF(Start.listina!$Y$6="","",CHOOSE(Start.listina!$Y$7,TEXT($Q46,"00"),CONCATENATE(TEXT($Q46,"00"),TEXT($S46,"000")), TEXT($R46,"00"))),TEXT(500+$P46,"0000"),IF(Start.listina!$Y$8="","",TEXT($T46,"0")),TEXT(999999*RAND(),"000000")))</f>
        <v>3080320506068486</v>
      </c>
      <c r="X46" s="399">
        <f t="shared" si="12"/>
        <v>44</v>
      </c>
      <c r="Y46" s="397">
        <f t="shared" ca="1" si="28"/>
        <v>1</v>
      </c>
      <c r="Z46" s="318">
        <f t="shared" ca="1" si="13"/>
        <v>16</v>
      </c>
      <c r="AA46" s="318">
        <f t="shared" ca="1" si="14"/>
        <v>20</v>
      </c>
      <c r="AB46" s="318">
        <f t="shared" ca="1" si="15"/>
        <v>23</v>
      </c>
      <c r="AC46" s="318">
        <f t="shared" ca="1" si="16"/>
        <v>11</v>
      </c>
      <c r="AD46" s="318">
        <f t="shared" ca="1" si="17"/>
        <v>0</v>
      </c>
      <c r="AE46" s="318">
        <f t="shared" ca="1" si="18"/>
        <v>0</v>
      </c>
      <c r="AG46" s="318">
        <f ca="1">IF(TYPE(VLOOKUP($A46,'1.kolo'!$L$3:$L$66,1,0))&gt;3,VLOOKUP($A46,'1.kolo'!$K$3:$L$66,2,0),VLOOKUP($A46,'1.kolo'!$L$3:$O$66,4,0))</f>
        <v>16</v>
      </c>
      <c r="AH46" s="318">
        <f ca="1">IF(TYPE(VLOOKUP($A46,'1.kolo'!$L$3:$L$66,1,0))&gt;3,VLOOKUP($A46,'1.kolo'!$O$3:$Q$66,2,0),VLOOKUP($A46,'1.kolo'!$L$3:$N$66,2,0))</f>
        <v>1</v>
      </c>
      <c r="AI46" s="318">
        <f ca="1">IF(TYPE(VLOOKUP($A46,'1.kolo'!$L$3:$L$66,1,0))&gt;3,VLOOKUP($A46,'1.kolo'!$O$3:$Q$66,3,0),VLOOKUP($A46,'1.kolo'!$L$3:$N$66,3,0))</f>
        <v>4</v>
      </c>
      <c r="AJ46" s="318">
        <f t="shared" ca="1" si="19"/>
        <v>1</v>
      </c>
      <c r="AK46" s="318">
        <v>44</v>
      </c>
      <c r="AL46" s="424"/>
      <c r="AP46" s="318">
        <f ca="1">IF(TYPE(VLOOKUP($A46,'2.kolo'!$L$3:$L$66,1,0))&gt;3,IF(TYPE(VLOOKUP($A46,'2.kolo'!$K$3:$L$66,2,0))&gt;3,0,VLOOKUP($A46,'2.kolo'!$K$3:$L$66,2,0)),VLOOKUP($A46,'2.kolo'!$L$3:$O$66,4,0))</f>
        <v>20</v>
      </c>
      <c r="AQ46" s="318">
        <f ca="1">IF(TYPE(VLOOKUP($A46,'2.kolo'!$L$3:$L$66,1,0))&gt;3,IF(TYPE(VLOOKUP($A46,'2.kolo'!$O$3:$Q$66,2,0))&gt;3,0,VLOOKUP($A46,'2.kolo'!$O$3:$Q$66,2,0)),VLOOKUP($A46,'2.kolo'!$L$3:$N$66,2,0))</f>
        <v>1</v>
      </c>
      <c r="AR46" s="318">
        <f ca="1">IF(TYPE(VLOOKUP($A46,'2.kolo'!$L$3:$L$66,1,0))&gt;3,IF(TYPE(VLOOKUP($A46,'2.kolo'!$O$3:$Q$66,3,0))&gt;3,0,VLOOKUP($A46,'2.kolo'!$O$3:$Q$66,3,0)),VLOOKUP($A46,'2.kolo'!$L$3:$N$66,3,0))</f>
        <v>6</v>
      </c>
      <c r="AS46" s="318">
        <f t="shared" ca="1" si="20"/>
        <v>1</v>
      </c>
      <c r="AT46" s="397">
        <v>43</v>
      </c>
      <c r="AU46" s="424" t="str">
        <f ca="1">IF(AT46="","",CONCATENATE(TEXT($O46,"0"),IF(Start.listina!$Y$5="","",TEXT(500+$P46,"000")),TEXT(999999*RAND(),"000000")))</f>
        <v>3361220</v>
      </c>
      <c r="AV46" s="318">
        <f t="shared" ca="1" si="29"/>
        <v>0</v>
      </c>
      <c r="AY46" s="318">
        <f ca="1">IF(TYPE(VLOOKUP($A46,'3.kolo'!$L$3:$L$66,1,0))&gt;3,IF(TYPE(VLOOKUP($A46,'3.kolo'!$K$3:$L$66,2,0))&gt;3,0,VLOOKUP($A46,'3.kolo'!$K$3:$L$66,2,0)),VLOOKUP($A46,'3.kolo'!$L$3:$O$66,4,0))</f>
        <v>23</v>
      </c>
      <c r="AZ46" s="318">
        <f ca="1">IF(TYPE(VLOOKUP($A46,'3.kolo'!$L$3:$L$66,1,0))&gt;3,IF(TYPE(VLOOKUP($A46,'3.kolo'!$O$3:$Q$66,2,0))&gt;3,0,VLOOKUP($A46,'3.kolo'!$O$3:$Q$66,2,0)),VLOOKUP($A46,'3.kolo'!$L$3:$N$66,2,0))</f>
        <v>0</v>
      </c>
      <c r="BA46" s="318">
        <f ca="1">IF(TYPE(VLOOKUP($A46,'3.kolo'!$L$3:$L$66,1,0))&gt;3,IF(TYPE(VLOOKUP($A46,'3.kolo'!$O$3:$Q$66,3,0))&gt;3,0,VLOOKUP($A46,'3.kolo'!$O$3:$Q$66,3,0)),VLOOKUP($A46,'3.kolo'!$L$3:$N$66,3,0))</f>
        <v>-10</v>
      </c>
      <c r="BB46" s="318">
        <f t="shared" ca="1" si="21"/>
        <v>0</v>
      </c>
      <c r="BC46" s="397">
        <v>46</v>
      </c>
      <c r="BD46" s="424" t="str">
        <f ca="1">IF(BC46="","",CONCATENATE(TEXT($O46,"0"),IF(Start.listina!$Y$5="","",TEXT(500+$P46,"000")),TEXT(999999*RAND(),"000000")))</f>
        <v>3068515</v>
      </c>
      <c r="BE46" s="318">
        <f t="shared" ca="1" si="30"/>
        <v>0</v>
      </c>
      <c r="BH46" s="318">
        <f ca="1">IF(TYPE(VLOOKUP($A46,'4.kolo'!$L$3:$L$66,1,0))&gt;3,IF(TYPE(VLOOKUP($A46,'4.kolo'!$K$3:$L$66,2,0))&gt;3,0,VLOOKUP($A46,'4.kolo'!$K$3:$L$66,2,0)),VLOOKUP($A46,'4.kolo'!$L$3:$O$66,4,0))</f>
        <v>11</v>
      </c>
      <c r="BI46" s="318">
        <f ca="1">IF(TYPE(VLOOKUP($A46,'4.kolo'!$L$3:$L$66,1,0))&gt;3,IF(TYPE(VLOOKUP($A46,'4.kolo'!$O$3:$Q$66,2,0))&gt;3,0,VLOOKUP($A46,'4.kolo'!$O$3:$Q$66,2,0)),VLOOKUP($A46,'4.kolo'!$L$3:$N$66,2,0))</f>
        <v>1</v>
      </c>
      <c r="BJ46" s="318">
        <f ca="1">IF(TYPE(VLOOKUP($A46,'4.kolo'!$L$3:$L$66,1,0))&gt;3,IF(TYPE(VLOOKUP($A46,'4.kolo'!$O$3:$Q$66,3,0))&gt;3,0,VLOOKUP($A46,'4.kolo'!$O$3:$Q$66,3,0)),VLOOKUP($A46,'4.kolo'!$L$3:$N$66,3,0))</f>
        <v>6</v>
      </c>
      <c r="BK46" s="318">
        <f t="shared" ca="1" si="22"/>
        <v>1</v>
      </c>
      <c r="BL46" s="397">
        <v>6</v>
      </c>
      <c r="BM46" s="424" t="str">
        <f ca="1">IF(BL46="","",CONCATENATE(TEXT($O46,"0"),IF(Start.listina!$Y$5="","",TEXT(500+$P46,"000")),TEXT(999999*RAND(),"000000")))</f>
        <v>3206045</v>
      </c>
      <c r="BN46" s="318">
        <f t="shared" ca="1" si="31"/>
        <v>0</v>
      </c>
      <c r="BQ46" s="318">
        <f ca="1">IF(TYPE(VLOOKUP($A46,'5.kolo'!$L$3:$L$66,1,0))&gt;3,IF(TYPE(VLOOKUP($A46,'5.kolo'!$K$3:$L$66,2,0))&gt;3,0,VLOOKUP($A46,'5.kolo'!$K$3:$L$66,2,0)),VLOOKUP($A46,'5.kolo'!$L$3:$O$66,4,0))</f>
        <v>0</v>
      </c>
      <c r="BR46" s="318">
        <f ca="1">IF(TYPE(VLOOKUP($A46,'5.kolo'!$L$3:$L$66,1,0))&gt;3,IF(TYPE(VLOOKUP($A46,'5.kolo'!$O$3:$Q$66,2,0))&gt;3,0,VLOOKUP($A46,'5.kolo'!$O$3:$Q$66,2,0)),VLOOKUP($A46,'5.kolo'!$L$3:$N$66,2,0))</f>
        <v>0</v>
      </c>
      <c r="BS46" s="318">
        <f ca="1">IF(TYPE(VLOOKUP($A46,'5.kolo'!$L$3:$L$66,1,0))&gt;3,IF(TYPE(VLOOKUP($A46,'5.kolo'!$O$3:$Q$66,3,0))&gt;3,0,VLOOKUP($A46,'5.kolo'!$O$3:$Q$66,3,0)),VLOOKUP($A46,'5.kolo'!$L$3:$N$66,3,0))</f>
        <v>0</v>
      </c>
      <c r="BT46" s="318">
        <f t="shared" ca="1" si="23"/>
        <v>0</v>
      </c>
      <c r="BU46" s="397"/>
      <c r="BV46" s="424" t="str">
        <f ca="1">IF(BU46="","",CONCATENATE(TEXT($O46,"0"),IF(Start.listina!$Y$5="","",TEXT(500+$P46,"000")),TEXT(999999*RAND(),"000000")))</f>
        <v/>
      </c>
      <c r="BW46" s="318">
        <f t="shared" ca="1" si="32"/>
        <v>0</v>
      </c>
      <c r="BZ46" s="318">
        <f ca="1">IF(TYPE(VLOOKUP($A46,'6.kolo'!$L$3:$L$66,1,0))&gt;3,IF(TYPE(VLOOKUP($A46,'6.kolo'!$K$3:$L$66,2,0))&gt;3,0,VLOOKUP($A46,'6.kolo'!$K$3:$L$66,2,0)),VLOOKUP($A46,'6.kolo'!$L$3:$O$66,4,0))</f>
        <v>0</v>
      </c>
      <c r="CA46" s="318">
        <f ca="1">IF(TYPE(VLOOKUP($A46,'6.kolo'!$L$3:$L$66,1,0))&gt;3,IF(TYPE(VLOOKUP($A46,'6.kolo'!$O$3:$Q$66,2,0))&gt;3,0,VLOOKUP($A46,'6.kolo'!$O$3:$Q$66,2,0)),VLOOKUP($A46,'6.kolo'!$L$3:$N$66,2,0))</f>
        <v>0</v>
      </c>
      <c r="CB46" s="318">
        <f ca="1">IF(TYPE(VLOOKUP($A46,'6.kolo'!$L$3:$L$66,1,0))&gt;3,IF(TYPE(VLOOKUP($A46,'6.kolo'!$O$3:$Q$66,3,0))&gt;3,0,VLOOKUP($A46,'6.kolo'!$O$3:$Q$66,3,0)),VLOOKUP($A46,'6.kolo'!$L$3:$N$66,3,0))</f>
        <v>0</v>
      </c>
      <c r="CC46" s="318">
        <f t="shared" ca="1" si="24"/>
        <v>0</v>
      </c>
      <c r="CD46" s="397"/>
      <c r="CE46" s="424" t="str">
        <f ca="1">IF(CD46="","",CONCATENATE(TEXT($O46,"0"),IF(Start.listina!$Y$5="","",TEXT(500+$P46,"000")),TEXT(999999*RAND(),"000000")))</f>
        <v/>
      </c>
      <c r="CF46" s="318">
        <f t="shared" ca="1" si="33"/>
        <v>0</v>
      </c>
    </row>
    <row r="47" spans="1:84" x14ac:dyDescent="0.4">
      <c r="A47" s="318">
        <f ca="1">IF(OR(Start.listina!H55&gt;Start.listina!$K$7,Start.listina!G55=TRUE),"",Start.listina!H55)</f>
        <v>45</v>
      </c>
      <c r="B47" s="318">
        <f ca="1">IF($A47&gt;Start.listina!$K$7,"",INT(($A47-1)/Start.listina!$O$7)+1)</f>
        <v>2</v>
      </c>
      <c r="C47" s="421" t="str">
        <f ca="1">IF(OR(Start.listina!H55&gt;Start.listina!$K$7,Start.listina!G55=TRUE)," - ",Start.listina!AL55)</f>
        <v xml:space="preserve">45   - kim, Dánsko  </v>
      </c>
      <c r="D47" s="318">
        <f ca="1">IF(OR(A47&gt;Start.listina!$K$7,TYPE(VLOOKUP(A47,$V$3:$X$130,3,0))&gt;3),"",VLOOKUP(A47,$V$3:$X$130,3,0))</f>
        <v>36</v>
      </c>
      <c r="E47" s="422">
        <f ca="1">IF(A47&gt;Start.listina!$K$7,"",IF(MIN(F47:K47)&gt;Start.listina!$Y$4,D47,MIN(F47:K47)))</f>
        <v>36</v>
      </c>
      <c r="F47" s="318">
        <f ca="1">IF(TYPE(VLOOKUP(C47,Konečné_pořadí_1_16!$B$2:$D$17,3,0))&lt;4,VLOOKUP(C47,Konečné_pořadí_1_16!$B$2:$D$17,3,0),999)</f>
        <v>999</v>
      </c>
      <c r="G47" s="318">
        <f ca="1">IF(TYPE(VLOOKUP(C47,'KO64'!$D$4:$D$129,1,0))&lt;4,64,999)</f>
        <v>999</v>
      </c>
      <c r="H47" s="318">
        <f ca="1">IF(TYPE(VLOOKUP(C47,'KO32'!$D$4:$D$65,1,0))&lt;4,32,999)</f>
        <v>999</v>
      </c>
      <c r="I47" s="318">
        <f ca="1">IF(TYPE(VLOOKUP(C47,'KO16'!$D$4:$D$33,1,0))&lt;4,16,999)</f>
        <v>999</v>
      </c>
      <c r="J47" s="318">
        <f ca="1">IF(TYPE(VLOOKUP(C47,'KO8'!$D$4:$D$17,1,0))&lt;4,8,999)</f>
        <v>999</v>
      </c>
      <c r="K47" s="318">
        <f ca="1">IF(TYPE(VLOOKUP(C47,'KO4'!$D$4:$D$9,1,0))&lt;4,4,999)</f>
        <v>999</v>
      </c>
      <c r="M47" s="319">
        <v>45</v>
      </c>
      <c r="O47" s="318">
        <f t="shared" ca="1" si="8"/>
        <v>2</v>
      </c>
      <c r="P47" s="318">
        <f t="shared" ca="1" si="9"/>
        <v>2</v>
      </c>
      <c r="Q47" s="318">
        <f t="shared" ca="1" si="26"/>
        <v>6</v>
      </c>
      <c r="R47" s="318">
        <f t="shared" ca="1" si="27"/>
        <v>1</v>
      </c>
      <c r="S47" s="318">
        <f t="shared" ca="1" si="10"/>
        <v>36</v>
      </c>
      <c r="T47" s="318">
        <f t="shared" ca="1" si="11"/>
        <v>2</v>
      </c>
      <c r="U47" s="397">
        <f t="shared" si="25"/>
        <v>45</v>
      </c>
      <c r="V47" s="397">
        <v>35</v>
      </c>
      <c r="W47" s="423" t="str">
        <f ca="1">IF($V47="","",CONCATENATE(TEXT($O47,"0"),IF(Start.listina!$Y$5="","",TEXT(500+$P47,"0000")),IF(Start.listina!$Y$6="","",CHOOSE(Start.listina!$Y$7,TEXT($Q47,"00"),CONCATENATE(TEXT($Q47,"00"),TEXT($S47,"000")), TEXT($R47,"00"))),TEXT(500+$P47,"0000"),IF(Start.listina!$Y$8="","",TEXT($T47,"0")),TEXT(999999*RAND(),"000000")))</f>
        <v>2060360502853523</v>
      </c>
      <c r="X47" s="399">
        <f t="shared" si="12"/>
        <v>45</v>
      </c>
      <c r="Y47" s="397">
        <f t="shared" ca="1" si="28"/>
        <v>1</v>
      </c>
      <c r="Z47" s="318">
        <f t="shared" ca="1" si="13"/>
        <v>17</v>
      </c>
      <c r="AA47" s="318">
        <f t="shared" ca="1" si="14"/>
        <v>30</v>
      </c>
      <c r="AB47" s="318">
        <f t="shared" ca="1" si="15"/>
        <v>8</v>
      </c>
      <c r="AC47" s="318">
        <f t="shared" ca="1" si="16"/>
        <v>24</v>
      </c>
      <c r="AD47" s="318">
        <f t="shared" ca="1" si="17"/>
        <v>0</v>
      </c>
      <c r="AE47" s="318">
        <f t="shared" ca="1" si="18"/>
        <v>0</v>
      </c>
      <c r="AG47" s="318">
        <f ca="1">IF(TYPE(VLOOKUP($A47,'1.kolo'!$L$3:$L$66,1,0))&gt;3,VLOOKUP($A47,'1.kolo'!$K$3:$L$66,2,0),VLOOKUP($A47,'1.kolo'!$L$3:$O$66,4,0))</f>
        <v>17</v>
      </c>
      <c r="AH47" s="318">
        <f ca="1">IF(TYPE(VLOOKUP($A47,'1.kolo'!$L$3:$L$66,1,0))&gt;3,VLOOKUP($A47,'1.kolo'!$O$3:$Q$66,2,0),VLOOKUP($A47,'1.kolo'!$L$3:$N$66,2,0))</f>
        <v>0</v>
      </c>
      <c r="AI47" s="318">
        <f ca="1">IF(TYPE(VLOOKUP($A47,'1.kolo'!$L$3:$L$66,1,0))&gt;3,VLOOKUP($A47,'1.kolo'!$O$3:$Q$66,3,0),VLOOKUP($A47,'1.kolo'!$L$3:$N$66,3,0))</f>
        <v>-3</v>
      </c>
      <c r="AJ47" s="318">
        <f t="shared" ca="1" si="19"/>
        <v>0</v>
      </c>
      <c r="AK47" s="318">
        <v>45</v>
      </c>
      <c r="AL47" s="424"/>
      <c r="AP47" s="318">
        <f ca="1">IF(TYPE(VLOOKUP($A47,'2.kolo'!$L$3:$L$66,1,0))&gt;3,IF(TYPE(VLOOKUP($A47,'2.kolo'!$K$3:$L$66,2,0))&gt;3,0,VLOOKUP($A47,'2.kolo'!$K$3:$L$66,2,0)),VLOOKUP($A47,'2.kolo'!$L$3:$O$66,4,0))</f>
        <v>30</v>
      </c>
      <c r="AQ47" s="318">
        <f ca="1">IF(TYPE(VLOOKUP($A47,'2.kolo'!$L$3:$L$66,1,0))&gt;3,IF(TYPE(VLOOKUP($A47,'2.kolo'!$O$3:$Q$66,2,0))&gt;3,0,VLOOKUP($A47,'2.kolo'!$O$3:$Q$66,2,0)),VLOOKUP($A47,'2.kolo'!$L$3:$N$66,2,0))</f>
        <v>1</v>
      </c>
      <c r="AR47" s="318">
        <f ca="1">IF(TYPE(VLOOKUP($A47,'2.kolo'!$L$3:$L$66,1,0))&gt;3,IF(TYPE(VLOOKUP($A47,'2.kolo'!$O$3:$Q$66,3,0))&gt;3,0,VLOOKUP($A47,'2.kolo'!$O$3:$Q$66,3,0)),VLOOKUP($A47,'2.kolo'!$L$3:$N$66,3,0))</f>
        <v>4</v>
      </c>
      <c r="AS47" s="318">
        <f t="shared" ca="1" si="20"/>
        <v>1</v>
      </c>
      <c r="AT47" s="397">
        <v>26</v>
      </c>
      <c r="AU47" s="424" t="str">
        <f ca="1">IF(AT47="","",CONCATENATE(TEXT($O47,"0"),IF(Start.listina!$Y$5="","",TEXT(500+$P47,"000")),TEXT(999999*RAND(),"000000")))</f>
        <v>2127116</v>
      </c>
      <c r="AV47" s="318">
        <f t="shared" ca="1" si="29"/>
        <v>0</v>
      </c>
      <c r="AY47" s="318">
        <f ca="1">IF(TYPE(VLOOKUP($A47,'3.kolo'!$L$3:$L$66,1,0))&gt;3,IF(TYPE(VLOOKUP($A47,'3.kolo'!$K$3:$L$66,2,0))&gt;3,0,VLOOKUP($A47,'3.kolo'!$K$3:$L$66,2,0)),VLOOKUP($A47,'3.kolo'!$L$3:$O$66,4,0))</f>
        <v>8</v>
      </c>
      <c r="AZ47" s="318">
        <f ca="1">IF(TYPE(VLOOKUP($A47,'3.kolo'!$L$3:$L$66,1,0))&gt;3,IF(TYPE(VLOOKUP($A47,'3.kolo'!$O$3:$Q$66,2,0))&gt;3,0,VLOOKUP($A47,'3.kolo'!$O$3:$Q$66,2,0)),VLOOKUP($A47,'3.kolo'!$L$3:$N$66,2,0))</f>
        <v>1</v>
      </c>
      <c r="BA47" s="318">
        <f ca="1">IF(TYPE(VLOOKUP($A47,'3.kolo'!$L$3:$L$66,1,0))&gt;3,IF(TYPE(VLOOKUP($A47,'3.kolo'!$O$3:$Q$66,3,0))&gt;3,0,VLOOKUP($A47,'3.kolo'!$O$3:$Q$66,3,0)),VLOOKUP($A47,'3.kolo'!$L$3:$N$66,3,0))</f>
        <v>7</v>
      </c>
      <c r="BB47" s="318">
        <f t="shared" ca="1" si="21"/>
        <v>1</v>
      </c>
      <c r="BC47" s="397">
        <v>42</v>
      </c>
      <c r="BD47" s="424" t="str">
        <f ca="1">IF(BC47="","",CONCATENATE(TEXT($O47,"0"),IF(Start.listina!$Y$5="","",TEXT(500+$P47,"000")),TEXT(999999*RAND(),"000000")))</f>
        <v>2472815</v>
      </c>
      <c r="BE47" s="318">
        <f t="shared" ca="1" si="30"/>
        <v>0</v>
      </c>
      <c r="BH47" s="318">
        <f ca="1">IF(TYPE(VLOOKUP($A47,'4.kolo'!$L$3:$L$66,1,0))&gt;3,IF(TYPE(VLOOKUP($A47,'4.kolo'!$K$3:$L$66,2,0))&gt;3,0,VLOOKUP($A47,'4.kolo'!$K$3:$L$66,2,0)),VLOOKUP($A47,'4.kolo'!$L$3:$O$66,4,0))</f>
        <v>24</v>
      </c>
      <c r="BI47" s="318">
        <f ca="1">IF(TYPE(VLOOKUP($A47,'4.kolo'!$L$3:$L$66,1,0))&gt;3,IF(TYPE(VLOOKUP($A47,'4.kolo'!$O$3:$Q$66,2,0))&gt;3,0,VLOOKUP($A47,'4.kolo'!$O$3:$Q$66,2,0)),VLOOKUP($A47,'4.kolo'!$L$3:$N$66,2,0))</f>
        <v>0</v>
      </c>
      <c r="BJ47" s="318">
        <f ca="1">IF(TYPE(VLOOKUP($A47,'4.kolo'!$L$3:$L$66,1,0))&gt;3,IF(TYPE(VLOOKUP($A47,'4.kolo'!$O$3:$Q$66,3,0))&gt;3,0,VLOOKUP($A47,'4.kolo'!$O$3:$Q$66,3,0)),VLOOKUP($A47,'4.kolo'!$L$3:$N$66,3,0))</f>
        <v>-6</v>
      </c>
      <c r="BK47" s="318">
        <f t="shared" ca="1" si="22"/>
        <v>0</v>
      </c>
      <c r="BL47" s="397">
        <v>19</v>
      </c>
      <c r="BM47" s="424" t="str">
        <f ca="1">IF(BL47="","",CONCATENATE(TEXT($O47,"0"),IF(Start.listina!$Y$5="","",TEXT(500+$P47,"000")),TEXT(999999*RAND(),"000000")))</f>
        <v>2430166</v>
      </c>
      <c r="BN47" s="318">
        <f t="shared" ca="1" si="31"/>
        <v>0</v>
      </c>
      <c r="BQ47" s="318">
        <f ca="1">IF(TYPE(VLOOKUP($A47,'5.kolo'!$L$3:$L$66,1,0))&gt;3,IF(TYPE(VLOOKUP($A47,'5.kolo'!$K$3:$L$66,2,0))&gt;3,0,VLOOKUP($A47,'5.kolo'!$K$3:$L$66,2,0)),VLOOKUP($A47,'5.kolo'!$L$3:$O$66,4,0))</f>
        <v>0</v>
      </c>
      <c r="BR47" s="318">
        <f ca="1">IF(TYPE(VLOOKUP($A47,'5.kolo'!$L$3:$L$66,1,0))&gt;3,IF(TYPE(VLOOKUP($A47,'5.kolo'!$O$3:$Q$66,2,0))&gt;3,0,VLOOKUP($A47,'5.kolo'!$O$3:$Q$66,2,0)),VLOOKUP($A47,'5.kolo'!$L$3:$N$66,2,0))</f>
        <v>0</v>
      </c>
      <c r="BS47" s="318">
        <f ca="1">IF(TYPE(VLOOKUP($A47,'5.kolo'!$L$3:$L$66,1,0))&gt;3,IF(TYPE(VLOOKUP($A47,'5.kolo'!$O$3:$Q$66,3,0))&gt;3,0,VLOOKUP($A47,'5.kolo'!$O$3:$Q$66,3,0)),VLOOKUP($A47,'5.kolo'!$L$3:$N$66,3,0))</f>
        <v>0</v>
      </c>
      <c r="BT47" s="318">
        <f t="shared" ca="1" si="23"/>
        <v>0</v>
      </c>
      <c r="BU47" s="397"/>
      <c r="BV47" s="424" t="str">
        <f ca="1">IF(BU47="","",CONCATENATE(TEXT($O47,"0"),IF(Start.listina!$Y$5="","",TEXT(500+$P47,"000")),TEXT(999999*RAND(),"000000")))</f>
        <v/>
      </c>
      <c r="BW47" s="318">
        <f t="shared" ca="1" si="32"/>
        <v>0</v>
      </c>
      <c r="BZ47" s="318">
        <f ca="1">IF(TYPE(VLOOKUP($A47,'6.kolo'!$L$3:$L$66,1,0))&gt;3,IF(TYPE(VLOOKUP($A47,'6.kolo'!$K$3:$L$66,2,0))&gt;3,0,VLOOKUP($A47,'6.kolo'!$K$3:$L$66,2,0)),VLOOKUP($A47,'6.kolo'!$L$3:$O$66,4,0))</f>
        <v>0</v>
      </c>
      <c r="CA47" s="318">
        <f ca="1">IF(TYPE(VLOOKUP($A47,'6.kolo'!$L$3:$L$66,1,0))&gt;3,IF(TYPE(VLOOKUP($A47,'6.kolo'!$O$3:$Q$66,2,0))&gt;3,0,VLOOKUP($A47,'6.kolo'!$O$3:$Q$66,2,0)),VLOOKUP($A47,'6.kolo'!$L$3:$N$66,2,0))</f>
        <v>0</v>
      </c>
      <c r="CB47" s="318">
        <f ca="1">IF(TYPE(VLOOKUP($A47,'6.kolo'!$L$3:$L$66,1,0))&gt;3,IF(TYPE(VLOOKUP($A47,'6.kolo'!$O$3:$Q$66,3,0))&gt;3,0,VLOOKUP($A47,'6.kolo'!$O$3:$Q$66,3,0)),VLOOKUP($A47,'6.kolo'!$L$3:$N$66,3,0))</f>
        <v>0</v>
      </c>
      <c r="CC47" s="318">
        <f t="shared" ca="1" si="24"/>
        <v>0</v>
      </c>
      <c r="CD47" s="397"/>
      <c r="CE47" s="424" t="str">
        <f ca="1">IF(CD47="","",CONCATENATE(TEXT($O47,"0"),IF(Start.listina!$Y$5="","",TEXT(500+$P47,"000")),TEXT(999999*RAND(),"000000")))</f>
        <v/>
      </c>
      <c r="CF47" s="318">
        <f t="shared" ca="1" si="33"/>
        <v>0</v>
      </c>
    </row>
    <row r="48" spans="1:84" x14ac:dyDescent="0.4">
      <c r="A48" s="318">
        <f ca="1">IF(OR(Start.listina!H56&gt;Start.listina!$K$7,Start.listina!G56=TRUE),"",Start.listina!H56)</f>
        <v>46</v>
      </c>
      <c r="B48" s="318">
        <f ca="1">IF($A48&gt;Start.listina!$K$7,"",INT(($A48-1)/Start.listina!$O$7)+1)</f>
        <v>2</v>
      </c>
      <c r="C48" s="421" t="str">
        <f ca="1">IF(OR(Start.listina!H56&gt;Start.listina!$K$7,Start.listina!G56=TRUE)," - ",Start.listina!AL56)</f>
        <v xml:space="preserve">46   - Vladimír Chládek  </v>
      </c>
      <c r="D48" s="318">
        <f ca="1">IF(OR(A48&gt;Start.listina!$K$7,TYPE(VLOOKUP(A48,$V$3:$X$130,3,0))&gt;3),"",VLOOKUP(A48,$V$3:$X$130,3,0))</f>
        <v>48</v>
      </c>
      <c r="E48" s="422">
        <f ca="1">IF(A48&gt;Start.listina!$K$7,"",IF(MIN(F48:K48)&gt;Start.listina!$Y$4,D48,MIN(F48:K48)))</f>
        <v>48</v>
      </c>
      <c r="F48" s="318">
        <f ca="1">IF(TYPE(VLOOKUP(C48,Konečné_pořadí_1_16!$B$2:$D$17,3,0))&lt;4,VLOOKUP(C48,Konečné_pořadí_1_16!$B$2:$D$17,3,0),999)</f>
        <v>999</v>
      </c>
      <c r="G48" s="318">
        <f ca="1">IF(TYPE(VLOOKUP(C48,'KO64'!$D$4:$D$129,1,0))&lt;4,64,999)</f>
        <v>999</v>
      </c>
      <c r="H48" s="318">
        <f ca="1">IF(TYPE(VLOOKUP(C48,'KO32'!$D$4:$D$65,1,0))&lt;4,32,999)</f>
        <v>999</v>
      </c>
      <c r="I48" s="318">
        <f ca="1">IF(TYPE(VLOOKUP(C48,'KO16'!$D$4:$D$33,1,0))&lt;4,16,999)</f>
        <v>999</v>
      </c>
      <c r="J48" s="318">
        <f ca="1">IF(TYPE(VLOOKUP(C48,'KO8'!$D$4:$D$17,1,0))&lt;4,8,999)</f>
        <v>999</v>
      </c>
      <c r="K48" s="318">
        <f ca="1">IF(TYPE(VLOOKUP(C48,'KO4'!$D$4:$D$9,1,0))&lt;4,4,999)</f>
        <v>999</v>
      </c>
      <c r="M48" s="319">
        <v>46</v>
      </c>
      <c r="O48" s="318">
        <f t="shared" ca="1" si="8"/>
        <v>1</v>
      </c>
      <c r="P48" s="318">
        <f t="shared" ca="1" si="9"/>
        <v>-8</v>
      </c>
      <c r="Q48" s="318">
        <f t="shared" ca="1" si="26"/>
        <v>8</v>
      </c>
      <c r="R48" s="318">
        <f t="shared" ca="1" si="27"/>
        <v>2</v>
      </c>
      <c r="S48" s="318">
        <f t="shared" ca="1" si="10"/>
        <v>26</v>
      </c>
      <c r="T48" s="318">
        <f t="shared" ca="1" si="11"/>
        <v>1</v>
      </c>
      <c r="U48" s="397">
        <f t="shared" si="25"/>
        <v>46</v>
      </c>
      <c r="V48" s="397">
        <v>16</v>
      </c>
      <c r="W48" s="423" t="str">
        <f ca="1">IF($V48="","",CONCATENATE(TEXT($O48,"0"),IF(Start.listina!$Y$5="","",TEXT(500+$P48,"0000")),IF(Start.listina!$Y$6="","",CHOOSE(Start.listina!$Y$7,TEXT($Q48,"00"),CONCATENATE(TEXT($Q48,"00"),TEXT($S48,"000")), TEXT($R48,"00"))),TEXT(500+$P48,"0000"),IF(Start.listina!$Y$8="","",TEXT($T48,"0")),TEXT(999999*RAND(),"000000")))</f>
        <v>1080260492269127</v>
      </c>
      <c r="X48" s="399">
        <f t="shared" si="12"/>
        <v>46</v>
      </c>
      <c r="Y48" s="397">
        <f t="shared" ca="1" si="28"/>
        <v>1</v>
      </c>
      <c r="Z48" s="318">
        <f t="shared" ca="1" si="13"/>
        <v>18</v>
      </c>
      <c r="AA48" s="318">
        <f t="shared" ca="1" si="14"/>
        <v>37</v>
      </c>
      <c r="AB48" s="318">
        <f t="shared" ca="1" si="15"/>
        <v>20</v>
      </c>
      <c r="AC48" s="318">
        <f t="shared" ca="1" si="16"/>
        <v>42</v>
      </c>
      <c r="AD48" s="318">
        <f t="shared" ca="1" si="17"/>
        <v>0</v>
      </c>
      <c r="AE48" s="318">
        <f t="shared" ca="1" si="18"/>
        <v>0</v>
      </c>
      <c r="AG48" s="318">
        <f ca="1">IF(TYPE(VLOOKUP($A48,'1.kolo'!$L$3:$L$66,1,0))&gt;3,VLOOKUP($A48,'1.kolo'!$K$3:$L$66,2,0),VLOOKUP($A48,'1.kolo'!$L$3:$O$66,4,0))</f>
        <v>18</v>
      </c>
      <c r="AH48" s="318">
        <f ca="1">IF(TYPE(VLOOKUP($A48,'1.kolo'!$L$3:$L$66,1,0))&gt;3,VLOOKUP($A48,'1.kolo'!$O$3:$Q$66,2,0),VLOOKUP($A48,'1.kolo'!$L$3:$N$66,2,0))</f>
        <v>0</v>
      </c>
      <c r="AI48" s="318">
        <f ca="1">IF(TYPE(VLOOKUP($A48,'1.kolo'!$L$3:$L$66,1,0))&gt;3,VLOOKUP($A48,'1.kolo'!$O$3:$Q$66,3,0),VLOOKUP($A48,'1.kolo'!$L$3:$N$66,3,0))</f>
        <v>-6</v>
      </c>
      <c r="AJ48" s="318">
        <f t="shared" ca="1" si="19"/>
        <v>0</v>
      </c>
      <c r="AK48" s="318">
        <v>46</v>
      </c>
      <c r="AL48" s="424"/>
      <c r="AP48" s="318">
        <f ca="1">IF(TYPE(VLOOKUP($A48,'2.kolo'!$L$3:$L$66,1,0))&gt;3,IF(TYPE(VLOOKUP($A48,'2.kolo'!$K$3:$L$66,2,0))&gt;3,0,VLOOKUP($A48,'2.kolo'!$K$3:$L$66,2,0)),VLOOKUP($A48,'2.kolo'!$L$3:$O$66,4,0))</f>
        <v>37</v>
      </c>
      <c r="AQ48" s="318">
        <f ca="1">IF(TYPE(VLOOKUP($A48,'2.kolo'!$L$3:$L$66,1,0))&gt;3,IF(TYPE(VLOOKUP($A48,'2.kolo'!$O$3:$Q$66,2,0))&gt;3,0,VLOOKUP($A48,'2.kolo'!$O$3:$Q$66,2,0)),VLOOKUP($A48,'2.kolo'!$L$3:$N$66,2,0))</f>
        <v>0</v>
      </c>
      <c r="AR48" s="318">
        <f ca="1">IF(TYPE(VLOOKUP($A48,'2.kolo'!$L$3:$L$66,1,0))&gt;3,IF(TYPE(VLOOKUP($A48,'2.kolo'!$O$3:$Q$66,3,0))&gt;3,0,VLOOKUP($A48,'2.kolo'!$O$3:$Q$66,3,0)),VLOOKUP($A48,'2.kolo'!$L$3:$N$66,3,0))</f>
        <v>-4</v>
      </c>
      <c r="AS48" s="318">
        <f t="shared" ca="1" si="20"/>
        <v>0</v>
      </c>
      <c r="AT48" s="397">
        <v>16</v>
      </c>
      <c r="AU48" s="424" t="str">
        <f ca="1">IF(AT48="","",CONCATENATE(TEXT($O48,"0"),IF(Start.listina!$Y$5="","",TEXT(500+$P48,"000")),TEXT(999999*RAND(),"000000")))</f>
        <v>1418072</v>
      </c>
      <c r="AV48" s="318">
        <f t="shared" ca="1" si="29"/>
        <v>0</v>
      </c>
      <c r="AY48" s="318">
        <f ca="1">IF(TYPE(VLOOKUP($A48,'3.kolo'!$L$3:$L$66,1,0))&gt;3,IF(TYPE(VLOOKUP($A48,'3.kolo'!$K$3:$L$66,2,0))&gt;3,0,VLOOKUP($A48,'3.kolo'!$K$3:$L$66,2,0)),VLOOKUP($A48,'3.kolo'!$L$3:$O$66,4,0))</f>
        <v>20</v>
      </c>
      <c r="AZ48" s="318">
        <f ca="1">IF(TYPE(VLOOKUP($A48,'3.kolo'!$L$3:$L$66,1,0))&gt;3,IF(TYPE(VLOOKUP($A48,'3.kolo'!$O$3:$Q$66,2,0))&gt;3,0,VLOOKUP($A48,'3.kolo'!$O$3:$Q$66,2,0)),VLOOKUP($A48,'3.kolo'!$L$3:$N$66,2,0))</f>
        <v>1</v>
      </c>
      <c r="BA48" s="318">
        <f ca="1">IF(TYPE(VLOOKUP($A48,'3.kolo'!$L$3:$L$66,1,0))&gt;3,IF(TYPE(VLOOKUP($A48,'3.kolo'!$O$3:$Q$66,3,0))&gt;3,0,VLOOKUP($A48,'3.kolo'!$O$3:$Q$66,3,0)),VLOOKUP($A48,'3.kolo'!$L$3:$N$66,3,0))</f>
        <v>4</v>
      </c>
      <c r="BB48" s="318">
        <f t="shared" ca="1" si="21"/>
        <v>1</v>
      </c>
      <c r="BC48" s="397">
        <v>31</v>
      </c>
      <c r="BD48" s="424" t="str">
        <f ca="1">IF(BC48="","",CONCATENATE(TEXT($O48,"0"),IF(Start.listina!$Y$5="","",TEXT(500+$P48,"000")),TEXT(999999*RAND(),"000000")))</f>
        <v>1891141</v>
      </c>
      <c r="BE48" s="318">
        <f t="shared" ca="1" si="30"/>
        <v>0</v>
      </c>
      <c r="BH48" s="318">
        <f ca="1">IF(TYPE(VLOOKUP($A48,'4.kolo'!$L$3:$L$66,1,0))&gt;3,IF(TYPE(VLOOKUP($A48,'4.kolo'!$K$3:$L$66,2,0))&gt;3,0,VLOOKUP($A48,'4.kolo'!$K$3:$L$66,2,0)),VLOOKUP($A48,'4.kolo'!$L$3:$O$66,4,0))</f>
        <v>42</v>
      </c>
      <c r="BI48" s="318">
        <f ca="1">IF(TYPE(VLOOKUP($A48,'4.kolo'!$L$3:$L$66,1,0))&gt;3,IF(TYPE(VLOOKUP($A48,'4.kolo'!$O$3:$Q$66,2,0))&gt;3,0,VLOOKUP($A48,'4.kolo'!$O$3:$Q$66,2,0)),VLOOKUP($A48,'4.kolo'!$L$3:$N$66,2,0))</f>
        <v>0</v>
      </c>
      <c r="BJ48" s="318">
        <f ca="1">IF(TYPE(VLOOKUP($A48,'4.kolo'!$L$3:$L$66,1,0))&gt;3,IF(TYPE(VLOOKUP($A48,'4.kolo'!$O$3:$Q$66,3,0))&gt;3,0,VLOOKUP($A48,'4.kolo'!$O$3:$Q$66,3,0)),VLOOKUP($A48,'4.kolo'!$L$3:$N$66,3,0))</f>
        <v>-2</v>
      </c>
      <c r="BK48" s="318">
        <f t="shared" ca="1" si="22"/>
        <v>0</v>
      </c>
      <c r="BL48" s="397">
        <v>53</v>
      </c>
      <c r="BM48" s="424" t="str">
        <f ca="1">IF(BL48="","",CONCATENATE(TEXT($O48,"0"),IF(Start.listina!$Y$5="","",TEXT(500+$P48,"000")),TEXT(999999*RAND(),"000000")))</f>
        <v>1919786</v>
      </c>
      <c r="BN48" s="318">
        <f t="shared" ca="1" si="31"/>
        <v>0</v>
      </c>
      <c r="BQ48" s="318">
        <f ca="1">IF(TYPE(VLOOKUP($A48,'5.kolo'!$L$3:$L$66,1,0))&gt;3,IF(TYPE(VLOOKUP($A48,'5.kolo'!$K$3:$L$66,2,0))&gt;3,0,VLOOKUP($A48,'5.kolo'!$K$3:$L$66,2,0)),VLOOKUP($A48,'5.kolo'!$L$3:$O$66,4,0))</f>
        <v>0</v>
      </c>
      <c r="BR48" s="318">
        <f ca="1">IF(TYPE(VLOOKUP($A48,'5.kolo'!$L$3:$L$66,1,0))&gt;3,IF(TYPE(VLOOKUP($A48,'5.kolo'!$O$3:$Q$66,2,0))&gt;3,0,VLOOKUP($A48,'5.kolo'!$O$3:$Q$66,2,0)),VLOOKUP($A48,'5.kolo'!$L$3:$N$66,2,0))</f>
        <v>0</v>
      </c>
      <c r="BS48" s="318">
        <f ca="1">IF(TYPE(VLOOKUP($A48,'5.kolo'!$L$3:$L$66,1,0))&gt;3,IF(TYPE(VLOOKUP($A48,'5.kolo'!$O$3:$Q$66,3,0))&gt;3,0,VLOOKUP($A48,'5.kolo'!$O$3:$Q$66,3,0)),VLOOKUP($A48,'5.kolo'!$L$3:$N$66,3,0))</f>
        <v>0</v>
      </c>
      <c r="BT48" s="318">
        <f t="shared" ca="1" si="23"/>
        <v>0</v>
      </c>
      <c r="BU48" s="397"/>
      <c r="BV48" s="424" t="str">
        <f ca="1">IF(BU48="","",CONCATENATE(TEXT($O48,"0"),IF(Start.listina!$Y$5="","",TEXT(500+$P48,"000")),TEXT(999999*RAND(),"000000")))</f>
        <v/>
      </c>
      <c r="BW48" s="318">
        <f t="shared" ca="1" si="32"/>
        <v>0</v>
      </c>
      <c r="BZ48" s="318">
        <f ca="1">IF(TYPE(VLOOKUP($A48,'6.kolo'!$L$3:$L$66,1,0))&gt;3,IF(TYPE(VLOOKUP($A48,'6.kolo'!$K$3:$L$66,2,0))&gt;3,0,VLOOKUP($A48,'6.kolo'!$K$3:$L$66,2,0)),VLOOKUP($A48,'6.kolo'!$L$3:$O$66,4,0))</f>
        <v>0</v>
      </c>
      <c r="CA48" s="318">
        <f ca="1">IF(TYPE(VLOOKUP($A48,'6.kolo'!$L$3:$L$66,1,0))&gt;3,IF(TYPE(VLOOKUP($A48,'6.kolo'!$O$3:$Q$66,2,0))&gt;3,0,VLOOKUP($A48,'6.kolo'!$O$3:$Q$66,2,0)),VLOOKUP($A48,'6.kolo'!$L$3:$N$66,2,0))</f>
        <v>0</v>
      </c>
      <c r="CB48" s="318">
        <f ca="1">IF(TYPE(VLOOKUP($A48,'6.kolo'!$L$3:$L$66,1,0))&gt;3,IF(TYPE(VLOOKUP($A48,'6.kolo'!$O$3:$Q$66,3,0))&gt;3,0,VLOOKUP($A48,'6.kolo'!$O$3:$Q$66,3,0)),VLOOKUP($A48,'6.kolo'!$L$3:$N$66,3,0))</f>
        <v>0</v>
      </c>
      <c r="CC48" s="318">
        <f t="shared" ca="1" si="24"/>
        <v>0</v>
      </c>
      <c r="CD48" s="397"/>
      <c r="CE48" s="424" t="str">
        <f ca="1">IF(CD48="","",CONCATENATE(TEXT($O48,"0"),IF(Start.listina!$Y$5="","",TEXT(500+$P48,"000")),TEXT(999999*RAND(),"000000")))</f>
        <v/>
      </c>
      <c r="CF48" s="318">
        <f t="shared" ca="1" si="33"/>
        <v>0</v>
      </c>
    </row>
    <row r="49" spans="1:84" x14ac:dyDescent="0.4">
      <c r="A49" s="318">
        <f ca="1">IF(OR(Start.listina!H57&gt;Start.listina!$K$7,Start.listina!G57=TRUE),"",Start.listina!H57)</f>
        <v>47</v>
      </c>
      <c r="B49" s="318">
        <f ca="1">IF($A49&gt;Start.listina!$K$7,"",INT(($A49-1)/Start.listina!$O$7)+1)</f>
        <v>2</v>
      </c>
      <c r="C49" s="421" t="str">
        <f ca="1">IF(OR(Start.listina!H57&gt;Start.listina!$K$7,Start.listina!G57=TRUE)," - ",Start.listina!AL57)</f>
        <v xml:space="preserve">47   - Brian, Dánsko  </v>
      </c>
      <c r="D49" s="318">
        <f ca="1">IF(OR(A49&gt;Start.listina!$K$7,TYPE(VLOOKUP(A49,$V$3:$X$130,3,0))&gt;3),"",VLOOKUP(A49,$V$3:$X$130,3,0))</f>
        <v>44</v>
      </c>
      <c r="E49" s="422">
        <f ca="1">IF(A49&gt;Start.listina!$K$7,"",IF(MIN(F49:K49)&gt;Start.listina!$Y$4,D49,MIN(F49:K49)))</f>
        <v>44</v>
      </c>
      <c r="F49" s="318">
        <f ca="1">IF(TYPE(VLOOKUP(C49,Konečné_pořadí_1_16!$B$2:$D$17,3,0))&lt;4,VLOOKUP(C49,Konečné_pořadí_1_16!$B$2:$D$17,3,0),999)</f>
        <v>999</v>
      </c>
      <c r="G49" s="318">
        <f ca="1">IF(TYPE(VLOOKUP(C49,'KO64'!$D$4:$D$129,1,0))&lt;4,64,999)</f>
        <v>999</v>
      </c>
      <c r="H49" s="318">
        <f ca="1">IF(TYPE(VLOOKUP(C49,'KO32'!$D$4:$D$65,1,0))&lt;4,32,999)</f>
        <v>999</v>
      </c>
      <c r="I49" s="318">
        <f ca="1">IF(TYPE(VLOOKUP(C49,'KO16'!$D$4:$D$33,1,0))&lt;4,16,999)</f>
        <v>999</v>
      </c>
      <c r="J49" s="318">
        <f ca="1">IF(TYPE(VLOOKUP(C49,'KO8'!$D$4:$D$17,1,0))&lt;4,8,999)</f>
        <v>999</v>
      </c>
      <c r="K49" s="318">
        <f ca="1">IF(TYPE(VLOOKUP(C49,'KO4'!$D$4:$D$9,1,0))&lt;4,4,999)</f>
        <v>999</v>
      </c>
      <c r="M49" s="319">
        <v>47</v>
      </c>
      <c r="O49" s="318">
        <f t="shared" ca="1" si="8"/>
        <v>1</v>
      </c>
      <c r="P49" s="318">
        <f t="shared" ca="1" si="9"/>
        <v>-26</v>
      </c>
      <c r="Q49" s="318">
        <f t="shared" ca="1" si="26"/>
        <v>9</v>
      </c>
      <c r="R49" s="318">
        <f t="shared" ca="1" si="27"/>
        <v>1</v>
      </c>
      <c r="S49" s="318">
        <f t="shared" ca="1" si="10"/>
        <v>29</v>
      </c>
      <c r="T49" s="318">
        <f t="shared" ca="1" si="11"/>
        <v>1</v>
      </c>
      <c r="U49" s="397">
        <f t="shared" si="25"/>
        <v>47</v>
      </c>
      <c r="V49" s="397">
        <v>36</v>
      </c>
      <c r="W49" s="423" t="str">
        <f ca="1">IF($V49="","",CONCATENATE(TEXT($O49,"0"),IF(Start.listina!$Y$5="","",TEXT(500+$P49,"0000")),IF(Start.listina!$Y$6="","",CHOOSE(Start.listina!$Y$7,TEXT($Q49,"00"),CONCATENATE(TEXT($Q49,"00"),TEXT($S49,"000")), TEXT($R49,"00"))),TEXT(500+$P49,"0000"),IF(Start.listina!$Y$8="","",TEXT($T49,"0")),TEXT(999999*RAND(),"000000")))</f>
        <v>1090290474709187</v>
      </c>
      <c r="X49" s="399">
        <f t="shared" si="12"/>
        <v>47</v>
      </c>
      <c r="Y49" s="397">
        <f t="shared" ca="1" si="28"/>
        <v>1</v>
      </c>
      <c r="Z49" s="318">
        <f t="shared" ca="1" si="13"/>
        <v>19</v>
      </c>
      <c r="AA49" s="318">
        <f t="shared" ca="1" si="14"/>
        <v>23</v>
      </c>
      <c r="AB49" s="318">
        <f t="shared" ca="1" si="15"/>
        <v>52</v>
      </c>
      <c r="AC49" s="318">
        <f t="shared" ca="1" si="16"/>
        <v>50</v>
      </c>
      <c r="AD49" s="318">
        <f t="shared" ca="1" si="17"/>
        <v>0</v>
      </c>
      <c r="AE49" s="318">
        <f t="shared" ca="1" si="18"/>
        <v>0</v>
      </c>
      <c r="AG49" s="318">
        <f ca="1">IF(TYPE(VLOOKUP($A49,'1.kolo'!$L$3:$L$66,1,0))&gt;3,VLOOKUP($A49,'1.kolo'!$K$3:$L$66,2,0),VLOOKUP($A49,'1.kolo'!$L$3:$O$66,4,0))</f>
        <v>19</v>
      </c>
      <c r="AH49" s="318">
        <f ca="1">IF(TYPE(VLOOKUP($A49,'1.kolo'!$L$3:$L$66,1,0))&gt;3,VLOOKUP($A49,'1.kolo'!$O$3:$Q$66,2,0),VLOOKUP($A49,'1.kolo'!$L$3:$N$66,2,0))</f>
        <v>1</v>
      </c>
      <c r="AI49" s="318">
        <f ca="1">IF(TYPE(VLOOKUP($A49,'1.kolo'!$L$3:$L$66,1,0))&gt;3,VLOOKUP($A49,'1.kolo'!$O$3:$Q$66,3,0),VLOOKUP($A49,'1.kolo'!$L$3:$N$66,3,0))</f>
        <v>4</v>
      </c>
      <c r="AJ49" s="318">
        <f t="shared" ca="1" si="19"/>
        <v>1</v>
      </c>
      <c r="AK49" s="318">
        <v>47</v>
      </c>
      <c r="AL49" s="424"/>
      <c r="AP49" s="318">
        <f ca="1">IF(TYPE(VLOOKUP($A49,'2.kolo'!$L$3:$L$66,1,0))&gt;3,IF(TYPE(VLOOKUP($A49,'2.kolo'!$K$3:$L$66,2,0))&gt;3,0,VLOOKUP($A49,'2.kolo'!$K$3:$L$66,2,0)),VLOOKUP($A49,'2.kolo'!$L$3:$O$66,4,0))</f>
        <v>23</v>
      </c>
      <c r="AQ49" s="318">
        <f ca="1">IF(TYPE(VLOOKUP($A49,'2.kolo'!$L$3:$L$66,1,0))&gt;3,IF(TYPE(VLOOKUP($A49,'2.kolo'!$O$3:$Q$66,2,0))&gt;3,0,VLOOKUP($A49,'2.kolo'!$O$3:$Q$66,2,0)),VLOOKUP($A49,'2.kolo'!$L$3:$N$66,2,0))</f>
        <v>0</v>
      </c>
      <c r="AR49" s="318">
        <f ca="1">IF(TYPE(VLOOKUP($A49,'2.kolo'!$L$3:$L$66,1,0))&gt;3,IF(TYPE(VLOOKUP($A49,'2.kolo'!$O$3:$Q$66,3,0))&gt;3,0,VLOOKUP($A49,'2.kolo'!$O$3:$Q$66,3,0)),VLOOKUP($A49,'2.kolo'!$L$3:$N$66,3,0))</f>
        <v>-12</v>
      </c>
      <c r="AS49" s="318">
        <f t="shared" ca="1" si="20"/>
        <v>0</v>
      </c>
      <c r="AT49" s="397">
        <v>38</v>
      </c>
      <c r="AU49" s="424" t="str">
        <f ca="1">IF(AT49="","",CONCATENATE(TEXT($O49,"0"),IF(Start.listina!$Y$5="","",TEXT(500+$P49,"000")),TEXT(999999*RAND(),"000000")))</f>
        <v>1457138</v>
      </c>
      <c r="AV49" s="318">
        <f t="shared" ca="1" si="29"/>
        <v>0</v>
      </c>
      <c r="AY49" s="318">
        <f ca="1">IF(TYPE(VLOOKUP($A49,'3.kolo'!$L$3:$L$66,1,0))&gt;3,IF(TYPE(VLOOKUP($A49,'3.kolo'!$K$3:$L$66,2,0))&gt;3,0,VLOOKUP($A49,'3.kolo'!$K$3:$L$66,2,0)),VLOOKUP($A49,'3.kolo'!$L$3:$O$66,4,0))</f>
        <v>52</v>
      </c>
      <c r="AZ49" s="318">
        <f ca="1">IF(TYPE(VLOOKUP($A49,'3.kolo'!$L$3:$L$66,1,0))&gt;3,IF(TYPE(VLOOKUP($A49,'3.kolo'!$O$3:$Q$66,2,0))&gt;3,0,VLOOKUP($A49,'3.kolo'!$O$3:$Q$66,2,0)),VLOOKUP($A49,'3.kolo'!$L$3:$N$66,2,0))</f>
        <v>0</v>
      </c>
      <c r="BA49" s="318">
        <f ca="1">IF(TYPE(VLOOKUP($A49,'3.kolo'!$L$3:$L$66,1,0))&gt;3,IF(TYPE(VLOOKUP($A49,'3.kolo'!$O$3:$Q$66,3,0))&gt;3,0,VLOOKUP($A49,'3.kolo'!$O$3:$Q$66,3,0)),VLOOKUP($A49,'3.kolo'!$L$3:$N$66,3,0))</f>
        <v>-11</v>
      </c>
      <c r="BB49" s="318">
        <f t="shared" ca="1" si="21"/>
        <v>0</v>
      </c>
      <c r="BC49" s="397">
        <v>19</v>
      </c>
      <c r="BD49" s="424" t="str">
        <f ca="1">IF(BC49="","",CONCATENATE(TEXT($O49,"0"),IF(Start.listina!$Y$5="","",TEXT(500+$P49,"000")),TEXT(999999*RAND(),"000000")))</f>
        <v>1981965</v>
      </c>
      <c r="BE49" s="318">
        <f t="shared" ca="1" si="30"/>
        <v>0</v>
      </c>
      <c r="BH49" s="318">
        <f ca="1">IF(TYPE(VLOOKUP($A49,'4.kolo'!$L$3:$L$66,1,0))&gt;3,IF(TYPE(VLOOKUP($A49,'4.kolo'!$K$3:$L$66,2,0))&gt;3,0,VLOOKUP($A49,'4.kolo'!$K$3:$L$66,2,0)),VLOOKUP($A49,'4.kolo'!$L$3:$O$66,4,0))</f>
        <v>50</v>
      </c>
      <c r="BI49" s="318">
        <f ca="1">IF(TYPE(VLOOKUP($A49,'4.kolo'!$L$3:$L$66,1,0))&gt;3,IF(TYPE(VLOOKUP($A49,'4.kolo'!$O$3:$Q$66,2,0))&gt;3,0,VLOOKUP($A49,'4.kolo'!$O$3:$Q$66,2,0)),VLOOKUP($A49,'4.kolo'!$L$3:$N$66,2,0))</f>
        <v>0</v>
      </c>
      <c r="BJ49" s="318">
        <f ca="1">IF(TYPE(VLOOKUP($A49,'4.kolo'!$L$3:$L$66,1,0))&gt;3,IF(TYPE(VLOOKUP($A49,'4.kolo'!$O$3:$Q$66,3,0))&gt;3,0,VLOOKUP($A49,'4.kolo'!$O$3:$Q$66,3,0)),VLOOKUP($A49,'4.kolo'!$L$3:$N$66,3,0))</f>
        <v>-7</v>
      </c>
      <c r="BK49" s="318">
        <f t="shared" ca="1" si="22"/>
        <v>0</v>
      </c>
      <c r="BL49" s="397">
        <v>25</v>
      </c>
      <c r="BM49" s="424" t="str">
        <f ca="1">IF(BL49="","",CONCATENATE(TEXT($O49,"0"),IF(Start.listina!$Y$5="","",TEXT(500+$P49,"000")),TEXT(999999*RAND(),"000000")))</f>
        <v>1493371</v>
      </c>
      <c r="BN49" s="318">
        <f t="shared" ca="1" si="31"/>
        <v>0</v>
      </c>
      <c r="BQ49" s="318">
        <f ca="1">IF(TYPE(VLOOKUP($A49,'5.kolo'!$L$3:$L$66,1,0))&gt;3,IF(TYPE(VLOOKUP($A49,'5.kolo'!$K$3:$L$66,2,0))&gt;3,0,VLOOKUP($A49,'5.kolo'!$K$3:$L$66,2,0)),VLOOKUP($A49,'5.kolo'!$L$3:$O$66,4,0))</f>
        <v>0</v>
      </c>
      <c r="BR49" s="318">
        <f ca="1">IF(TYPE(VLOOKUP($A49,'5.kolo'!$L$3:$L$66,1,0))&gt;3,IF(TYPE(VLOOKUP($A49,'5.kolo'!$O$3:$Q$66,2,0))&gt;3,0,VLOOKUP($A49,'5.kolo'!$O$3:$Q$66,2,0)),VLOOKUP($A49,'5.kolo'!$L$3:$N$66,2,0))</f>
        <v>0</v>
      </c>
      <c r="BS49" s="318">
        <f ca="1">IF(TYPE(VLOOKUP($A49,'5.kolo'!$L$3:$L$66,1,0))&gt;3,IF(TYPE(VLOOKUP($A49,'5.kolo'!$O$3:$Q$66,3,0))&gt;3,0,VLOOKUP($A49,'5.kolo'!$O$3:$Q$66,3,0)),VLOOKUP($A49,'5.kolo'!$L$3:$N$66,3,0))</f>
        <v>0</v>
      </c>
      <c r="BT49" s="318">
        <f t="shared" ca="1" si="23"/>
        <v>0</v>
      </c>
      <c r="BU49" s="397"/>
      <c r="BV49" s="424" t="str">
        <f ca="1">IF(BU49="","",CONCATENATE(TEXT($O49,"0"),IF(Start.listina!$Y$5="","",TEXT(500+$P49,"000")),TEXT(999999*RAND(),"000000")))</f>
        <v/>
      </c>
      <c r="BW49" s="318">
        <f t="shared" ca="1" si="32"/>
        <v>0</v>
      </c>
      <c r="BZ49" s="318">
        <f ca="1">IF(TYPE(VLOOKUP($A49,'6.kolo'!$L$3:$L$66,1,0))&gt;3,IF(TYPE(VLOOKUP($A49,'6.kolo'!$K$3:$L$66,2,0))&gt;3,0,VLOOKUP($A49,'6.kolo'!$K$3:$L$66,2,0)),VLOOKUP($A49,'6.kolo'!$L$3:$O$66,4,0))</f>
        <v>0</v>
      </c>
      <c r="CA49" s="318">
        <f ca="1">IF(TYPE(VLOOKUP($A49,'6.kolo'!$L$3:$L$66,1,0))&gt;3,IF(TYPE(VLOOKUP($A49,'6.kolo'!$O$3:$Q$66,2,0))&gt;3,0,VLOOKUP($A49,'6.kolo'!$O$3:$Q$66,2,0)),VLOOKUP($A49,'6.kolo'!$L$3:$N$66,2,0))</f>
        <v>0</v>
      </c>
      <c r="CB49" s="318">
        <f ca="1">IF(TYPE(VLOOKUP($A49,'6.kolo'!$L$3:$L$66,1,0))&gt;3,IF(TYPE(VLOOKUP($A49,'6.kolo'!$O$3:$Q$66,3,0))&gt;3,0,VLOOKUP($A49,'6.kolo'!$O$3:$Q$66,3,0)),VLOOKUP($A49,'6.kolo'!$L$3:$N$66,3,0))</f>
        <v>0</v>
      </c>
      <c r="CC49" s="318">
        <f t="shared" ca="1" si="24"/>
        <v>0</v>
      </c>
      <c r="CD49" s="397"/>
      <c r="CE49" s="424" t="str">
        <f ca="1">IF(CD49="","",CONCATENATE(TEXT($O49,"0"),IF(Start.listina!$Y$5="","",TEXT(500+$P49,"000")),TEXT(999999*RAND(),"000000")))</f>
        <v/>
      </c>
      <c r="CF49" s="318">
        <f t="shared" ca="1" si="33"/>
        <v>0</v>
      </c>
    </row>
    <row r="50" spans="1:84" x14ac:dyDescent="0.4">
      <c r="A50" s="318">
        <f ca="1">IF(OR(Start.listina!H58&gt;Start.listina!$K$7,Start.listina!G58=TRUE),"",Start.listina!H58)</f>
        <v>48</v>
      </c>
      <c r="B50" s="318">
        <f ca="1">IF($A50&gt;Start.listina!$K$7,"",INT(($A50-1)/Start.listina!$O$7)+1)</f>
        <v>2</v>
      </c>
      <c r="C50" s="421" t="str">
        <f ca="1">IF(OR(Start.listina!H58&gt;Start.listina!$K$7,Start.listina!G58=TRUE)," - ",Start.listina!AL58)</f>
        <v xml:space="preserve">48   - Tony, Dánsko  </v>
      </c>
      <c r="D50" s="318">
        <f ca="1">IF(OR(A50&gt;Start.listina!$K$7,TYPE(VLOOKUP(A50,$V$3:$X$130,3,0))&gt;3),"",VLOOKUP(A50,$V$3:$X$130,3,0))</f>
        <v>57</v>
      </c>
      <c r="E50" s="422">
        <f ca="1">IF(A50&gt;Start.listina!$K$7,"",IF(MIN(F50:K50)&gt;Start.listina!$Y$4,D50,MIN(F50:K50)))</f>
        <v>57</v>
      </c>
      <c r="F50" s="318">
        <f ca="1">IF(TYPE(VLOOKUP(C50,Konečné_pořadí_1_16!$B$2:$D$17,3,0))&lt;4,VLOOKUP(C50,Konečné_pořadí_1_16!$B$2:$D$17,3,0),999)</f>
        <v>999</v>
      </c>
      <c r="G50" s="318">
        <f ca="1">IF(TYPE(VLOOKUP(C50,'KO64'!$D$4:$D$129,1,0))&lt;4,64,999)</f>
        <v>999</v>
      </c>
      <c r="H50" s="318">
        <f ca="1">IF(TYPE(VLOOKUP(C50,'KO32'!$D$4:$D$65,1,0))&lt;4,32,999)</f>
        <v>999</v>
      </c>
      <c r="I50" s="318">
        <f ca="1">IF(TYPE(VLOOKUP(C50,'KO16'!$D$4:$D$33,1,0))&lt;4,16,999)</f>
        <v>999</v>
      </c>
      <c r="J50" s="318">
        <f ca="1">IF(TYPE(VLOOKUP(C50,'KO8'!$D$4:$D$17,1,0))&lt;4,8,999)</f>
        <v>999</v>
      </c>
      <c r="K50" s="318">
        <f ca="1">IF(TYPE(VLOOKUP(C50,'KO4'!$D$4:$D$9,1,0))&lt;4,4,999)</f>
        <v>999</v>
      </c>
      <c r="M50" s="319">
        <v>48</v>
      </c>
      <c r="O50" s="318">
        <f t="shared" ca="1" si="8"/>
        <v>0</v>
      </c>
      <c r="P50" s="318">
        <f t="shared" ca="1" si="9"/>
        <v>-21</v>
      </c>
      <c r="Q50" s="318">
        <f t="shared" ca="1" si="26"/>
        <v>7</v>
      </c>
      <c r="R50" s="318">
        <f t="shared" ca="1" si="27"/>
        <v>0</v>
      </c>
      <c r="S50" s="318">
        <f t="shared" ca="1" si="10"/>
        <v>26</v>
      </c>
      <c r="T50" s="318">
        <f t="shared" ca="1" si="11"/>
        <v>0</v>
      </c>
      <c r="U50" s="397">
        <f t="shared" si="25"/>
        <v>48</v>
      </c>
      <c r="V50" s="397">
        <v>46</v>
      </c>
      <c r="W50" s="423" t="str">
        <f ca="1">IF($V50="","",CONCATENATE(TEXT($O50,"0"),IF(Start.listina!$Y$5="","",TEXT(500+$P50,"0000")),IF(Start.listina!$Y$6="","",CHOOSE(Start.listina!$Y$7,TEXT($Q50,"00"),CONCATENATE(TEXT($Q50,"00"),TEXT($S50,"000")), TEXT($R50,"00"))),TEXT(500+$P50,"0000"),IF(Start.listina!$Y$8="","",TEXT($T50,"0")),TEXT(999999*RAND(),"000000")))</f>
        <v>0070260479484055</v>
      </c>
      <c r="X50" s="399">
        <f t="shared" si="12"/>
        <v>48</v>
      </c>
      <c r="Y50" s="397">
        <f t="shared" ca="1" si="28"/>
        <v>1</v>
      </c>
      <c r="Z50" s="318">
        <f t="shared" ca="1" si="13"/>
        <v>20</v>
      </c>
      <c r="AA50" s="318">
        <f t="shared" ca="1" si="14"/>
        <v>38</v>
      </c>
      <c r="AB50" s="318">
        <f t="shared" ca="1" si="15"/>
        <v>50</v>
      </c>
      <c r="AC50" s="318">
        <f t="shared" ca="1" si="16"/>
        <v>32</v>
      </c>
      <c r="AD50" s="318">
        <f t="shared" ca="1" si="17"/>
        <v>0</v>
      </c>
      <c r="AE50" s="318">
        <f t="shared" ca="1" si="18"/>
        <v>0</v>
      </c>
      <c r="AG50" s="318">
        <f ca="1">IF(TYPE(VLOOKUP($A50,'1.kolo'!$L$3:$L$66,1,0))&gt;3,VLOOKUP($A50,'1.kolo'!$K$3:$L$66,2,0),VLOOKUP($A50,'1.kolo'!$L$3:$O$66,4,0))</f>
        <v>20</v>
      </c>
      <c r="AH50" s="318">
        <f ca="1">IF(TYPE(VLOOKUP($A50,'1.kolo'!$L$3:$L$66,1,0))&gt;3,VLOOKUP($A50,'1.kolo'!$O$3:$Q$66,2,0),VLOOKUP($A50,'1.kolo'!$L$3:$N$66,2,0))</f>
        <v>0</v>
      </c>
      <c r="AI50" s="318">
        <f ca="1">IF(TYPE(VLOOKUP($A50,'1.kolo'!$L$3:$L$66,1,0))&gt;3,VLOOKUP($A50,'1.kolo'!$O$3:$Q$66,3,0),VLOOKUP($A50,'1.kolo'!$L$3:$N$66,3,0))</f>
        <v>-8</v>
      </c>
      <c r="AJ50" s="318">
        <f t="shared" ca="1" si="19"/>
        <v>0</v>
      </c>
      <c r="AK50" s="318">
        <v>48</v>
      </c>
      <c r="AL50" s="424"/>
      <c r="AP50" s="318">
        <f ca="1">IF(TYPE(VLOOKUP($A50,'2.kolo'!$L$3:$L$66,1,0))&gt;3,IF(TYPE(VLOOKUP($A50,'2.kolo'!$K$3:$L$66,2,0))&gt;3,0,VLOOKUP($A50,'2.kolo'!$K$3:$L$66,2,0)),VLOOKUP($A50,'2.kolo'!$L$3:$O$66,4,0))</f>
        <v>38</v>
      </c>
      <c r="AQ50" s="318">
        <f ca="1">IF(TYPE(VLOOKUP($A50,'2.kolo'!$L$3:$L$66,1,0))&gt;3,IF(TYPE(VLOOKUP($A50,'2.kolo'!$O$3:$Q$66,2,0))&gt;3,0,VLOOKUP($A50,'2.kolo'!$O$3:$Q$66,2,0)),VLOOKUP($A50,'2.kolo'!$L$3:$N$66,2,0))</f>
        <v>0</v>
      </c>
      <c r="AR50" s="318">
        <f ca="1">IF(TYPE(VLOOKUP($A50,'2.kolo'!$L$3:$L$66,1,0))&gt;3,IF(TYPE(VLOOKUP($A50,'2.kolo'!$O$3:$Q$66,3,0))&gt;3,0,VLOOKUP($A50,'2.kolo'!$O$3:$Q$66,3,0)),VLOOKUP($A50,'2.kolo'!$L$3:$N$66,3,0))</f>
        <v>-5</v>
      </c>
      <c r="AS50" s="318">
        <f t="shared" ca="1" si="20"/>
        <v>0</v>
      </c>
      <c r="AT50" s="397">
        <v>48</v>
      </c>
      <c r="AU50" s="424" t="str">
        <f ca="1">IF(AT50="","",CONCATENATE(TEXT($O50,"0"),IF(Start.listina!$Y$5="","",TEXT(500+$P50,"000")),TEXT(999999*RAND(),"000000")))</f>
        <v>0808077</v>
      </c>
      <c r="AV50" s="318">
        <f t="shared" ca="1" si="29"/>
        <v>0</v>
      </c>
      <c r="AY50" s="318">
        <f ca="1">IF(TYPE(VLOOKUP($A50,'3.kolo'!$L$3:$L$66,1,0))&gt;3,IF(TYPE(VLOOKUP($A50,'3.kolo'!$K$3:$L$66,2,0))&gt;3,0,VLOOKUP($A50,'3.kolo'!$K$3:$L$66,2,0)),VLOOKUP($A50,'3.kolo'!$L$3:$O$66,4,0))</f>
        <v>50</v>
      </c>
      <c r="AZ50" s="318">
        <f ca="1">IF(TYPE(VLOOKUP($A50,'3.kolo'!$L$3:$L$66,1,0))&gt;3,IF(TYPE(VLOOKUP($A50,'3.kolo'!$O$3:$Q$66,2,0))&gt;3,0,VLOOKUP($A50,'3.kolo'!$O$3:$Q$66,2,0)),VLOOKUP($A50,'3.kolo'!$L$3:$N$66,2,0))</f>
        <v>0</v>
      </c>
      <c r="BA50" s="318">
        <f ca="1">IF(TYPE(VLOOKUP($A50,'3.kolo'!$L$3:$L$66,1,0))&gt;3,IF(TYPE(VLOOKUP($A50,'3.kolo'!$O$3:$Q$66,3,0))&gt;3,0,VLOOKUP($A50,'3.kolo'!$O$3:$Q$66,3,0)),VLOOKUP($A50,'3.kolo'!$L$3:$N$66,3,0))</f>
        <v>-2</v>
      </c>
      <c r="BB50" s="318">
        <f t="shared" ca="1" si="21"/>
        <v>0</v>
      </c>
      <c r="BC50" s="397">
        <v>33</v>
      </c>
      <c r="BD50" s="424" t="str">
        <f ca="1">IF(BC50="","",CONCATENATE(TEXT($O50,"0"),IF(Start.listina!$Y$5="","",TEXT(500+$P50,"000")),TEXT(999999*RAND(),"000000")))</f>
        <v>0123892</v>
      </c>
      <c r="BE50" s="318">
        <f t="shared" ca="1" si="30"/>
        <v>0</v>
      </c>
      <c r="BH50" s="318">
        <f ca="1">IF(TYPE(VLOOKUP($A50,'4.kolo'!$L$3:$L$66,1,0))&gt;3,IF(TYPE(VLOOKUP($A50,'4.kolo'!$K$3:$L$66,2,0))&gt;3,0,VLOOKUP($A50,'4.kolo'!$K$3:$L$66,2,0)),VLOOKUP($A50,'4.kolo'!$L$3:$O$66,4,0))</f>
        <v>32</v>
      </c>
      <c r="BI50" s="318">
        <f ca="1">IF(TYPE(VLOOKUP($A50,'4.kolo'!$L$3:$L$66,1,0))&gt;3,IF(TYPE(VLOOKUP($A50,'4.kolo'!$O$3:$Q$66,2,0))&gt;3,0,VLOOKUP($A50,'4.kolo'!$O$3:$Q$66,2,0)),VLOOKUP($A50,'4.kolo'!$L$3:$N$66,2,0))</f>
        <v>0</v>
      </c>
      <c r="BJ50" s="318">
        <f ca="1">IF(TYPE(VLOOKUP($A50,'4.kolo'!$L$3:$L$66,1,0))&gt;3,IF(TYPE(VLOOKUP($A50,'4.kolo'!$O$3:$Q$66,3,0))&gt;3,0,VLOOKUP($A50,'4.kolo'!$O$3:$Q$66,3,0)),VLOOKUP($A50,'4.kolo'!$L$3:$N$66,3,0))</f>
        <v>-6</v>
      </c>
      <c r="BK50" s="318">
        <f t="shared" ca="1" si="22"/>
        <v>0</v>
      </c>
      <c r="BL50" s="397">
        <v>35</v>
      </c>
      <c r="BM50" s="424" t="str">
        <f ca="1">IF(BL50="","",CONCATENATE(TEXT($O50,"0"),IF(Start.listina!$Y$5="","",TEXT(500+$P50,"000")),TEXT(999999*RAND(),"000000")))</f>
        <v>0050600</v>
      </c>
      <c r="BN50" s="318">
        <f t="shared" ca="1" si="31"/>
        <v>0</v>
      </c>
      <c r="BQ50" s="318">
        <f ca="1">IF(TYPE(VLOOKUP($A50,'5.kolo'!$L$3:$L$66,1,0))&gt;3,IF(TYPE(VLOOKUP($A50,'5.kolo'!$K$3:$L$66,2,0))&gt;3,0,VLOOKUP($A50,'5.kolo'!$K$3:$L$66,2,0)),VLOOKUP($A50,'5.kolo'!$L$3:$O$66,4,0))</f>
        <v>0</v>
      </c>
      <c r="BR50" s="318">
        <f ca="1">IF(TYPE(VLOOKUP($A50,'5.kolo'!$L$3:$L$66,1,0))&gt;3,IF(TYPE(VLOOKUP($A50,'5.kolo'!$O$3:$Q$66,2,0))&gt;3,0,VLOOKUP($A50,'5.kolo'!$O$3:$Q$66,2,0)),VLOOKUP($A50,'5.kolo'!$L$3:$N$66,2,0))</f>
        <v>0</v>
      </c>
      <c r="BS50" s="318">
        <f ca="1">IF(TYPE(VLOOKUP($A50,'5.kolo'!$L$3:$L$66,1,0))&gt;3,IF(TYPE(VLOOKUP($A50,'5.kolo'!$O$3:$Q$66,3,0))&gt;3,0,VLOOKUP($A50,'5.kolo'!$O$3:$Q$66,3,0)),VLOOKUP($A50,'5.kolo'!$L$3:$N$66,3,0))</f>
        <v>0</v>
      </c>
      <c r="BT50" s="318">
        <f t="shared" ca="1" si="23"/>
        <v>0</v>
      </c>
      <c r="BU50" s="397"/>
      <c r="BV50" s="424" t="str">
        <f ca="1">IF(BU50="","",CONCATENATE(TEXT($O50,"0"),IF(Start.listina!$Y$5="","",TEXT(500+$P50,"000")),TEXT(999999*RAND(),"000000")))</f>
        <v/>
      </c>
      <c r="BW50" s="318">
        <f t="shared" ca="1" si="32"/>
        <v>0</v>
      </c>
      <c r="BZ50" s="318">
        <f ca="1">IF(TYPE(VLOOKUP($A50,'6.kolo'!$L$3:$L$66,1,0))&gt;3,IF(TYPE(VLOOKUP($A50,'6.kolo'!$K$3:$L$66,2,0))&gt;3,0,VLOOKUP($A50,'6.kolo'!$K$3:$L$66,2,0)),VLOOKUP($A50,'6.kolo'!$L$3:$O$66,4,0))</f>
        <v>0</v>
      </c>
      <c r="CA50" s="318">
        <f ca="1">IF(TYPE(VLOOKUP($A50,'6.kolo'!$L$3:$L$66,1,0))&gt;3,IF(TYPE(VLOOKUP($A50,'6.kolo'!$O$3:$Q$66,2,0))&gt;3,0,VLOOKUP($A50,'6.kolo'!$O$3:$Q$66,2,0)),VLOOKUP($A50,'6.kolo'!$L$3:$N$66,2,0))</f>
        <v>0</v>
      </c>
      <c r="CB50" s="318">
        <f ca="1">IF(TYPE(VLOOKUP($A50,'6.kolo'!$L$3:$L$66,1,0))&gt;3,IF(TYPE(VLOOKUP($A50,'6.kolo'!$O$3:$Q$66,3,0))&gt;3,0,VLOOKUP($A50,'6.kolo'!$O$3:$Q$66,3,0)),VLOOKUP($A50,'6.kolo'!$L$3:$N$66,3,0))</f>
        <v>0</v>
      </c>
      <c r="CC50" s="318">
        <f t="shared" ca="1" si="24"/>
        <v>0</v>
      </c>
      <c r="CD50" s="397"/>
      <c r="CE50" s="424" t="str">
        <f ca="1">IF(CD50="","",CONCATENATE(TEXT($O50,"0"),IF(Start.listina!$Y$5="","",TEXT(500+$P50,"000")),TEXT(999999*RAND(),"000000")))</f>
        <v/>
      </c>
      <c r="CF50" s="318">
        <f t="shared" ca="1" si="33"/>
        <v>0</v>
      </c>
    </row>
    <row r="51" spans="1:84" x14ac:dyDescent="0.4">
      <c r="A51" s="318">
        <f ca="1">IF(OR(Start.listina!H59&gt;Start.listina!$K$7,Start.listina!G59=TRUE),"",Start.listina!H59)</f>
        <v>49</v>
      </c>
      <c r="B51" s="318">
        <f ca="1">IF($A51&gt;Start.listina!$K$7,"",INT(($A51-1)/Start.listina!$O$7)+1)</f>
        <v>2</v>
      </c>
      <c r="C51" s="421" t="str">
        <f ca="1">IF(OR(Start.listina!H59&gt;Start.listina!$K$7,Start.listina!G59=TRUE)," - ",Start.listina!AL59)</f>
        <v xml:space="preserve">49   - František Kožený  </v>
      </c>
      <c r="D51" s="318">
        <f ca="1">IF(OR(A51&gt;Start.listina!$K$7,TYPE(VLOOKUP(A51,$V$3:$X$130,3,0))&gt;3),"",VLOOKUP(A51,$V$3:$X$130,3,0))</f>
        <v>20</v>
      </c>
      <c r="E51" s="422">
        <f ca="1">IF(A51&gt;Start.listina!$K$7,"",IF(MIN(F51:K51)&gt;Start.listina!$Y$4,D51,MIN(F51:K51)))</f>
        <v>20</v>
      </c>
      <c r="F51" s="318">
        <f ca="1">IF(TYPE(VLOOKUP(C51,Konečné_pořadí_1_16!$B$2:$D$17,3,0))&lt;4,VLOOKUP(C51,Konečné_pořadí_1_16!$B$2:$D$17,3,0),999)</f>
        <v>999</v>
      </c>
      <c r="G51" s="318">
        <f ca="1">IF(TYPE(VLOOKUP(C51,'KO64'!$D$4:$D$129,1,0))&lt;4,64,999)</f>
        <v>999</v>
      </c>
      <c r="H51" s="318">
        <f ca="1">IF(TYPE(VLOOKUP(C51,'KO32'!$D$4:$D$65,1,0))&lt;4,32,999)</f>
        <v>999</v>
      </c>
      <c r="I51" s="318">
        <f ca="1">IF(TYPE(VLOOKUP(C51,'KO16'!$D$4:$D$33,1,0))&lt;4,16,999)</f>
        <v>999</v>
      </c>
      <c r="J51" s="318">
        <f ca="1">IF(TYPE(VLOOKUP(C51,'KO8'!$D$4:$D$17,1,0))&lt;4,8,999)</f>
        <v>999</v>
      </c>
      <c r="K51" s="318">
        <f ca="1">IF(TYPE(VLOOKUP(C51,'KO4'!$D$4:$D$9,1,0))&lt;4,4,999)</f>
        <v>999</v>
      </c>
      <c r="M51" s="319">
        <v>49</v>
      </c>
      <c r="O51" s="318">
        <f t="shared" ca="1" si="8"/>
        <v>2</v>
      </c>
      <c r="P51" s="318">
        <f t="shared" ca="1" si="9"/>
        <v>-5</v>
      </c>
      <c r="Q51" s="318">
        <f t="shared" ca="1" si="26"/>
        <v>10</v>
      </c>
      <c r="R51" s="318">
        <f t="shared" ca="1" si="27"/>
        <v>3</v>
      </c>
      <c r="S51" s="318">
        <f t="shared" ca="1" si="10"/>
        <v>34</v>
      </c>
      <c r="T51" s="318">
        <f t="shared" ca="1" si="11"/>
        <v>2</v>
      </c>
      <c r="U51" s="397">
        <f t="shared" si="25"/>
        <v>49</v>
      </c>
      <c r="V51" s="397">
        <v>31</v>
      </c>
      <c r="W51" s="423" t="str">
        <f ca="1">IF($V51="","",CONCATENATE(TEXT($O51,"0"),IF(Start.listina!$Y$5="","",TEXT(500+$P51,"0000")),IF(Start.listina!$Y$6="","",CHOOSE(Start.listina!$Y$7,TEXT($Q51,"00"),CONCATENATE(TEXT($Q51,"00"),TEXT($S51,"000")), TEXT($R51,"00"))),TEXT(500+$P51,"0000"),IF(Start.listina!$Y$8="","",TEXT($T51,"0")),TEXT(999999*RAND(),"000000")))</f>
        <v>2100340495811651</v>
      </c>
      <c r="X51" s="399">
        <f t="shared" si="12"/>
        <v>49</v>
      </c>
      <c r="Y51" s="397">
        <f t="shared" ca="1" si="28"/>
        <v>1</v>
      </c>
      <c r="Z51" s="318">
        <f t="shared" ca="1" si="13"/>
        <v>21</v>
      </c>
      <c r="AA51" s="318">
        <f t="shared" ca="1" si="14"/>
        <v>50</v>
      </c>
      <c r="AB51" s="318">
        <f t="shared" ca="1" si="15"/>
        <v>1</v>
      </c>
      <c r="AC51" s="318">
        <f t="shared" ca="1" si="16"/>
        <v>8</v>
      </c>
      <c r="AD51" s="318">
        <f t="shared" ca="1" si="17"/>
        <v>0</v>
      </c>
      <c r="AE51" s="318">
        <f t="shared" ca="1" si="18"/>
        <v>0</v>
      </c>
      <c r="AG51" s="318">
        <f ca="1">IF(TYPE(VLOOKUP($A51,'1.kolo'!$L$3:$L$66,1,0))&gt;3,VLOOKUP($A51,'1.kolo'!$K$3:$L$66,2,0),VLOOKUP($A51,'1.kolo'!$L$3:$O$66,4,0))</f>
        <v>21</v>
      </c>
      <c r="AH51" s="318">
        <f ca="1">IF(TYPE(VLOOKUP($A51,'1.kolo'!$L$3:$L$66,1,0))&gt;3,VLOOKUP($A51,'1.kolo'!$O$3:$Q$66,2,0),VLOOKUP($A51,'1.kolo'!$L$3:$N$66,2,0))</f>
        <v>0</v>
      </c>
      <c r="AI51" s="318">
        <f ca="1">IF(TYPE(VLOOKUP($A51,'1.kolo'!$L$3:$L$66,1,0))&gt;3,VLOOKUP($A51,'1.kolo'!$O$3:$Q$66,3,0),VLOOKUP($A51,'1.kolo'!$L$3:$N$66,3,0))</f>
        <v>-11</v>
      </c>
      <c r="AJ51" s="318">
        <f t="shared" ca="1" si="19"/>
        <v>0</v>
      </c>
      <c r="AK51" s="318">
        <v>49</v>
      </c>
      <c r="AL51" s="424"/>
      <c r="AP51" s="318">
        <f ca="1">IF(TYPE(VLOOKUP($A51,'2.kolo'!$L$3:$L$66,1,0))&gt;3,IF(TYPE(VLOOKUP($A51,'2.kolo'!$K$3:$L$66,2,0))&gt;3,0,VLOOKUP($A51,'2.kolo'!$K$3:$L$66,2,0)),VLOOKUP($A51,'2.kolo'!$L$3:$O$66,4,0))</f>
        <v>50</v>
      </c>
      <c r="AQ51" s="318">
        <f ca="1">IF(TYPE(VLOOKUP($A51,'2.kolo'!$L$3:$L$66,1,0))&gt;3,IF(TYPE(VLOOKUP($A51,'2.kolo'!$O$3:$Q$66,2,0))&gt;3,0,VLOOKUP($A51,'2.kolo'!$O$3:$Q$66,2,0)),VLOOKUP($A51,'2.kolo'!$L$3:$N$66,2,0))</f>
        <v>1</v>
      </c>
      <c r="AR51" s="318">
        <f ca="1">IF(TYPE(VLOOKUP($A51,'2.kolo'!$L$3:$L$66,1,0))&gt;3,IF(TYPE(VLOOKUP($A51,'2.kolo'!$O$3:$Q$66,3,0))&gt;3,0,VLOOKUP($A51,'2.kolo'!$O$3:$Q$66,3,0)),VLOOKUP($A51,'2.kolo'!$L$3:$N$66,3,0))</f>
        <v>9</v>
      </c>
      <c r="AS51" s="318">
        <f t="shared" ca="1" si="20"/>
        <v>1</v>
      </c>
      <c r="AT51" s="397">
        <v>32</v>
      </c>
      <c r="AU51" s="424" t="str">
        <f ca="1">IF(AT51="","",CONCATENATE(TEXT($O51,"0"),IF(Start.listina!$Y$5="","",TEXT(500+$P51,"000")),TEXT(999999*RAND(),"000000")))</f>
        <v>2746806</v>
      </c>
      <c r="AV51" s="318">
        <f t="shared" ca="1" si="29"/>
        <v>0</v>
      </c>
      <c r="AY51" s="318">
        <f ca="1">IF(TYPE(VLOOKUP($A51,'3.kolo'!$L$3:$L$66,1,0))&gt;3,IF(TYPE(VLOOKUP($A51,'3.kolo'!$K$3:$L$66,2,0))&gt;3,0,VLOOKUP($A51,'3.kolo'!$K$3:$L$66,2,0)),VLOOKUP($A51,'3.kolo'!$L$3:$O$66,4,0))</f>
        <v>1</v>
      </c>
      <c r="AZ51" s="318">
        <f ca="1">IF(TYPE(VLOOKUP($A51,'3.kolo'!$L$3:$L$66,1,0))&gt;3,IF(TYPE(VLOOKUP($A51,'3.kolo'!$O$3:$Q$66,2,0))&gt;3,0,VLOOKUP($A51,'3.kolo'!$O$3:$Q$66,2,0)),VLOOKUP($A51,'3.kolo'!$L$3:$N$66,2,0))</f>
        <v>0</v>
      </c>
      <c r="BA51" s="318">
        <f ca="1">IF(TYPE(VLOOKUP($A51,'3.kolo'!$L$3:$L$66,1,0))&gt;3,IF(TYPE(VLOOKUP($A51,'3.kolo'!$O$3:$Q$66,3,0))&gt;3,0,VLOOKUP($A51,'3.kolo'!$O$3:$Q$66,3,0)),VLOOKUP($A51,'3.kolo'!$L$3:$N$66,3,0))</f>
        <v>-7</v>
      </c>
      <c r="BB51" s="318">
        <f t="shared" ca="1" si="21"/>
        <v>0</v>
      </c>
      <c r="BC51" s="397">
        <v>30</v>
      </c>
      <c r="BD51" s="424" t="str">
        <f ca="1">IF(BC51="","",CONCATENATE(TEXT($O51,"0"),IF(Start.listina!$Y$5="","",TEXT(500+$P51,"000")),TEXT(999999*RAND(),"000000")))</f>
        <v>2136152</v>
      </c>
      <c r="BE51" s="318">
        <f t="shared" ca="1" si="30"/>
        <v>0</v>
      </c>
      <c r="BH51" s="318">
        <f ca="1">IF(TYPE(VLOOKUP($A51,'4.kolo'!$L$3:$L$66,1,0))&gt;3,IF(TYPE(VLOOKUP($A51,'4.kolo'!$K$3:$L$66,2,0))&gt;3,0,VLOOKUP($A51,'4.kolo'!$K$3:$L$66,2,0)),VLOOKUP($A51,'4.kolo'!$L$3:$O$66,4,0))</f>
        <v>8</v>
      </c>
      <c r="BI51" s="318">
        <f ca="1">IF(TYPE(VLOOKUP($A51,'4.kolo'!$L$3:$L$66,1,0))&gt;3,IF(TYPE(VLOOKUP($A51,'4.kolo'!$O$3:$Q$66,2,0))&gt;3,0,VLOOKUP($A51,'4.kolo'!$O$3:$Q$66,2,0)),VLOOKUP($A51,'4.kolo'!$L$3:$N$66,2,0))</f>
        <v>1</v>
      </c>
      <c r="BJ51" s="318">
        <f ca="1">IF(TYPE(VLOOKUP($A51,'4.kolo'!$L$3:$L$66,1,0))&gt;3,IF(TYPE(VLOOKUP($A51,'4.kolo'!$O$3:$Q$66,3,0))&gt;3,0,VLOOKUP($A51,'4.kolo'!$O$3:$Q$66,3,0)),VLOOKUP($A51,'4.kolo'!$L$3:$N$66,3,0))</f>
        <v>4</v>
      </c>
      <c r="BK51" s="318">
        <f t="shared" ca="1" si="22"/>
        <v>1</v>
      </c>
      <c r="BL51" s="397">
        <v>18</v>
      </c>
      <c r="BM51" s="424" t="str">
        <f ca="1">IF(BL51="","",CONCATENATE(TEXT($O51,"0"),IF(Start.listina!$Y$5="","",TEXT(500+$P51,"000")),TEXT(999999*RAND(),"000000")))</f>
        <v>2635434</v>
      </c>
      <c r="BN51" s="318">
        <f t="shared" ca="1" si="31"/>
        <v>0</v>
      </c>
      <c r="BQ51" s="318">
        <f ca="1">IF(TYPE(VLOOKUP($A51,'5.kolo'!$L$3:$L$66,1,0))&gt;3,IF(TYPE(VLOOKUP($A51,'5.kolo'!$K$3:$L$66,2,0))&gt;3,0,VLOOKUP($A51,'5.kolo'!$K$3:$L$66,2,0)),VLOOKUP($A51,'5.kolo'!$L$3:$O$66,4,0))</f>
        <v>0</v>
      </c>
      <c r="BR51" s="318">
        <f ca="1">IF(TYPE(VLOOKUP($A51,'5.kolo'!$L$3:$L$66,1,0))&gt;3,IF(TYPE(VLOOKUP($A51,'5.kolo'!$O$3:$Q$66,2,0))&gt;3,0,VLOOKUP($A51,'5.kolo'!$O$3:$Q$66,2,0)),VLOOKUP($A51,'5.kolo'!$L$3:$N$66,2,0))</f>
        <v>0</v>
      </c>
      <c r="BS51" s="318">
        <f ca="1">IF(TYPE(VLOOKUP($A51,'5.kolo'!$L$3:$L$66,1,0))&gt;3,IF(TYPE(VLOOKUP($A51,'5.kolo'!$O$3:$Q$66,3,0))&gt;3,0,VLOOKUP($A51,'5.kolo'!$O$3:$Q$66,3,0)),VLOOKUP($A51,'5.kolo'!$L$3:$N$66,3,0))</f>
        <v>0</v>
      </c>
      <c r="BT51" s="318">
        <f t="shared" ca="1" si="23"/>
        <v>0</v>
      </c>
      <c r="BU51" s="397"/>
      <c r="BV51" s="424" t="str">
        <f ca="1">IF(BU51="","",CONCATENATE(TEXT($O51,"0"),IF(Start.listina!$Y$5="","",TEXT(500+$P51,"000")),TEXT(999999*RAND(),"000000")))</f>
        <v/>
      </c>
      <c r="BW51" s="318">
        <f t="shared" ca="1" si="32"/>
        <v>0</v>
      </c>
      <c r="BZ51" s="318">
        <f ca="1">IF(TYPE(VLOOKUP($A51,'6.kolo'!$L$3:$L$66,1,0))&gt;3,IF(TYPE(VLOOKUP($A51,'6.kolo'!$K$3:$L$66,2,0))&gt;3,0,VLOOKUP($A51,'6.kolo'!$K$3:$L$66,2,0)),VLOOKUP($A51,'6.kolo'!$L$3:$O$66,4,0))</f>
        <v>0</v>
      </c>
      <c r="CA51" s="318">
        <f ca="1">IF(TYPE(VLOOKUP($A51,'6.kolo'!$L$3:$L$66,1,0))&gt;3,IF(TYPE(VLOOKUP($A51,'6.kolo'!$O$3:$Q$66,2,0))&gt;3,0,VLOOKUP($A51,'6.kolo'!$O$3:$Q$66,2,0)),VLOOKUP($A51,'6.kolo'!$L$3:$N$66,2,0))</f>
        <v>0</v>
      </c>
      <c r="CB51" s="318">
        <f ca="1">IF(TYPE(VLOOKUP($A51,'6.kolo'!$L$3:$L$66,1,0))&gt;3,IF(TYPE(VLOOKUP($A51,'6.kolo'!$O$3:$Q$66,3,0))&gt;3,0,VLOOKUP($A51,'6.kolo'!$O$3:$Q$66,3,0)),VLOOKUP($A51,'6.kolo'!$L$3:$N$66,3,0))</f>
        <v>0</v>
      </c>
      <c r="CC51" s="318">
        <f t="shared" ca="1" si="24"/>
        <v>0</v>
      </c>
      <c r="CD51" s="397"/>
      <c r="CE51" s="424" t="str">
        <f ca="1">IF(CD51="","",CONCATENATE(TEXT($O51,"0"),IF(Start.listina!$Y$5="","",TEXT(500+$P51,"000")),TEXT(999999*RAND(),"000000")))</f>
        <v/>
      </c>
      <c r="CF51" s="318">
        <f t="shared" ca="1" si="33"/>
        <v>0</v>
      </c>
    </row>
    <row r="52" spans="1:84" x14ac:dyDescent="0.4">
      <c r="A52" s="318">
        <f ca="1">IF(OR(Start.listina!H60&gt;Start.listina!$K$7,Start.listina!G60=TRUE),"",Start.listina!H60)</f>
        <v>50</v>
      </c>
      <c r="B52" s="318">
        <f ca="1">IF($A52&gt;Start.listina!$K$7,"",INT(($A52-1)/Start.listina!$O$7)+1)</f>
        <v>2</v>
      </c>
      <c r="C52" s="421" t="str">
        <f ca="1">IF(OR(Start.listina!H60&gt;Start.listina!$K$7,Start.listina!G60=TRUE)," - ",Start.listina!AL60)</f>
        <v xml:space="preserve">50   - Jesper K, Dánsko  </v>
      </c>
      <c r="D52" s="318">
        <f ca="1">IF(OR(A52&gt;Start.listina!$K$7,TYPE(VLOOKUP(A52,$V$3:$X$130,3,0))&gt;3),"",VLOOKUP(A52,$V$3:$X$130,3,0))</f>
        <v>38</v>
      </c>
      <c r="E52" s="422">
        <f ca="1">IF(A52&gt;Start.listina!$K$7,"",IF(MIN(F52:K52)&gt;Start.listina!$Y$4,D52,MIN(F52:K52)))</f>
        <v>38</v>
      </c>
      <c r="F52" s="318">
        <f ca="1">IF(TYPE(VLOOKUP(C52,Konečné_pořadí_1_16!$B$2:$D$17,3,0))&lt;4,VLOOKUP(C52,Konečné_pořadí_1_16!$B$2:$D$17,3,0),999)</f>
        <v>999</v>
      </c>
      <c r="G52" s="318">
        <f ca="1">IF(TYPE(VLOOKUP(C52,'KO64'!$D$4:$D$129,1,0))&lt;4,64,999)</f>
        <v>999</v>
      </c>
      <c r="H52" s="318">
        <f ca="1">IF(TYPE(VLOOKUP(C52,'KO32'!$D$4:$D$65,1,0))&lt;4,32,999)</f>
        <v>999</v>
      </c>
      <c r="I52" s="318">
        <f ca="1">IF(TYPE(VLOOKUP(C52,'KO16'!$D$4:$D$33,1,0))&lt;4,16,999)</f>
        <v>999</v>
      </c>
      <c r="J52" s="318">
        <f ca="1">IF(TYPE(VLOOKUP(C52,'KO8'!$D$4:$D$17,1,0))&lt;4,8,999)</f>
        <v>999</v>
      </c>
      <c r="K52" s="318">
        <f ca="1">IF(TYPE(VLOOKUP(C52,'KO4'!$D$4:$D$9,1,0))&lt;4,4,999)</f>
        <v>999</v>
      </c>
      <c r="M52" s="319">
        <v>50</v>
      </c>
      <c r="O52" s="318">
        <f t="shared" ca="1" si="8"/>
        <v>2</v>
      </c>
      <c r="P52" s="318">
        <f t="shared" ca="1" si="9"/>
        <v>-12</v>
      </c>
      <c r="Q52" s="318">
        <f t="shared" ca="1" si="26"/>
        <v>5</v>
      </c>
      <c r="R52" s="318">
        <f t="shared" ca="1" si="27"/>
        <v>1</v>
      </c>
      <c r="S52" s="318">
        <f t="shared" ca="1" si="10"/>
        <v>35</v>
      </c>
      <c r="T52" s="318">
        <f t="shared" ca="1" si="11"/>
        <v>2</v>
      </c>
      <c r="U52" s="397">
        <f t="shared" si="25"/>
        <v>50</v>
      </c>
      <c r="V52" s="397">
        <v>55</v>
      </c>
      <c r="W52" s="423" t="str">
        <f ca="1">IF($V52="","",CONCATENATE(TEXT($O52,"0"),IF(Start.listina!$Y$5="","",TEXT(500+$P52,"0000")),IF(Start.listina!$Y$6="","",CHOOSE(Start.listina!$Y$7,TEXT($Q52,"00"),CONCATENATE(TEXT($Q52,"00"),TEXT($S52,"000")), TEXT($R52,"00"))),TEXT(500+$P52,"0000"),IF(Start.listina!$Y$8="","",TEXT($T52,"0")),TEXT(999999*RAND(),"000000")))</f>
        <v>2050350488242261</v>
      </c>
      <c r="X52" s="399">
        <f t="shared" si="12"/>
        <v>50</v>
      </c>
      <c r="Y52" s="397">
        <f t="shared" ca="1" si="28"/>
        <v>1</v>
      </c>
      <c r="Z52" s="318">
        <f t="shared" ca="1" si="13"/>
        <v>22</v>
      </c>
      <c r="AA52" s="318">
        <f t="shared" ca="1" si="14"/>
        <v>49</v>
      </c>
      <c r="AB52" s="318">
        <f t="shared" ca="1" si="15"/>
        <v>48</v>
      </c>
      <c r="AC52" s="318">
        <f t="shared" ca="1" si="16"/>
        <v>47</v>
      </c>
      <c r="AD52" s="318">
        <f t="shared" ca="1" si="17"/>
        <v>0</v>
      </c>
      <c r="AE52" s="318">
        <f t="shared" ca="1" si="18"/>
        <v>0</v>
      </c>
      <c r="AG52" s="318">
        <f ca="1">IF(TYPE(VLOOKUP($A52,'1.kolo'!$L$3:$L$66,1,0))&gt;3,VLOOKUP($A52,'1.kolo'!$K$3:$L$66,2,0),VLOOKUP($A52,'1.kolo'!$L$3:$O$66,4,0))</f>
        <v>22</v>
      </c>
      <c r="AH52" s="318">
        <f ca="1">IF(TYPE(VLOOKUP($A52,'1.kolo'!$L$3:$L$66,1,0))&gt;3,VLOOKUP($A52,'1.kolo'!$O$3:$Q$66,2,0),VLOOKUP($A52,'1.kolo'!$L$3:$N$66,2,0))</f>
        <v>0</v>
      </c>
      <c r="AI52" s="318">
        <f ca="1">IF(TYPE(VLOOKUP($A52,'1.kolo'!$L$3:$L$66,1,0))&gt;3,VLOOKUP($A52,'1.kolo'!$O$3:$Q$66,3,0),VLOOKUP($A52,'1.kolo'!$L$3:$N$66,3,0))</f>
        <v>-12</v>
      </c>
      <c r="AJ52" s="318">
        <f t="shared" ca="1" si="19"/>
        <v>0</v>
      </c>
      <c r="AK52" s="318">
        <v>50</v>
      </c>
      <c r="AL52" s="424"/>
      <c r="AP52" s="318">
        <f ca="1">IF(TYPE(VLOOKUP($A52,'2.kolo'!$L$3:$L$66,1,0))&gt;3,IF(TYPE(VLOOKUP($A52,'2.kolo'!$K$3:$L$66,2,0))&gt;3,0,VLOOKUP($A52,'2.kolo'!$K$3:$L$66,2,0)),VLOOKUP($A52,'2.kolo'!$L$3:$O$66,4,0))</f>
        <v>49</v>
      </c>
      <c r="AQ52" s="318">
        <f ca="1">IF(TYPE(VLOOKUP($A52,'2.kolo'!$L$3:$L$66,1,0))&gt;3,IF(TYPE(VLOOKUP($A52,'2.kolo'!$O$3:$Q$66,2,0))&gt;3,0,VLOOKUP($A52,'2.kolo'!$O$3:$Q$66,2,0)),VLOOKUP($A52,'2.kolo'!$L$3:$N$66,2,0))</f>
        <v>0</v>
      </c>
      <c r="AR52" s="318">
        <f ca="1">IF(TYPE(VLOOKUP($A52,'2.kolo'!$L$3:$L$66,1,0))&gt;3,IF(TYPE(VLOOKUP($A52,'2.kolo'!$O$3:$Q$66,3,0))&gt;3,0,VLOOKUP($A52,'2.kolo'!$O$3:$Q$66,3,0)),VLOOKUP($A52,'2.kolo'!$L$3:$N$66,3,0))</f>
        <v>-9</v>
      </c>
      <c r="AS52" s="318">
        <f t="shared" ca="1" si="20"/>
        <v>0</v>
      </c>
      <c r="AT52" s="397">
        <v>24</v>
      </c>
      <c r="AU52" s="424" t="str">
        <f ca="1">IF(AT52="","",CONCATENATE(TEXT($O52,"0"),IF(Start.listina!$Y$5="","",TEXT(500+$P52,"000")),TEXT(999999*RAND(),"000000")))</f>
        <v>2508266</v>
      </c>
      <c r="AV52" s="318">
        <f t="shared" ca="1" si="29"/>
        <v>0</v>
      </c>
      <c r="AY52" s="318">
        <f ca="1">IF(TYPE(VLOOKUP($A52,'3.kolo'!$L$3:$L$66,1,0))&gt;3,IF(TYPE(VLOOKUP($A52,'3.kolo'!$K$3:$L$66,2,0))&gt;3,0,VLOOKUP($A52,'3.kolo'!$K$3:$L$66,2,0)),VLOOKUP($A52,'3.kolo'!$L$3:$O$66,4,0))</f>
        <v>48</v>
      </c>
      <c r="AZ52" s="318">
        <f ca="1">IF(TYPE(VLOOKUP($A52,'3.kolo'!$L$3:$L$66,1,0))&gt;3,IF(TYPE(VLOOKUP($A52,'3.kolo'!$O$3:$Q$66,2,0))&gt;3,0,VLOOKUP($A52,'3.kolo'!$O$3:$Q$66,2,0)),VLOOKUP($A52,'3.kolo'!$L$3:$N$66,2,0))</f>
        <v>1</v>
      </c>
      <c r="BA52" s="318">
        <f ca="1">IF(TYPE(VLOOKUP($A52,'3.kolo'!$L$3:$L$66,1,0))&gt;3,IF(TYPE(VLOOKUP($A52,'3.kolo'!$O$3:$Q$66,3,0))&gt;3,0,VLOOKUP($A52,'3.kolo'!$O$3:$Q$66,3,0)),VLOOKUP($A52,'3.kolo'!$L$3:$N$66,3,0))</f>
        <v>2</v>
      </c>
      <c r="BB52" s="318">
        <f t="shared" ca="1" si="21"/>
        <v>1</v>
      </c>
      <c r="BC52" s="397">
        <v>6</v>
      </c>
      <c r="BD52" s="424" t="str">
        <f ca="1">IF(BC52="","",CONCATENATE(TEXT($O52,"0"),IF(Start.listina!$Y$5="","",TEXT(500+$P52,"000")),TEXT(999999*RAND(),"000000")))</f>
        <v>2333760</v>
      </c>
      <c r="BE52" s="318">
        <f t="shared" ca="1" si="30"/>
        <v>0</v>
      </c>
      <c r="BH52" s="318">
        <f ca="1">IF(TYPE(VLOOKUP($A52,'4.kolo'!$L$3:$L$66,1,0))&gt;3,IF(TYPE(VLOOKUP($A52,'4.kolo'!$K$3:$L$66,2,0))&gt;3,0,VLOOKUP($A52,'4.kolo'!$K$3:$L$66,2,0)),VLOOKUP($A52,'4.kolo'!$L$3:$O$66,4,0))</f>
        <v>47</v>
      </c>
      <c r="BI52" s="318">
        <f ca="1">IF(TYPE(VLOOKUP($A52,'4.kolo'!$L$3:$L$66,1,0))&gt;3,IF(TYPE(VLOOKUP($A52,'4.kolo'!$O$3:$Q$66,2,0))&gt;3,0,VLOOKUP($A52,'4.kolo'!$O$3:$Q$66,2,0)),VLOOKUP($A52,'4.kolo'!$L$3:$N$66,2,0))</f>
        <v>1</v>
      </c>
      <c r="BJ52" s="318">
        <f ca="1">IF(TYPE(VLOOKUP($A52,'4.kolo'!$L$3:$L$66,1,0))&gt;3,IF(TYPE(VLOOKUP($A52,'4.kolo'!$O$3:$Q$66,3,0))&gt;3,0,VLOOKUP($A52,'4.kolo'!$O$3:$Q$66,3,0)),VLOOKUP($A52,'4.kolo'!$L$3:$N$66,3,0))</f>
        <v>7</v>
      </c>
      <c r="BK52" s="318">
        <f t="shared" ca="1" si="22"/>
        <v>1</v>
      </c>
      <c r="BL52" s="397">
        <v>41</v>
      </c>
      <c r="BM52" s="424" t="str">
        <f ca="1">IF(BL52="","",CONCATENATE(TEXT($O52,"0"),IF(Start.listina!$Y$5="","",TEXT(500+$P52,"000")),TEXT(999999*RAND(),"000000")))</f>
        <v>2270219</v>
      </c>
      <c r="BN52" s="318">
        <f t="shared" ca="1" si="31"/>
        <v>0</v>
      </c>
      <c r="BQ52" s="318">
        <f ca="1">IF(TYPE(VLOOKUP($A52,'5.kolo'!$L$3:$L$66,1,0))&gt;3,IF(TYPE(VLOOKUP($A52,'5.kolo'!$K$3:$L$66,2,0))&gt;3,0,VLOOKUP($A52,'5.kolo'!$K$3:$L$66,2,0)),VLOOKUP($A52,'5.kolo'!$L$3:$O$66,4,0))</f>
        <v>0</v>
      </c>
      <c r="BR52" s="318">
        <f ca="1">IF(TYPE(VLOOKUP($A52,'5.kolo'!$L$3:$L$66,1,0))&gt;3,IF(TYPE(VLOOKUP($A52,'5.kolo'!$O$3:$Q$66,2,0))&gt;3,0,VLOOKUP($A52,'5.kolo'!$O$3:$Q$66,2,0)),VLOOKUP($A52,'5.kolo'!$L$3:$N$66,2,0))</f>
        <v>0</v>
      </c>
      <c r="BS52" s="318">
        <f ca="1">IF(TYPE(VLOOKUP($A52,'5.kolo'!$L$3:$L$66,1,0))&gt;3,IF(TYPE(VLOOKUP($A52,'5.kolo'!$O$3:$Q$66,3,0))&gt;3,0,VLOOKUP($A52,'5.kolo'!$O$3:$Q$66,3,0)),VLOOKUP($A52,'5.kolo'!$L$3:$N$66,3,0))</f>
        <v>0</v>
      </c>
      <c r="BT52" s="318">
        <f t="shared" ca="1" si="23"/>
        <v>0</v>
      </c>
      <c r="BU52" s="397"/>
      <c r="BV52" s="424" t="str">
        <f ca="1">IF(BU52="","",CONCATENATE(TEXT($O52,"0"),IF(Start.listina!$Y$5="","",TEXT(500+$P52,"000")),TEXT(999999*RAND(),"000000")))</f>
        <v/>
      </c>
      <c r="BW52" s="318">
        <f t="shared" ca="1" si="32"/>
        <v>0</v>
      </c>
      <c r="BZ52" s="318">
        <f ca="1">IF(TYPE(VLOOKUP($A52,'6.kolo'!$L$3:$L$66,1,0))&gt;3,IF(TYPE(VLOOKUP($A52,'6.kolo'!$K$3:$L$66,2,0))&gt;3,0,VLOOKUP($A52,'6.kolo'!$K$3:$L$66,2,0)),VLOOKUP($A52,'6.kolo'!$L$3:$O$66,4,0))</f>
        <v>0</v>
      </c>
      <c r="CA52" s="318">
        <f ca="1">IF(TYPE(VLOOKUP($A52,'6.kolo'!$L$3:$L$66,1,0))&gt;3,IF(TYPE(VLOOKUP($A52,'6.kolo'!$O$3:$Q$66,2,0))&gt;3,0,VLOOKUP($A52,'6.kolo'!$O$3:$Q$66,2,0)),VLOOKUP($A52,'6.kolo'!$L$3:$N$66,2,0))</f>
        <v>0</v>
      </c>
      <c r="CB52" s="318">
        <f ca="1">IF(TYPE(VLOOKUP($A52,'6.kolo'!$L$3:$L$66,1,0))&gt;3,IF(TYPE(VLOOKUP($A52,'6.kolo'!$O$3:$Q$66,3,0))&gt;3,0,VLOOKUP($A52,'6.kolo'!$O$3:$Q$66,3,0)),VLOOKUP($A52,'6.kolo'!$L$3:$N$66,3,0))</f>
        <v>0</v>
      </c>
      <c r="CC52" s="318">
        <f t="shared" ca="1" si="24"/>
        <v>0</v>
      </c>
      <c r="CD52" s="397"/>
      <c r="CE52" s="424" t="str">
        <f ca="1">IF(CD52="","",CONCATENATE(TEXT($O52,"0"),IF(Start.listina!$Y$5="","",TEXT(500+$P52,"000")),TEXT(999999*RAND(),"000000")))</f>
        <v/>
      </c>
      <c r="CF52" s="318">
        <f t="shared" ca="1" si="33"/>
        <v>0</v>
      </c>
    </row>
    <row r="53" spans="1:84" x14ac:dyDescent="0.4">
      <c r="A53" s="318">
        <f ca="1">IF(OR(Start.listina!H61&gt;Start.listina!$K$7,Start.listina!G61=TRUE),"",Start.listina!H61)</f>
        <v>51</v>
      </c>
      <c r="B53" s="318">
        <f ca="1">IF($A53&gt;Start.listina!$K$7,"",INT(($A53-1)/Start.listina!$O$7)+1)</f>
        <v>2</v>
      </c>
      <c r="C53" s="421" t="str">
        <f ca="1">IF(OR(Start.listina!H61&gt;Start.listina!$K$7,Start.listina!G61=TRUE)," - ",Start.listina!AL61)</f>
        <v xml:space="preserve">51   - Erik, Dánsko  </v>
      </c>
      <c r="D53" s="318">
        <f ca="1">IF(OR(A53&gt;Start.listina!$K$7,TYPE(VLOOKUP(A53,$V$3:$X$130,3,0))&gt;3),"",VLOOKUP(A53,$V$3:$X$130,3,0))</f>
        <v>11</v>
      </c>
      <c r="E53" s="422">
        <f ca="1">IF(A53&gt;Start.listina!$K$7,"",IF(MIN(F53:K53)&gt;Start.listina!$Y$4,D53,MIN(F53:K53)))</f>
        <v>8</v>
      </c>
      <c r="F53" s="318">
        <f ca="1">IF(TYPE(VLOOKUP(C53,Konečné_pořadí_1_16!$B$2:$D$17,3,0))&lt;4,VLOOKUP(C53,Konečné_pořadí_1_16!$B$2:$D$17,3,0),999)</f>
        <v>999</v>
      </c>
      <c r="G53" s="318">
        <f ca="1">IF(TYPE(VLOOKUP(C53,'KO64'!$D$4:$D$129,1,0))&lt;4,64,999)</f>
        <v>64</v>
      </c>
      <c r="H53" s="318">
        <f ca="1">IF(TYPE(VLOOKUP(C53,'KO32'!$D$4:$D$65,1,0))&lt;4,32,999)</f>
        <v>32</v>
      </c>
      <c r="I53" s="318">
        <f ca="1">IF(TYPE(VLOOKUP(C53,'KO16'!$D$4:$D$33,1,0))&lt;4,16,999)</f>
        <v>16</v>
      </c>
      <c r="J53" s="318">
        <f ca="1">IF(TYPE(VLOOKUP(C53,'KO8'!$D$4:$D$17,1,0))&lt;4,8,999)</f>
        <v>8</v>
      </c>
      <c r="K53" s="318">
        <f ca="1">IF(TYPE(VLOOKUP(C53,'KO4'!$D$4:$D$9,1,0))&lt;4,4,999)</f>
        <v>999</v>
      </c>
      <c r="M53" s="319">
        <v>51</v>
      </c>
      <c r="O53" s="318">
        <f t="shared" ca="1" si="8"/>
        <v>3</v>
      </c>
      <c r="P53" s="318">
        <f t="shared" ca="1" si="9"/>
        <v>5</v>
      </c>
      <c r="Q53" s="318">
        <f t="shared" ca="1" si="26"/>
        <v>9</v>
      </c>
      <c r="R53" s="318">
        <f t="shared" ca="1" si="27"/>
        <v>6</v>
      </c>
      <c r="S53" s="318">
        <f t="shared" ca="1" si="10"/>
        <v>33</v>
      </c>
      <c r="T53" s="318">
        <f t="shared" ca="1" si="11"/>
        <v>3</v>
      </c>
      <c r="U53" s="397">
        <f t="shared" si="25"/>
        <v>51</v>
      </c>
      <c r="V53" s="397">
        <v>33</v>
      </c>
      <c r="W53" s="423" t="str">
        <f ca="1">IF($V53="","",CONCATENATE(TEXT($O53,"0"),IF(Start.listina!$Y$5="","",TEXT(500+$P53,"0000")),IF(Start.listina!$Y$6="","",CHOOSE(Start.listina!$Y$7,TEXT($Q53,"00"),CONCATENATE(TEXT($Q53,"00"),TEXT($S53,"000")), TEXT($R53,"00"))),TEXT(500+$P53,"0000"),IF(Start.listina!$Y$8="","",TEXT($T53,"0")),TEXT(999999*RAND(),"000000")))</f>
        <v>3090330505167830</v>
      </c>
      <c r="X53" s="399">
        <f t="shared" si="12"/>
        <v>51</v>
      </c>
      <c r="Y53" s="397">
        <f t="shared" ca="1" si="28"/>
        <v>1</v>
      </c>
      <c r="Z53" s="318">
        <f t="shared" ca="1" si="13"/>
        <v>23</v>
      </c>
      <c r="AA53" s="318">
        <f t="shared" ca="1" si="14"/>
        <v>42</v>
      </c>
      <c r="AB53" s="318">
        <f t="shared" ca="1" si="15"/>
        <v>25</v>
      </c>
      <c r="AC53" s="318">
        <f t="shared" ca="1" si="16"/>
        <v>38</v>
      </c>
      <c r="AD53" s="318">
        <f t="shared" ca="1" si="17"/>
        <v>0</v>
      </c>
      <c r="AE53" s="318">
        <f t="shared" ca="1" si="18"/>
        <v>0</v>
      </c>
      <c r="AG53" s="318">
        <f ca="1">IF(TYPE(VLOOKUP($A53,'1.kolo'!$L$3:$L$66,1,0))&gt;3,VLOOKUP($A53,'1.kolo'!$K$3:$L$66,2,0),VLOOKUP($A53,'1.kolo'!$L$3:$O$66,4,0))</f>
        <v>23</v>
      </c>
      <c r="AH53" s="318">
        <f ca="1">IF(TYPE(VLOOKUP($A53,'1.kolo'!$L$3:$L$66,1,0))&gt;3,VLOOKUP($A53,'1.kolo'!$O$3:$Q$66,2,0),VLOOKUP($A53,'1.kolo'!$L$3:$N$66,2,0))</f>
        <v>0</v>
      </c>
      <c r="AI53" s="318">
        <f ca="1">IF(TYPE(VLOOKUP($A53,'1.kolo'!$L$3:$L$66,1,0))&gt;3,VLOOKUP($A53,'1.kolo'!$O$3:$Q$66,3,0),VLOOKUP($A53,'1.kolo'!$L$3:$N$66,3,0))</f>
        <v>-4</v>
      </c>
      <c r="AJ53" s="318">
        <f t="shared" ca="1" si="19"/>
        <v>0</v>
      </c>
      <c r="AK53" s="318">
        <v>51</v>
      </c>
      <c r="AL53" s="424"/>
      <c r="AP53" s="318">
        <f ca="1">IF(TYPE(VLOOKUP($A53,'2.kolo'!$L$3:$L$66,1,0))&gt;3,IF(TYPE(VLOOKUP($A53,'2.kolo'!$K$3:$L$66,2,0))&gt;3,0,VLOOKUP($A53,'2.kolo'!$K$3:$L$66,2,0)),VLOOKUP($A53,'2.kolo'!$L$3:$O$66,4,0))</f>
        <v>42</v>
      </c>
      <c r="AQ53" s="318">
        <f ca="1">IF(TYPE(VLOOKUP($A53,'2.kolo'!$L$3:$L$66,1,0))&gt;3,IF(TYPE(VLOOKUP($A53,'2.kolo'!$O$3:$Q$66,2,0))&gt;3,0,VLOOKUP($A53,'2.kolo'!$O$3:$Q$66,2,0)),VLOOKUP($A53,'2.kolo'!$L$3:$N$66,2,0))</f>
        <v>1</v>
      </c>
      <c r="AR53" s="318">
        <f ca="1">IF(TYPE(VLOOKUP($A53,'2.kolo'!$L$3:$L$66,1,0))&gt;3,IF(TYPE(VLOOKUP($A53,'2.kolo'!$O$3:$Q$66,3,0))&gt;3,0,VLOOKUP($A53,'2.kolo'!$O$3:$Q$66,3,0)),VLOOKUP($A53,'2.kolo'!$L$3:$N$66,3,0))</f>
        <v>3</v>
      </c>
      <c r="AS53" s="318">
        <f t="shared" ca="1" si="20"/>
        <v>1</v>
      </c>
      <c r="AT53" s="397">
        <v>40</v>
      </c>
      <c r="AU53" s="424" t="str">
        <f ca="1">IF(AT53="","",CONCATENATE(TEXT($O53,"0"),IF(Start.listina!$Y$5="","",TEXT(500+$P53,"000")),TEXT(999999*RAND(),"000000")))</f>
        <v>3938738</v>
      </c>
      <c r="AV53" s="318">
        <f t="shared" ca="1" si="29"/>
        <v>0</v>
      </c>
      <c r="AY53" s="318">
        <f ca="1">IF(TYPE(VLOOKUP($A53,'3.kolo'!$L$3:$L$66,1,0))&gt;3,IF(TYPE(VLOOKUP($A53,'3.kolo'!$K$3:$L$66,2,0))&gt;3,0,VLOOKUP($A53,'3.kolo'!$K$3:$L$66,2,0)),VLOOKUP($A53,'3.kolo'!$L$3:$O$66,4,0))</f>
        <v>25</v>
      </c>
      <c r="AZ53" s="318">
        <f ca="1">IF(TYPE(VLOOKUP($A53,'3.kolo'!$L$3:$L$66,1,0))&gt;3,IF(TYPE(VLOOKUP($A53,'3.kolo'!$O$3:$Q$66,2,0))&gt;3,0,VLOOKUP($A53,'3.kolo'!$O$3:$Q$66,2,0)),VLOOKUP($A53,'3.kolo'!$L$3:$N$66,2,0))</f>
        <v>1</v>
      </c>
      <c r="BA53" s="318">
        <f ca="1">IF(TYPE(VLOOKUP($A53,'3.kolo'!$L$3:$L$66,1,0))&gt;3,IF(TYPE(VLOOKUP($A53,'3.kolo'!$O$3:$Q$66,3,0))&gt;3,0,VLOOKUP($A53,'3.kolo'!$O$3:$Q$66,3,0)),VLOOKUP($A53,'3.kolo'!$L$3:$N$66,3,0))</f>
        <v>5</v>
      </c>
      <c r="BB53" s="318">
        <f t="shared" ca="1" si="21"/>
        <v>1</v>
      </c>
      <c r="BC53" s="397">
        <v>40</v>
      </c>
      <c r="BD53" s="424" t="str">
        <f ca="1">IF(BC53="","",CONCATENATE(TEXT($O53,"0"),IF(Start.listina!$Y$5="","",TEXT(500+$P53,"000")),TEXT(999999*RAND(),"000000")))</f>
        <v>3533329</v>
      </c>
      <c r="BE53" s="318">
        <f t="shared" ca="1" si="30"/>
        <v>0</v>
      </c>
      <c r="BH53" s="318">
        <f ca="1">IF(TYPE(VLOOKUP($A53,'4.kolo'!$L$3:$L$66,1,0))&gt;3,IF(TYPE(VLOOKUP($A53,'4.kolo'!$K$3:$L$66,2,0))&gt;3,0,VLOOKUP($A53,'4.kolo'!$K$3:$L$66,2,0)),VLOOKUP($A53,'4.kolo'!$L$3:$O$66,4,0))</f>
        <v>38</v>
      </c>
      <c r="BI53" s="318">
        <f ca="1">IF(TYPE(VLOOKUP($A53,'4.kolo'!$L$3:$L$66,1,0))&gt;3,IF(TYPE(VLOOKUP($A53,'4.kolo'!$O$3:$Q$66,2,0))&gt;3,0,VLOOKUP($A53,'4.kolo'!$O$3:$Q$66,2,0)),VLOOKUP($A53,'4.kolo'!$L$3:$N$66,2,0))</f>
        <v>1</v>
      </c>
      <c r="BJ53" s="318">
        <f ca="1">IF(TYPE(VLOOKUP($A53,'4.kolo'!$L$3:$L$66,1,0))&gt;3,IF(TYPE(VLOOKUP($A53,'4.kolo'!$O$3:$Q$66,3,0))&gt;3,0,VLOOKUP($A53,'4.kolo'!$O$3:$Q$66,3,0)),VLOOKUP($A53,'4.kolo'!$L$3:$N$66,3,0))</f>
        <v>1</v>
      </c>
      <c r="BK53" s="318">
        <f t="shared" ca="1" si="22"/>
        <v>1</v>
      </c>
      <c r="BL53" s="397">
        <v>29</v>
      </c>
      <c r="BM53" s="424" t="str">
        <f ca="1">IF(BL53="","",CONCATENATE(TEXT($O53,"0"),IF(Start.listina!$Y$5="","",TEXT(500+$P53,"000")),TEXT(999999*RAND(),"000000")))</f>
        <v>3014807</v>
      </c>
      <c r="BN53" s="318">
        <f t="shared" ca="1" si="31"/>
        <v>0</v>
      </c>
      <c r="BQ53" s="318">
        <f ca="1">IF(TYPE(VLOOKUP($A53,'5.kolo'!$L$3:$L$66,1,0))&gt;3,IF(TYPE(VLOOKUP($A53,'5.kolo'!$K$3:$L$66,2,0))&gt;3,0,VLOOKUP($A53,'5.kolo'!$K$3:$L$66,2,0)),VLOOKUP($A53,'5.kolo'!$L$3:$O$66,4,0))</f>
        <v>0</v>
      </c>
      <c r="BR53" s="318">
        <f ca="1">IF(TYPE(VLOOKUP($A53,'5.kolo'!$L$3:$L$66,1,0))&gt;3,IF(TYPE(VLOOKUP($A53,'5.kolo'!$O$3:$Q$66,2,0))&gt;3,0,VLOOKUP($A53,'5.kolo'!$O$3:$Q$66,2,0)),VLOOKUP($A53,'5.kolo'!$L$3:$N$66,2,0))</f>
        <v>0</v>
      </c>
      <c r="BS53" s="318">
        <f ca="1">IF(TYPE(VLOOKUP($A53,'5.kolo'!$L$3:$L$66,1,0))&gt;3,IF(TYPE(VLOOKUP($A53,'5.kolo'!$O$3:$Q$66,3,0))&gt;3,0,VLOOKUP($A53,'5.kolo'!$O$3:$Q$66,3,0)),VLOOKUP($A53,'5.kolo'!$L$3:$N$66,3,0))</f>
        <v>0</v>
      </c>
      <c r="BT53" s="318">
        <f t="shared" ca="1" si="23"/>
        <v>0</v>
      </c>
      <c r="BU53" s="397"/>
      <c r="BV53" s="424" t="str">
        <f ca="1">IF(BU53="","",CONCATENATE(TEXT($O53,"0"),IF(Start.listina!$Y$5="","",TEXT(500+$P53,"000")),TEXT(999999*RAND(),"000000")))</f>
        <v/>
      </c>
      <c r="BW53" s="318">
        <f t="shared" ca="1" si="32"/>
        <v>0</v>
      </c>
      <c r="BZ53" s="318">
        <f ca="1">IF(TYPE(VLOOKUP($A53,'6.kolo'!$L$3:$L$66,1,0))&gt;3,IF(TYPE(VLOOKUP($A53,'6.kolo'!$K$3:$L$66,2,0))&gt;3,0,VLOOKUP($A53,'6.kolo'!$K$3:$L$66,2,0)),VLOOKUP($A53,'6.kolo'!$L$3:$O$66,4,0))</f>
        <v>0</v>
      </c>
      <c r="CA53" s="318">
        <f ca="1">IF(TYPE(VLOOKUP($A53,'6.kolo'!$L$3:$L$66,1,0))&gt;3,IF(TYPE(VLOOKUP($A53,'6.kolo'!$O$3:$Q$66,2,0))&gt;3,0,VLOOKUP($A53,'6.kolo'!$O$3:$Q$66,2,0)),VLOOKUP($A53,'6.kolo'!$L$3:$N$66,2,0))</f>
        <v>0</v>
      </c>
      <c r="CB53" s="318">
        <f ca="1">IF(TYPE(VLOOKUP($A53,'6.kolo'!$L$3:$L$66,1,0))&gt;3,IF(TYPE(VLOOKUP($A53,'6.kolo'!$O$3:$Q$66,3,0))&gt;3,0,VLOOKUP($A53,'6.kolo'!$O$3:$Q$66,3,0)),VLOOKUP($A53,'6.kolo'!$L$3:$N$66,3,0))</f>
        <v>0</v>
      </c>
      <c r="CC53" s="318">
        <f t="shared" ca="1" si="24"/>
        <v>0</v>
      </c>
      <c r="CD53" s="397"/>
      <c r="CE53" s="424" t="str">
        <f ca="1">IF(CD53="","",CONCATENATE(TEXT($O53,"0"),IF(Start.listina!$Y$5="","",TEXT(500+$P53,"000")),TEXT(999999*RAND(),"000000")))</f>
        <v/>
      </c>
      <c r="CF53" s="318">
        <f t="shared" ca="1" si="33"/>
        <v>0</v>
      </c>
    </row>
    <row r="54" spans="1:84" x14ac:dyDescent="0.4">
      <c r="A54" s="318">
        <f ca="1">IF(OR(Start.listina!H62&gt;Start.listina!$K$7,Start.listina!G62=TRUE),"",Start.listina!H62)</f>
        <v>52</v>
      </c>
      <c r="B54" s="318">
        <f ca="1">IF($A54&gt;Start.listina!$K$7,"",INT(($A54-1)/Start.listina!$O$7)+1)</f>
        <v>2</v>
      </c>
      <c r="C54" s="421" t="str">
        <f ca="1">IF(OR(Start.listina!H62&gt;Start.listina!$K$7,Start.listina!G62=TRUE)," - ",Start.listina!AL62)</f>
        <v xml:space="preserve">52   - Jesper R, Dánsko  </v>
      </c>
      <c r="D54" s="318">
        <f ca="1">IF(OR(A54&gt;Start.listina!$K$7,TYPE(VLOOKUP(A54,$V$3:$X$130,3,0))&gt;3),"",VLOOKUP(A54,$V$3:$X$130,3,0))</f>
        <v>13</v>
      </c>
      <c r="E54" s="422">
        <f ca="1">IF(A54&gt;Start.listina!$K$7,"",IF(MIN(F54:K54)&gt;Start.listina!$Y$4,D54,MIN(F54:K54)))</f>
        <v>16</v>
      </c>
      <c r="F54" s="318">
        <f ca="1">IF(TYPE(VLOOKUP(C54,Konečné_pořadí_1_16!$B$2:$D$17,3,0))&lt;4,VLOOKUP(C54,Konečné_pořadí_1_16!$B$2:$D$17,3,0),999)</f>
        <v>999</v>
      </c>
      <c r="G54" s="318">
        <f ca="1">IF(TYPE(VLOOKUP(C54,'KO64'!$D$4:$D$129,1,0))&lt;4,64,999)</f>
        <v>64</v>
      </c>
      <c r="H54" s="318">
        <f ca="1">IF(TYPE(VLOOKUP(C54,'KO32'!$D$4:$D$65,1,0))&lt;4,32,999)</f>
        <v>32</v>
      </c>
      <c r="I54" s="318">
        <f ca="1">IF(TYPE(VLOOKUP(C54,'KO16'!$D$4:$D$33,1,0))&lt;4,16,999)</f>
        <v>16</v>
      </c>
      <c r="J54" s="318">
        <f ca="1">IF(TYPE(VLOOKUP(C54,'KO8'!$D$4:$D$17,1,0))&lt;4,8,999)</f>
        <v>999</v>
      </c>
      <c r="K54" s="318">
        <f ca="1">IF(TYPE(VLOOKUP(C54,'KO4'!$D$4:$D$9,1,0))&lt;4,4,999)</f>
        <v>999</v>
      </c>
      <c r="M54" s="319">
        <v>52</v>
      </c>
      <c r="O54" s="318">
        <f t="shared" ca="1" si="8"/>
        <v>3</v>
      </c>
      <c r="P54" s="318">
        <f t="shared" ca="1" si="9"/>
        <v>20</v>
      </c>
      <c r="Q54" s="318">
        <f t="shared" ca="1" si="26"/>
        <v>8</v>
      </c>
      <c r="R54" s="318">
        <f t="shared" ca="1" si="27"/>
        <v>6</v>
      </c>
      <c r="S54" s="318">
        <f t="shared" ca="1" si="10"/>
        <v>37</v>
      </c>
      <c r="T54" s="318">
        <f t="shared" ca="1" si="11"/>
        <v>3</v>
      </c>
      <c r="U54" s="397">
        <f t="shared" si="25"/>
        <v>52</v>
      </c>
      <c r="V54" s="397">
        <v>19</v>
      </c>
      <c r="W54" s="423" t="str">
        <f ca="1">IF($V54="","",CONCATENATE(TEXT($O54,"0"),IF(Start.listina!$Y$5="","",TEXT(500+$P54,"0000")),IF(Start.listina!$Y$6="","",CHOOSE(Start.listina!$Y$7,TEXT($Q54,"00"),CONCATENATE(TEXT($Q54,"00"),TEXT($S54,"000")), TEXT($R54,"00"))),TEXT(500+$P54,"0000"),IF(Start.listina!$Y$8="","",TEXT($T54,"0")),TEXT(999999*RAND(),"000000")))</f>
        <v>3080370520887541</v>
      </c>
      <c r="X54" s="399">
        <f t="shared" si="12"/>
        <v>52</v>
      </c>
      <c r="Y54" s="397">
        <f t="shared" ca="1" si="28"/>
        <v>1</v>
      </c>
      <c r="Z54" s="318">
        <f t="shared" ca="1" si="13"/>
        <v>24</v>
      </c>
      <c r="AA54" s="318">
        <f t="shared" ca="1" si="14"/>
        <v>10</v>
      </c>
      <c r="AB54" s="318">
        <f t="shared" ca="1" si="15"/>
        <v>47</v>
      </c>
      <c r="AC54" s="318">
        <f t="shared" ca="1" si="16"/>
        <v>17</v>
      </c>
      <c r="AD54" s="318">
        <f t="shared" ca="1" si="17"/>
        <v>0</v>
      </c>
      <c r="AE54" s="318">
        <f t="shared" ca="1" si="18"/>
        <v>0</v>
      </c>
      <c r="AG54" s="318">
        <f ca="1">IF(TYPE(VLOOKUP($A54,'1.kolo'!$L$3:$L$66,1,0))&gt;3,VLOOKUP($A54,'1.kolo'!$K$3:$L$66,2,0),VLOOKUP($A54,'1.kolo'!$L$3:$O$66,4,0))</f>
        <v>24</v>
      </c>
      <c r="AH54" s="318">
        <f ca="1">IF(TYPE(VLOOKUP($A54,'1.kolo'!$L$3:$L$66,1,0))&gt;3,VLOOKUP($A54,'1.kolo'!$O$3:$Q$66,2,0),VLOOKUP($A54,'1.kolo'!$L$3:$N$66,2,0))</f>
        <v>1</v>
      </c>
      <c r="AI54" s="318">
        <f ca="1">IF(TYPE(VLOOKUP($A54,'1.kolo'!$L$3:$L$66,1,0))&gt;3,VLOOKUP($A54,'1.kolo'!$O$3:$Q$66,3,0),VLOOKUP($A54,'1.kolo'!$L$3:$N$66,3,0))</f>
        <v>3</v>
      </c>
      <c r="AJ54" s="318">
        <f t="shared" ca="1" si="19"/>
        <v>1</v>
      </c>
      <c r="AK54" s="318">
        <v>52</v>
      </c>
      <c r="AL54" s="424"/>
      <c r="AP54" s="318">
        <f ca="1">IF(TYPE(VLOOKUP($A54,'2.kolo'!$L$3:$L$66,1,0))&gt;3,IF(TYPE(VLOOKUP($A54,'2.kolo'!$K$3:$L$66,2,0))&gt;3,0,VLOOKUP($A54,'2.kolo'!$K$3:$L$66,2,0)),VLOOKUP($A54,'2.kolo'!$L$3:$O$66,4,0))</f>
        <v>10</v>
      </c>
      <c r="AQ54" s="318">
        <f ca="1">IF(TYPE(VLOOKUP($A54,'2.kolo'!$L$3:$L$66,1,0))&gt;3,IF(TYPE(VLOOKUP($A54,'2.kolo'!$O$3:$Q$66,2,0))&gt;3,0,VLOOKUP($A54,'2.kolo'!$O$3:$Q$66,2,0)),VLOOKUP($A54,'2.kolo'!$L$3:$N$66,2,0))</f>
        <v>0</v>
      </c>
      <c r="AR54" s="318">
        <f ca="1">IF(TYPE(VLOOKUP($A54,'2.kolo'!$L$3:$L$66,1,0))&gt;3,IF(TYPE(VLOOKUP($A54,'2.kolo'!$O$3:$Q$66,3,0))&gt;3,0,VLOOKUP($A54,'2.kolo'!$O$3:$Q$66,3,0)),VLOOKUP($A54,'2.kolo'!$L$3:$N$66,3,0))</f>
        <v>-2</v>
      </c>
      <c r="AS54" s="318">
        <f t="shared" ca="1" si="20"/>
        <v>0</v>
      </c>
      <c r="AT54" s="397">
        <v>11</v>
      </c>
      <c r="AU54" s="424" t="str">
        <f ca="1">IF(AT54="","",CONCATENATE(TEXT($O54,"0"),IF(Start.listina!$Y$5="","",TEXT(500+$P54,"000")),TEXT(999999*RAND(),"000000")))</f>
        <v>3074461</v>
      </c>
      <c r="AV54" s="318">
        <f t="shared" ca="1" si="29"/>
        <v>0</v>
      </c>
      <c r="AY54" s="318">
        <f ca="1">IF(TYPE(VLOOKUP($A54,'3.kolo'!$L$3:$L$66,1,0))&gt;3,IF(TYPE(VLOOKUP($A54,'3.kolo'!$K$3:$L$66,2,0))&gt;3,0,VLOOKUP($A54,'3.kolo'!$K$3:$L$66,2,0)),VLOOKUP($A54,'3.kolo'!$L$3:$O$66,4,0))</f>
        <v>47</v>
      </c>
      <c r="AZ54" s="318">
        <f ca="1">IF(TYPE(VLOOKUP($A54,'3.kolo'!$L$3:$L$66,1,0))&gt;3,IF(TYPE(VLOOKUP($A54,'3.kolo'!$O$3:$Q$66,2,0))&gt;3,0,VLOOKUP($A54,'3.kolo'!$O$3:$Q$66,2,0)),VLOOKUP($A54,'3.kolo'!$L$3:$N$66,2,0))</f>
        <v>1</v>
      </c>
      <c r="BA54" s="318">
        <f ca="1">IF(TYPE(VLOOKUP($A54,'3.kolo'!$L$3:$L$66,1,0))&gt;3,IF(TYPE(VLOOKUP($A54,'3.kolo'!$O$3:$Q$66,3,0))&gt;3,0,VLOOKUP($A54,'3.kolo'!$O$3:$Q$66,3,0)),VLOOKUP($A54,'3.kolo'!$L$3:$N$66,3,0))</f>
        <v>11</v>
      </c>
      <c r="BB54" s="318">
        <f t="shared" ca="1" si="21"/>
        <v>1</v>
      </c>
      <c r="BC54" s="397">
        <v>32</v>
      </c>
      <c r="BD54" s="424" t="str">
        <f ca="1">IF(BC54="","",CONCATENATE(TEXT($O54,"0"),IF(Start.listina!$Y$5="","",TEXT(500+$P54,"000")),TEXT(999999*RAND(),"000000")))</f>
        <v>3592502</v>
      </c>
      <c r="BE54" s="318">
        <f t="shared" ca="1" si="30"/>
        <v>0</v>
      </c>
      <c r="BH54" s="318">
        <f ca="1">IF(TYPE(VLOOKUP($A54,'4.kolo'!$L$3:$L$66,1,0))&gt;3,IF(TYPE(VLOOKUP($A54,'4.kolo'!$K$3:$L$66,2,0))&gt;3,0,VLOOKUP($A54,'4.kolo'!$K$3:$L$66,2,0)),VLOOKUP($A54,'4.kolo'!$L$3:$O$66,4,0))</f>
        <v>17</v>
      </c>
      <c r="BI54" s="318">
        <f ca="1">IF(TYPE(VLOOKUP($A54,'4.kolo'!$L$3:$L$66,1,0))&gt;3,IF(TYPE(VLOOKUP($A54,'4.kolo'!$O$3:$Q$66,2,0))&gt;3,0,VLOOKUP($A54,'4.kolo'!$O$3:$Q$66,2,0)),VLOOKUP($A54,'4.kolo'!$L$3:$N$66,2,0))</f>
        <v>1</v>
      </c>
      <c r="BJ54" s="318">
        <f ca="1">IF(TYPE(VLOOKUP($A54,'4.kolo'!$L$3:$L$66,1,0))&gt;3,IF(TYPE(VLOOKUP($A54,'4.kolo'!$O$3:$Q$66,3,0))&gt;3,0,VLOOKUP($A54,'4.kolo'!$O$3:$Q$66,3,0)),VLOOKUP($A54,'4.kolo'!$L$3:$N$66,3,0))</f>
        <v>8</v>
      </c>
      <c r="BK54" s="318">
        <f t="shared" ca="1" si="22"/>
        <v>1</v>
      </c>
      <c r="BL54" s="397">
        <v>30</v>
      </c>
      <c r="BM54" s="424" t="str">
        <f ca="1">IF(BL54="","",CONCATENATE(TEXT($O54,"0"),IF(Start.listina!$Y$5="","",TEXT(500+$P54,"000")),TEXT(999999*RAND(),"000000")))</f>
        <v>3931747</v>
      </c>
      <c r="BN54" s="318">
        <f t="shared" ca="1" si="31"/>
        <v>0</v>
      </c>
      <c r="BQ54" s="318">
        <f ca="1">IF(TYPE(VLOOKUP($A54,'5.kolo'!$L$3:$L$66,1,0))&gt;3,IF(TYPE(VLOOKUP($A54,'5.kolo'!$K$3:$L$66,2,0))&gt;3,0,VLOOKUP($A54,'5.kolo'!$K$3:$L$66,2,0)),VLOOKUP($A54,'5.kolo'!$L$3:$O$66,4,0))</f>
        <v>0</v>
      </c>
      <c r="BR54" s="318">
        <f ca="1">IF(TYPE(VLOOKUP($A54,'5.kolo'!$L$3:$L$66,1,0))&gt;3,IF(TYPE(VLOOKUP($A54,'5.kolo'!$O$3:$Q$66,2,0))&gt;3,0,VLOOKUP($A54,'5.kolo'!$O$3:$Q$66,2,0)),VLOOKUP($A54,'5.kolo'!$L$3:$N$66,2,0))</f>
        <v>0</v>
      </c>
      <c r="BS54" s="318">
        <f ca="1">IF(TYPE(VLOOKUP($A54,'5.kolo'!$L$3:$L$66,1,0))&gt;3,IF(TYPE(VLOOKUP($A54,'5.kolo'!$O$3:$Q$66,3,0))&gt;3,0,VLOOKUP($A54,'5.kolo'!$O$3:$Q$66,3,0)),VLOOKUP($A54,'5.kolo'!$L$3:$N$66,3,0))</f>
        <v>0</v>
      </c>
      <c r="BT54" s="318">
        <f t="shared" ca="1" si="23"/>
        <v>0</v>
      </c>
      <c r="BU54" s="397"/>
      <c r="BV54" s="424" t="str">
        <f ca="1">IF(BU54="","",CONCATENATE(TEXT($O54,"0"),IF(Start.listina!$Y$5="","",TEXT(500+$P54,"000")),TEXT(999999*RAND(),"000000")))</f>
        <v/>
      </c>
      <c r="BW54" s="318">
        <f t="shared" ca="1" si="32"/>
        <v>0</v>
      </c>
      <c r="BZ54" s="318">
        <f ca="1">IF(TYPE(VLOOKUP($A54,'6.kolo'!$L$3:$L$66,1,0))&gt;3,IF(TYPE(VLOOKUP($A54,'6.kolo'!$K$3:$L$66,2,0))&gt;3,0,VLOOKUP($A54,'6.kolo'!$K$3:$L$66,2,0)),VLOOKUP($A54,'6.kolo'!$L$3:$O$66,4,0))</f>
        <v>0</v>
      </c>
      <c r="CA54" s="318">
        <f ca="1">IF(TYPE(VLOOKUP($A54,'6.kolo'!$L$3:$L$66,1,0))&gt;3,IF(TYPE(VLOOKUP($A54,'6.kolo'!$O$3:$Q$66,2,0))&gt;3,0,VLOOKUP($A54,'6.kolo'!$O$3:$Q$66,2,0)),VLOOKUP($A54,'6.kolo'!$L$3:$N$66,2,0))</f>
        <v>0</v>
      </c>
      <c r="CB54" s="318">
        <f ca="1">IF(TYPE(VLOOKUP($A54,'6.kolo'!$L$3:$L$66,1,0))&gt;3,IF(TYPE(VLOOKUP($A54,'6.kolo'!$O$3:$Q$66,3,0))&gt;3,0,VLOOKUP($A54,'6.kolo'!$O$3:$Q$66,3,0)),VLOOKUP($A54,'6.kolo'!$L$3:$N$66,3,0))</f>
        <v>0</v>
      </c>
      <c r="CC54" s="318">
        <f t="shared" ca="1" si="24"/>
        <v>0</v>
      </c>
      <c r="CD54" s="397"/>
      <c r="CE54" s="424" t="str">
        <f ca="1">IF(CD54="","",CONCATENATE(TEXT($O54,"0"),IF(Start.listina!$Y$5="","",TEXT(500+$P54,"000")),TEXT(999999*RAND(),"000000")))</f>
        <v/>
      </c>
      <c r="CF54" s="318">
        <f t="shared" ca="1" si="33"/>
        <v>0</v>
      </c>
    </row>
    <row r="55" spans="1:84" x14ac:dyDescent="0.4">
      <c r="A55" s="318">
        <f ca="1">IF(OR(Start.listina!H63&gt;Start.listina!$K$7,Start.listina!G63=TRUE),"",Start.listina!H63)</f>
        <v>53</v>
      </c>
      <c r="B55" s="318">
        <f ca="1">IF($A55&gt;Start.listina!$K$7,"",INT(($A55-1)/Start.listina!$O$7)+1)</f>
        <v>2</v>
      </c>
      <c r="C55" s="421" t="str">
        <f ca="1">IF(OR(Start.listina!H63&gt;Start.listina!$K$7,Start.listina!G63=TRUE)," - ",Start.listina!AL63)</f>
        <v xml:space="preserve">53   - Lars Eriksen, Dánsko  </v>
      </c>
      <c r="D55" s="318">
        <f ca="1">IF(OR(A55&gt;Start.listina!$K$7,TYPE(VLOOKUP(A55,$V$3:$X$130,3,0))&gt;3),"",VLOOKUP(A55,$V$3:$X$130,3,0))</f>
        <v>30</v>
      </c>
      <c r="E55" s="422">
        <f ca="1">IF(A55&gt;Start.listina!$K$7,"",IF(MIN(F55:K55)&gt;Start.listina!$Y$4,D55,MIN(F55:K55)))</f>
        <v>30</v>
      </c>
      <c r="F55" s="318">
        <f ca="1">IF(TYPE(VLOOKUP(C55,Konečné_pořadí_1_16!$B$2:$D$17,3,0))&lt;4,VLOOKUP(C55,Konečné_pořadí_1_16!$B$2:$D$17,3,0),999)</f>
        <v>999</v>
      </c>
      <c r="G55" s="318">
        <f ca="1">IF(TYPE(VLOOKUP(C55,'KO64'!$D$4:$D$129,1,0))&lt;4,64,999)</f>
        <v>999</v>
      </c>
      <c r="H55" s="318">
        <f ca="1">IF(TYPE(VLOOKUP(C55,'KO32'!$D$4:$D$65,1,0))&lt;4,32,999)</f>
        <v>999</v>
      </c>
      <c r="I55" s="318">
        <f ca="1">IF(TYPE(VLOOKUP(C55,'KO16'!$D$4:$D$33,1,0))&lt;4,16,999)</f>
        <v>999</v>
      </c>
      <c r="J55" s="318">
        <f ca="1">IF(TYPE(VLOOKUP(C55,'KO8'!$D$4:$D$17,1,0))&lt;4,8,999)</f>
        <v>999</v>
      </c>
      <c r="K55" s="318">
        <f ca="1">IF(TYPE(VLOOKUP(C55,'KO4'!$D$4:$D$9,1,0))&lt;4,4,999)</f>
        <v>999</v>
      </c>
      <c r="M55" s="319">
        <v>53</v>
      </c>
      <c r="O55" s="318">
        <f t="shared" ca="1" si="8"/>
        <v>2</v>
      </c>
      <c r="P55" s="318">
        <f t="shared" ca="1" si="9"/>
        <v>0</v>
      </c>
      <c r="Q55" s="318">
        <f t="shared" ca="1" si="26"/>
        <v>8</v>
      </c>
      <c r="R55" s="318">
        <f t="shared" ca="1" si="27"/>
        <v>3</v>
      </c>
      <c r="S55" s="318">
        <f t="shared" ca="1" si="10"/>
        <v>30</v>
      </c>
      <c r="T55" s="318">
        <f t="shared" ca="1" si="11"/>
        <v>2</v>
      </c>
      <c r="U55" s="397">
        <f t="shared" si="25"/>
        <v>53</v>
      </c>
      <c r="V55" s="397">
        <v>26</v>
      </c>
      <c r="W55" s="423" t="str">
        <f ca="1">IF($V55="","",CONCATENATE(TEXT($O55,"0"),IF(Start.listina!$Y$5="","",TEXT(500+$P55,"0000")),IF(Start.listina!$Y$6="","",CHOOSE(Start.listina!$Y$7,TEXT($Q55,"00"),CONCATENATE(TEXT($Q55,"00"),TEXT($S55,"000")), TEXT($R55,"00"))),TEXT(500+$P55,"0000"),IF(Start.listina!$Y$8="","",TEXT($T55,"0")),TEXT(999999*RAND(),"000000")))</f>
        <v>2080300500382903</v>
      </c>
      <c r="X55" s="399">
        <f t="shared" si="12"/>
        <v>53</v>
      </c>
      <c r="Y55" s="397">
        <f t="shared" ca="1" si="28"/>
        <v>1</v>
      </c>
      <c r="Z55" s="318">
        <f t="shared" ca="1" si="13"/>
        <v>25</v>
      </c>
      <c r="AA55" s="318">
        <f t="shared" ca="1" si="14"/>
        <v>21</v>
      </c>
      <c r="AB55" s="318">
        <f t="shared" ca="1" si="15"/>
        <v>38</v>
      </c>
      <c r="AC55" s="318">
        <f t="shared" ca="1" si="16"/>
        <v>19</v>
      </c>
      <c r="AD55" s="318">
        <f t="shared" ca="1" si="17"/>
        <v>0</v>
      </c>
      <c r="AE55" s="318">
        <f t="shared" ca="1" si="18"/>
        <v>0</v>
      </c>
      <c r="AG55" s="318">
        <f ca="1">IF(TYPE(VLOOKUP($A55,'1.kolo'!$L$3:$L$66,1,0))&gt;3,VLOOKUP($A55,'1.kolo'!$K$3:$L$66,2,0),VLOOKUP($A55,'1.kolo'!$L$3:$O$66,4,0))</f>
        <v>25</v>
      </c>
      <c r="AH55" s="318">
        <f ca="1">IF(TYPE(VLOOKUP($A55,'1.kolo'!$L$3:$L$66,1,0))&gt;3,VLOOKUP($A55,'1.kolo'!$O$3:$Q$66,2,0),VLOOKUP($A55,'1.kolo'!$L$3:$N$66,2,0))</f>
        <v>1</v>
      </c>
      <c r="AI55" s="318">
        <f ca="1">IF(TYPE(VLOOKUP($A55,'1.kolo'!$L$3:$L$66,1,0))&gt;3,VLOOKUP($A55,'1.kolo'!$O$3:$Q$66,3,0),VLOOKUP($A55,'1.kolo'!$L$3:$N$66,3,0))</f>
        <v>7</v>
      </c>
      <c r="AJ55" s="318">
        <f t="shared" ca="1" si="19"/>
        <v>1</v>
      </c>
      <c r="AK55" s="318">
        <v>53</v>
      </c>
      <c r="AL55" s="424"/>
      <c r="AP55" s="318">
        <f ca="1">IF(TYPE(VLOOKUP($A55,'2.kolo'!$L$3:$L$66,1,0))&gt;3,IF(TYPE(VLOOKUP($A55,'2.kolo'!$K$3:$L$66,2,0))&gt;3,0,VLOOKUP($A55,'2.kolo'!$K$3:$L$66,2,0)),VLOOKUP($A55,'2.kolo'!$L$3:$O$66,4,0))</f>
        <v>21</v>
      </c>
      <c r="AQ55" s="318">
        <f ca="1">IF(TYPE(VLOOKUP($A55,'2.kolo'!$L$3:$L$66,1,0))&gt;3,IF(TYPE(VLOOKUP($A55,'2.kolo'!$O$3:$Q$66,2,0))&gt;3,0,VLOOKUP($A55,'2.kolo'!$O$3:$Q$66,2,0)),VLOOKUP($A55,'2.kolo'!$L$3:$N$66,2,0))</f>
        <v>0</v>
      </c>
      <c r="AR55" s="318">
        <f ca="1">IF(TYPE(VLOOKUP($A55,'2.kolo'!$L$3:$L$66,1,0))&gt;3,IF(TYPE(VLOOKUP($A55,'2.kolo'!$O$3:$Q$66,3,0))&gt;3,0,VLOOKUP($A55,'2.kolo'!$O$3:$Q$66,3,0)),VLOOKUP($A55,'2.kolo'!$L$3:$N$66,3,0))</f>
        <v>-3</v>
      </c>
      <c r="AS55" s="318">
        <f t="shared" ca="1" si="20"/>
        <v>0</v>
      </c>
      <c r="AT55" s="397">
        <v>37</v>
      </c>
      <c r="AU55" s="424" t="str">
        <f ca="1">IF(AT55="","",CONCATENATE(TEXT($O55,"0"),IF(Start.listina!$Y$5="","",TEXT(500+$P55,"000")),TEXT(999999*RAND(),"000000")))</f>
        <v>2753103</v>
      </c>
      <c r="AV55" s="318">
        <f t="shared" ca="1" si="29"/>
        <v>0</v>
      </c>
      <c r="AY55" s="318">
        <f ca="1">IF(TYPE(VLOOKUP($A55,'3.kolo'!$L$3:$L$66,1,0))&gt;3,IF(TYPE(VLOOKUP($A55,'3.kolo'!$K$3:$L$66,2,0))&gt;3,0,VLOOKUP($A55,'3.kolo'!$K$3:$L$66,2,0)),VLOOKUP($A55,'3.kolo'!$L$3:$O$66,4,0))</f>
        <v>38</v>
      </c>
      <c r="AZ55" s="318">
        <f ca="1">IF(TYPE(VLOOKUP($A55,'3.kolo'!$L$3:$L$66,1,0))&gt;3,IF(TYPE(VLOOKUP($A55,'3.kolo'!$O$3:$Q$66,2,0))&gt;3,0,VLOOKUP($A55,'3.kolo'!$O$3:$Q$66,2,0)),VLOOKUP($A55,'3.kolo'!$L$3:$N$66,2,0))</f>
        <v>0</v>
      </c>
      <c r="BA55" s="318">
        <f ca="1">IF(TYPE(VLOOKUP($A55,'3.kolo'!$L$3:$L$66,1,0))&gt;3,IF(TYPE(VLOOKUP($A55,'3.kolo'!$O$3:$Q$66,3,0))&gt;3,0,VLOOKUP($A55,'3.kolo'!$O$3:$Q$66,3,0)),VLOOKUP($A55,'3.kolo'!$L$3:$N$66,3,0))</f>
        <v>-5</v>
      </c>
      <c r="BB55" s="318">
        <f t="shared" ca="1" si="21"/>
        <v>0</v>
      </c>
      <c r="BC55" s="397">
        <v>55</v>
      </c>
      <c r="BD55" s="424" t="str">
        <f ca="1">IF(BC55="","",CONCATENATE(TEXT($O55,"0"),IF(Start.listina!$Y$5="","",TEXT(500+$P55,"000")),TEXT(999999*RAND(),"000000")))</f>
        <v>2209067</v>
      </c>
      <c r="BE55" s="318">
        <f t="shared" ca="1" si="30"/>
        <v>0</v>
      </c>
      <c r="BH55" s="318">
        <f ca="1">IF(TYPE(VLOOKUP($A55,'4.kolo'!$L$3:$L$66,1,0))&gt;3,IF(TYPE(VLOOKUP($A55,'4.kolo'!$K$3:$L$66,2,0))&gt;3,0,VLOOKUP($A55,'4.kolo'!$K$3:$L$66,2,0)),VLOOKUP($A55,'4.kolo'!$L$3:$O$66,4,0))</f>
        <v>19</v>
      </c>
      <c r="BI55" s="318">
        <f ca="1">IF(TYPE(VLOOKUP($A55,'4.kolo'!$L$3:$L$66,1,0))&gt;3,IF(TYPE(VLOOKUP($A55,'4.kolo'!$O$3:$Q$66,2,0))&gt;3,0,VLOOKUP($A55,'4.kolo'!$O$3:$Q$66,2,0)),VLOOKUP($A55,'4.kolo'!$L$3:$N$66,2,0))</f>
        <v>1</v>
      </c>
      <c r="BJ55" s="318">
        <f ca="1">IF(TYPE(VLOOKUP($A55,'4.kolo'!$L$3:$L$66,1,0))&gt;3,IF(TYPE(VLOOKUP($A55,'4.kolo'!$O$3:$Q$66,3,0))&gt;3,0,VLOOKUP($A55,'4.kolo'!$O$3:$Q$66,3,0)),VLOOKUP($A55,'4.kolo'!$L$3:$N$66,3,0))</f>
        <v>1</v>
      </c>
      <c r="BK55" s="318">
        <f t="shared" ca="1" si="22"/>
        <v>1</v>
      </c>
      <c r="BL55" s="397">
        <v>43</v>
      </c>
      <c r="BM55" s="424" t="str">
        <f ca="1">IF(BL55="","",CONCATENATE(TEXT($O55,"0"),IF(Start.listina!$Y$5="","",TEXT(500+$P55,"000")),TEXT(999999*RAND(),"000000")))</f>
        <v>2397075</v>
      </c>
      <c r="BN55" s="318">
        <f t="shared" ca="1" si="31"/>
        <v>0</v>
      </c>
      <c r="BQ55" s="318">
        <f ca="1">IF(TYPE(VLOOKUP($A55,'5.kolo'!$L$3:$L$66,1,0))&gt;3,IF(TYPE(VLOOKUP($A55,'5.kolo'!$K$3:$L$66,2,0))&gt;3,0,VLOOKUP($A55,'5.kolo'!$K$3:$L$66,2,0)),VLOOKUP($A55,'5.kolo'!$L$3:$O$66,4,0))</f>
        <v>0</v>
      </c>
      <c r="BR55" s="318">
        <f ca="1">IF(TYPE(VLOOKUP($A55,'5.kolo'!$L$3:$L$66,1,0))&gt;3,IF(TYPE(VLOOKUP($A55,'5.kolo'!$O$3:$Q$66,2,0))&gt;3,0,VLOOKUP($A55,'5.kolo'!$O$3:$Q$66,2,0)),VLOOKUP($A55,'5.kolo'!$L$3:$N$66,2,0))</f>
        <v>0</v>
      </c>
      <c r="BS55" s="318">
        <f ca="1">IF(TYPE(VLOOKUP($A55,'5.kolo'!$L$3:$L$66,1,0))&gt;3,IF(TYPE(VLOOKUP($A55,'5.kolo'!$O$3:$Q$66,3,0))&gt;3,0,VLOOKUP($A55,'5.kolo'!$O$3:$Q$66,3,0)),VLOOKUP($A55,'5.kolo'!$L$3:$N$66,3,0))</f>
        <v>0</v>
      </c>
      <c r="BT55" s="318">
        <f t="shared" ca="1" si="23"/>
        <v>0</v>
      </c>
      <c r="BU55" s="397"/>
      <c r="BV55" s="424" t="str">
        <f ca="1">IF(BU55="","",CONCATENATE(TEXT($O55,"0"),IF(Start.listina!$Y$5="","",TEXT(500+$P55,"000")),TEXT(999999*RAND(),"000000")))</f>
        <v/>
      </c>
      <c r="BW55" s="318">
        <f t="shared" ca="1" si="32"/>
        <v>0</v>
      </c>
      <c r="BZ55" s="318">
        <f ca="1">IF(TYPE(VLOOKUP($A55,'6.kolo'!$L$3:$L$66,1,0))&gt;3,IF(TYPE(VLOOKUP($A55,'6.kolo'!$K$3:$L$66,2,0))&gt;3,0,VLOOKUP($A55,'6.kolo'!$K$3:$L$66,2,0)),VLOOKUP($A55,'6.kolo'!$L$3:$O$66,4,0))</f>
        <v>0</v>
      </c>
      <c r="CA55" s="318">
        <f ca="1">IF(TYPE(VLOOKUP($A55,'6.kolo'!$L$3:$L$66,1,0))&gt;3,IF(TYPE(VLOOKUP($A55,'6.kolo'!$O$3:$Q$66,2,0))&gt;3,0,VLOOKUP($A55,'6.kolo'!$O$3:$Q$66,2,0)),VLOOKUP($A55,'6.kolo'!$L$3:$N$66,2,0))</f>
        <v>0</v>
      </c>
      <c r="CB55" s="318">
        <f ca="1">IF(TYPE(VLOOKUP($A55,'6.kolo'!$L$3:$L$66,1,0))&gt;3,IF(TYPE(VLOOKUP($A55,'6.kolo'!$O$3:$Q$66,3,0))&gt;3,0,VLOOKUP($A55,'6.kolo'!$O$3:$Q$66,3,0)),VLOOKUP($A55,'6.kolo'!$L$3:$N$66,3,0))</f>
        <v>0</v>
      </c>
      <c r="CC55" s="318">
        <f t="shared" ca="1" si="24"/>
        <v>0</v>
      </c>
      <c r="CD55" s="397"/>
      <c r="CE55" s="424" t="str">
        <f ca="1">IF(CD55="","",CONCATENATE(TEXT($O55,"0"),IF(Start.listina!$Y$5="","",TEXT(500+$P55,"000")),TEXT(999999*RAND(),"000000")))</f>
        <v/>
      </c>
      <c r="CF55" s="318">
        <f t="shared" ca="1" si="33"/>
        <v>0</v>
      </c>
    </row>
    <row r="56" spans="1:84" x14ac:dyDescent="0.4">
      <c r="A56" s="318">
        <f ca="1">IF(OR(Start.listina!H64&gt;Start.listina!$K$7,Start.listina!G64=TRUE),"",Start.listina!H64)</f>
        <v>54</v>
      </c>
      <c r="B56" s="318">
        <f ca="1">IF($A56&gt;Start.listina!$K$7,"",INT(($A56-1)/Start.listina!$O$7)+1)</f>
        <v>2</v>
      </c>
      <c r="C56" s="421" t="str">
        <f ca="1">IF(OR(Start.listina!H64&gt;Start.listina!$K$7,Start.listina!G64=TRUE)," - ",Start.listina!AL64)</f>
        <v xml:space="preserve">54   - Schwede Detlef, Chemnitz, Německo  </v>
      </c>
      <c r="D56" s="318">
        <f ca="1">IF(OR(A56&gt;Start.listina!$K$7,TYPE(VLOOKUP(A56,$V$3:$X$130,3,0))&gt;3),"",VLOOKUP(A56,$V$3:$X$130,3,0))</f>
        <v>26</v>
      </c>
      <c r="E56" s="422">
        <f ca="1">IF(A56&gt;Start.listina!$K$7,"",IF(MIN(F56:K56)&gt;Start.listina!$Y$4,D56,MIN(F56:K56)))</f>
        <v>26</v>
      </c>
      <c r="F56" s="318">
        <f ca="1">IF(TYPE(VLOOKUP(C56,Konečné_pořadí_1_16!$B$2:$D$17,3,0))&lt;4,VLOOKUP(C56,Konečné_pořadí_1_16!$B$2:$D$17,3,0),999)</f>
        <v>999</v>
      </c>
      <c r="G56" s="318">
        <f ca="1">IF(TYPE(VLOOKUP(C56,'KO64'!$D$4:$D$129,1,0))&lt;4,64,999)</f>
        <v>999</v>
      </c>
      <c r="H56" s="318">
        <f ca="1">IF(TYPE(VLOOKUP(C56,'KO32'!$D$4:$D$65,1,0))&lt;4,32,999)</f>
        <v>999</v>
      </c>
      <c r="I56" s="318">
        <f ca="1">IF(TYPE(VLOOKUP(C56,'KO16'!$D$4:$D$33,1,0))&lt;4,16,999)</f>
        <v>999</v>
      </c>
      <c r="J56" s="318">
        <f ca="1">IF(TYPE(VLOOKUP(C56,'KO8'!$D$4:$D$17,1,0))&lt;4,8,999)</f>
        <v>999</v>
      </c>
      <c r="K56" s="318">
        <f ca="1">IF(TYPE(VLOOKUP(C56,'KO4'!$D$4:$D$9,1,0))&lt;4,4,999)</f>
        <v>999</v>
      </c>
      <c r="M56" s="319">
        <v>54</v>
      </c>
      <c r="O56" s="318">
        <f t="shared" ca="1" si="8"/>
        <v>2</v>
      </c>
      <c r="P56" s="318">
        <f t="shared" ca="1" si="9"/>
        <v>-11</v>
      </c>
      <c r="Q56" s="318">
        <f t="shared" ca="1" si="26"/>
        <v>9</v>
      </c>
      <c r="R56" s="318">
        <f t="shared" ca="1" si="27"/>
        <v>2</v>
      </c>
      <c r="S56" s="318">
        <f t="shared" ca="1" si="10"/>
        <v>25</v>
      </c>
      <c r="T56" s="318">
        <f t="shared" ca="1" si="11"/>
        <v>2</v>
      </c>
      <c r="U56" s="397">
        <f t="shared" si="25"/>
        <v>54</v>
      </c>
      <c r="V56" s="397">
        <v>41</v>
      </c>
      <c r="W56" s="423" t="str">
        <f ca="1">IF($V56="","",CONCATENATE(TEXT($O56,"0"),IF(Start.listina!$Y$5="","",TEXT(500+$P56,"0000")),IF(Start.listina!$Y$6="","",CHOOSE(Start.listina!$Y$7,TEXT($Q56,"00"),CONCATENATE(TEXT($Q56,"00"),TEXT($S56,"000")), TEXT($R56,"00"))),TEXT(500+$P56,"0000"),IF(Start.listina!$Y$8="","",TEXT($T56,"0")),TEXT(999999*RAND(),"000000")))</f>
        <v>2090250489398848</v>
      </c>
      <c r="X56" s="399">
        <f t="shared" si="12"/>
        <v>54</v>
      </c>
      <c r="Y56" s="397">
        <f t="shared" ca="1" si="28"/>
        <v>1</v>
      </c>
      <c r="Z56" s="318">
        <f t="shared" ca="1" si="13"/>
        <v>26</v>
      </c>
      <c r="AA56" s="318">
        <f t="shared" ca="1" si="14"/>
        <v>33</v>
      </c>
      <c r="AB56" s="318">
        <f t="shared" ca="1" si="15"/>
        <v>7</v>
      </c>
      <c r="AC56" s="318">
        <f t="shared" ca="1" si="16"/>
        <v>15</v>
      </c>
      <c r="AD56" s="318">
        <f t="shared" ca="1" si="17"/>
        <v>0</v>
      </c>
      <c r="AE56" s="318">
        <f t="shared" ca="1" si="18"/>
        <v>0</v>
      </c>
      <c r="AG56" s="318">
        <f ca="1">IF(TYPE(VLOOKUP($A56,'1.kolo'!$L$3:$L$66,1,0))&gt;3,VLOOKUP($A56,'1.kolo'!$K$3:$L$66,2,0),VLOOKUP($A56,'1.kolo'!$L$3:$O$66,4,0))</f>
        <v>26</v>
      </c>
      <c r="AH56" s="318">
        <f ca="1">IF(TYPE(VLOOKUP($A56,'1.kolo'!$L$3:$L$66,1,0))&gt;3,VLOOKUP($A56,'1.kolo'!$O$3:$Q$66,2,0),VLOOKUP($A56,'1.kolo'!$L$3:$N$66,2,0))</f>
        <v>1</v>
      </c>
      <c r="AI56" s="318">
        <f ca="1">IF(TYPE(VLOOKUP($A56,'1.kolo'!$L$3:$L$66,1,0))&gt;3,VLOOKUP($A56,'1.kolo'!$O$3:$Q$66,3,0),VLOOKUP($A56,'1.kolo'!$L$3:$N$66,3,0))</f>
        <v>1</v>
      </c>
      <c r="AJ56" s="318">
        <f t="shared" ca="1" si="19"/>
        <v>1</v>
      </c>
      <c r="AK56" s="318">
        <v>54</v>
      </c>
      <c r="AL56" s="424"/>
      <c r="AP56" s="318">
        <f ca="1">IF(TYPE(VLOOKUP($A56,'2.kolo'!$L$3:$L$66,1,0))&gt;3,IF(TYPE(VLOOKUP($A56,'2.kolo'!$K$3:$L$66,2,0))&gt;3,0,VLOOKUP($A56,'2.kolo'!$K$3:$L$66,2,0)),VLOOKUP($A56,'2.kolo'!$L$3:$O$66,4,0))</f>
        <v>33</v>
      </c>
      <c r="AQ56" s="318">
        <f ca="1">IF(TYPE(VLOOKUP($A56,'2.kolo'!$L$3:$L$66,1,0))&gt;3,IF(TYPE(VLOOKUP($A56,'2.kolo'!$O$3:$Q$66,2,0))&gt;3,0,VLOOKUP($A56,'2.kolo'!$O$3:$Q$66,2,0)),VLOOKUP($A56,'2.kolo'!$L$3:$N$66,2,0))</f>
        <v>1</v>
      </c>
      <c r="AR56" s="318">
        <f ca="1">IF(TYPE(VLOOKUP($A56,'2.kolo'!$L$3:$L$66,1,0))&gt;3,IF(TYPE(VLOOKUP($A56,'2.kolo'!$O$3:$Q$66,3,0))&gt;3,0,VLOOKUP($A56,'2.kolo'!$O$3:$Q$66,3,0)),VLOOKUP($A56,'2.kolo'!$L$3:$N$66,3,0))</f>
        <v>5</v>
      </c>
      <c r="AS56" s="318">
        <f t="shared" ca="1" si="20"/>
        <v>1</v>
      </c>
      <c r="AT56" s="397">
        <v>46</v>
      </c>
      <c r="AU56" s="424" t="str">
        <f ca="1">IF(AT56="","",CONCATENATE(TEXT($O56,"0"),IF(Start.listina!$Y$5="","",TEXT(500+$P56,"000")),TEXT(999999*RAND(),"000000")))</f>
        <v>2614305</v>
      </c>
      <c r="AV56" s="318">
        <f t="shared" ca="1" si="29"/>
        <v>0</v>
      </c>
      <c r="AY56" s="318">
        <f ca="1">IF(TYPE(VLOOKUP($A56,'3.kolo'!$L$3:$L$66,1,0))&gt;3,IF(TYPE(VLOOKUP($A56,'3.kolo'!$K$3:$L$66,2,0))&gt;3,0,VLOOKUP($A56,'3.kolo'!$K$3:$L$66,2,0)),VLOOKUP($A56,'3.kolo'!$L$3:$O$66,4,0))</f>
        <v>7</v>
      </c>
      <c r="AZ56" s="318">
        <f ca="1">IF(TYPE(VLOOKUP($A56,'3.kolo'!$L$3:$L$66,1,0))&gt;3,IF(TYPE(VLOOKUP($A56,'3.kolo'!$O$3:$Q$66,2,0))&gt;3,0,VLOOKUP($A56,'3.kolo'!$O$3:$Q$66,2,0)),VLOOKUP($A56,'3.kolo'!$L$3:$N$66,2,0))</f>
        <v>0</v>
      </c>
      <c r="BA56" s="318">
        <f ca="1">IF(TYPE(VLOOKUP($A56,'3.kolo'!$L$3:$L$66,1,0))&gt;3,IF(TYPE(VLOOKUP($A56,'3.kolo'!$O$3:$Q$66,3,0))&gt;3,0,VLOOKUP($A56,'3.kolo'!$O$3:$Q$66,3,0)),VLOOKUP($A56,'3.kolo'!$L$3:$N$66,3,0))</f>
        <v>-8</v>
      </c>
      <c r="BB56" s="318">
        <f t="shared" ca="1" si="21"/>
        <v>0</v>
      </c>
      <c r="BC56" s="397">
        <v>43</v>
      </c>
      <c r="BD56" s="424" t="str">
        <f ca="1">IF(BC56="","",CONCATENATE(TEXT($O56,"0"),IF(Start.listina!$Y$5="","",TEXT(500+$P56,"000")),TEXT(999999*RAND(),"000000")))</f>
        <v>2402142</v>
      </c>
      <c r="BE56" s="318">
        <f t="shared" ca="1" si="30"/>
        <v>0</v>
      </c>
      <c r="BH56" s="318">
        <f ca="1">IF(TYPE(VLOOKUP($A56,'4.kolo'!$L$3:$L$66,1,0))&gt;3,IF(TYPE(VLOOKUP($A56,'4.kolo'!$K$3:$L$66,2,0))&gt;3,0,VLOOKUP($A56,'4.kolo'!$K$3:$L$66,2,0)),VLOOKUP($A56,'4.kolo'!$L$3:$O$66,4,0))</f>
        <v>15</v>
      </c>
      <c r="BI56" s="318">
        <f ca="1">IF(TYPE(VLOOKUP($A56,'4.kolo'!$L$3:$L$66,1,0))&gt;3,IF(TYPE(VLOOKUP($A56,'4.kolo'!$O$3:$Q$66,2,0))&gt;3,0,VLOOKUP($A56,'4.kolo'!$O$3:$Q$66,2,0)),VLOOKUP($A56,'4.kolo'!$L$3:$N$66,2,0))</f>
        <v>0</v>
      </c>
      <c r="BJ56" s="318">
        <f ca="1">IF(TYPE(VLOOKUP($A56,'4.kolo'!$L$3:$L$66,1,0))&gt;3,IF(TYPE(VLOOKUP($A56,'4.kolo'!$O$3:$Q$66,3,0))&gt;3,0,VLOOKUP($A56,'4.kolo'!$O$3:$Q$66,3,0)),VLOOKUP($A56,'4.kolo'!$L$3:$N$66,3,0))</f>
        <v>-9</v>
      </c>
      <c r="BK56" s="318">
        <f t="shared" ca="1" si="22"/>
        <v>0</v>
      </c>
      <c r="BL56" s="397">
        <v>31</v>
      </c>
      <c r="BM56" s="424" t="str">
        <f ca="1">IF(BL56="","",CONCATENATE(TEXT($O56,"0"),IF(Start.listina!$Y$5="","",TEXT(500+$P56,"000")),TEXT(999999*RAND(),"000000")))</f>
        <v>2775943</v>
      </c>
      <c r="BN56" s="318">
        <f t="shared" ca="1" si="31"/>
        <v>0</v>
      </c>
      <c r="BQ56" s="318">
        <f ca="1">IF(TYPE(VLOOKUP($A56,'5.kolo'!$L$3:$L$66,1,0))&gt;3,IF(TYPE(VLOOKUP($A56,'5.kolo'!$K$3:$L$66,2,0))&gt;3,0,VLOOKUP($A56,'5.kolo'!$K$3:$L$66,2,0)),VLOOKUP($A56,'5.kolo'!$L$3:$O$66,4,0))</f>
        <v>0</v>
      </c>
      <c r="BR56" s="318">
        <f ca="1">IF(TYPE(VLOOKUP($A56,'5.kolo'!$L$3:$L$66,1,0))&gt;3,IF(TYPE(VLOOKUP($A56,'5.kolo'!$O$3:$Q$66,2,0))&gt;3,0,VLOOKUP($A56,'5.kolo'!$O$3:$Q$66,2,0)),VLOOKUP($A56,'5.kolo'!$L$3:$N$66,2,0))</f>
        <v>0</v>
      </c>
      <c r="BS56" s="318">
        <f ca="1">IF(TYPE(VLOOKUP($A56,'5.kolo'!$L$3:$L$66,1,0))&gt;3,IF(TYPE(VLOOKUP($A56,'5.kolo'!$O$3:$Q$66,3,0))&gt;3,0,VLOOKUP($A56,'5.kolo'!$O$3:$Q$66,3,0)),VLOOKUP($A56,'5.kolo'!$L$3:$N$66,3,0))</f>
        <v>0</v>
      </c>
      <c r="BT56" s="318">
        <f t="shared" ca="1" si="23"/>
        <v>0</v>
      </c>
      <c r="BU56" s="397"/>
      <c r="BV56" s="424" t="str">
        <f ca="1">IF(BU56="","",CONCATENATE(TEXT($O56,"0"),IF(Start.listina!$Y$5="","",TEXT(500+$P56,"000")),TEXT(999999*RAND(),"000000")))</f>
        <v/>
      </c>
      <c r="BW56" s="318">
        <f t="shared" ca="1" si="32"/>
        <v>0</v>
      </c>
      <c r="BZ56" s="318">
        <f ca="1">IF(TYPE(VLOOKUP($A56,'6.kolo'!$L$3:$L$66,1,0))&gt;3,IF(TYPE(VLOOKUP($A56,'6.kolo'!$K$3:$L$66,2,0))&gt;3,0,VLOOKUP($A56,'6.kolo'!$K$3:$L$66,2,0)),VLOOKUP($A56,'6.kolo'!$L$3:$O$66,4,0))</f>
        <v>0</v>
      </c>
      <c r="CA56" s="318">
        <f ca="1">IF(TYPE(VLOOKUP($A56,'6.kolo'!$L$3:$L$66,1,0))&gt;3,IF(TYPE(VLOOKUP($A56,'6.kolo'!$O$3:$Q$66,2,0))&gt;3,0,VLOOKUP($A56,'6.kolo'!$O$3:$Q$66,2,0)),VLOOKUP($A56,'6.kolo'!$L$3:$N$66,2,0))</f>
        <v>0</v>
      </c>
      <c r="CB56" s="318">
        <f ca="1">IF(TYPE(VLOOKUP($A56,'6.kolo'!$L$3:$L$66,1,0))&gt;3,IF(TYPE(VLOOKUP($A56,'6.kolo'!$O$3:$Q$66,3,0))&gt;3,0,VLOOKUP($A56,'6.kolo'!$O$3:$Q$66,3,0)),VLOOKUP($A56,'6.kolo'!$L$3:$N$66,3,0))</f>
        <v>0</v>
      </c>
      <c r="CC56" s="318">
        <f t="shared" ca="1" si="24"/>
        <v>0</v>
      </c>
      <c r="CD56" s="397"/>
      <c r="CE56" s="424" t="str">
        <f ca="1">IF(CD56="","",CONCATENATE(TEXT($O56,"0"),IF(Start.listina!$Y$5="","",TEXT(500+$P56,"000")),TEXT(999999*RAND(),"000000")))</f>
        <v/>
      </c>
      <c r="CF56" s="318">
        <f t="shared" ca="1" si="33"/>
        <v>0</v>
      </c>
    </row>
    <row r="57" spans="1:84" x14ac:dyDescent="0.4">
      <c r="A57" s="318">
        <f ca="1">IF(OR(Start.listina!H65&gt;Start.listina!$K$7,Start.listina!G65=TRUE),"",Start.listina!H65)</f>
        <v>55</v>
      </c>
      <c r="B57" s="318">
        <f ca="1">IF($A57&gt;Start.listina!$K$7,"",INT(($A57-1)/Start.listina!$O$7)+1)</f>
        <v>2</v>
      </c>
      <c r="C57" s="421" t="str">
        <f ca="1">IF(OR(Start.listina!H65&gt;Start.listina!$K$7,Start.listina!G65=TRUE)," - ",Start.listina!AL65)</f>
        <v xml:space="preserve">55   - Bjarne, Dánsko  </v>
      </c>
      <c r="D57" s="318">
        <f ca="1">IF(OR(A57&gt;Start.listina!$K$7,TYPE(VLOOKUP(A57,$V$3:$X$130,3,0))&gt;3),"",VLOOKUP(A57,$V$3:$X$130,3,0))</f>
        <v>50</v>
      </c>
      <c r="E57" s="422">
        <f ca="1">IF(A57&gt;Start.listina!$K$7,"",IF(MIN(F57:K57)&gt;Start.listina!$Y$4,D57,MIN(F57:K57)))</f>
        <v>50</v>
      </c>
      <c r="F57" s="318">
        <f ca="1">IF(TYPE(VLOOKUP(C57,Konečné_pořadí_1_16!$B$2:$D$17,3,0))&lt;4,VLOOKUP(C57,Konečné_pořadí_1_16!$B$2:$D$17,3,0),999)</f>
        <v>999</v>
      </c>
      <c r="G57" s="318">
        <f ca="1">IF(TYPE(VLOOKUP(C57,'KO64'!$D$4:$D$129,1,0))&lt;4,64,999)</f>
        <v>999</v>
      </c>
      <c r="H57" s="318">
        <f ca="1">IF(TYPE(VLOOKUP(C57,'KO32'!$D$4:$D$65,1,0))&lt;4,32,999)</f>
        <v>999</v>
      </c>
      <c r="I57" s="318">
        <f ca="1">IF(TYPE(VLOOKUP(C57,'KO16'!$D$4:$D$33,1,0))&lt;4,16,999)</f>
        <v>999</v>
      </c>
      <c r="J57" s="318">
        <f ca="1">IF(TYPE(VLOOKUP(C57,'KO8'!$D$4:$D$17,1,0))&lt;4,8,999)</f>
        <v>999</v>
      </c>
      <c r="K57" s="318">
        <f ca="1">IF(TYPE(VLOOKUP(C57,'KO4'!$D$4:$D$9,1,0))&lt;4,4,999)</f>
        <v>999</v>
      </c>
      <c r="M57" s="319">
        <v>55</v>
      </c>
      <c r="O57" s="318">
        <f t="shared" ca="1" si="8"/>
        <v>1</v>
      </c>
      <c r="P57" s="318">
        <f t="shared" ca="1" si="9"/>
        <v>-9</v>
      </c>
      <c r="Q57" s="318">
        <f t="shared" ca="1" si="26"/>
        <v>6</v>
      </c>
      <c r="R57" s="318">
        <f t="shared" ca="1" si="27"/>
        <v>0</v>
      </c>
      <c r="S57" s="318">
        <f t="shared" ca="1" si="10"/>
        <v>30</v>
      </c>
      <c r="T57" s="318">
        <f t="shared" ca="1" si="11"/>
        <v>1</v>
      </c>
      <c r="U57" s="397">
        <f t="shared" si="25"/>
        <v>55</v>
      </c>
      <c r="V57" s="397">
        <v>30</v>
      </c>
      <c r="W57" s="423" t="str">
        <f ca="1">IF($V57="","",CONCATENATE(TEXT($O57,"0"),IF(Start.listina!$Y$5="","",TEXT(500+$P57,"0000")),IF(Start.listina!$Y$6="","",CHOOSE(Start.listina!$Y$7,TEXT($Q57,"00"),CONCATENATE(TEXT($Q57,"00"),TEXT($S57,"000")), TEXT($R57,"00"))),TEXT(500+$P57,"0000"),IF(Start.listina!$Y$8="","",TEXT($T57,"0")),TEXT(999999*RAND(),"000000")))</f>
        <v>1060300491806703</v>
      </c>
      <c r="X57" s="399">
        <f t="shared" si="12"/>
        <v>55</v>
      </c>
      <c r="Y57" s="397">
        <f t="shared" ca="1" si="28"/>
        <v>0</v>
      </c>
      <c r="Z57" s="318">
        <f t="shared" ca="1" si="13"/>
        <v>27</v>
      </c>
      <c r="AA57" s="318">
        <f t="shared" ca="1" si="14"/>
        <v>25</v>
      </c>
      <c r="AB57" s="318">
        <f t="shared" ca="1" si="15"/>
        <v>43</v>
      </c>
      <c r="AC57" s="318">
        <f t="shared" ca="1" si="16"/>
        <v>6</v>
      </c>
      <c r="AD57" s="318">
        <f t="shared" ca="1" si="17"/>
        <v>0</v>
      </c>
      <c r="AE57" s="318">
        <f t="shared" ca="1" si="18"/>
        <v>0</v>
      </c>
      <c r="AG57" s="318">
        <f ca="1">IF(TYPE(VLOOKUP($A57,'1.kolo'!$L$3:$L$66,1,0))&gt;3,VLOOKUP($A57,'1.kolo'!$K$3:$L$66,2,0),VLOOKUP($A57,'1.kolo'!$L$3:$O$66,4,0))</f>
        <v>27</v>
      </c>
      <c r="AH57" s="318">
        <f ca="1">IF(TYPE(VLOOKUP($A57,'1.kolo'!$L$3:$L$66,1,0))&gt;3,VLOOKUP($A57,'1.kolo'!$O$3:$Q$66,2,0),VLOOKUP($A57,'1.kolo'!$L$3:$N$66,2,0))</f>
        <v>0</v>
      </c>
      <c r="AI57" s="318">
        <f ca="1">IF(TYPE(VLOOKUP($A57,'1.kolo'!$L$3:$L$66,1,0))&gt;3,VLOOKUP($A57,'1.kolo'!$O$3:$Q$66,3,0),VLOOKUP($A57,'1.kolo'!$L$3:$N$66,3,0))</f>
        <v>-3</v>
      </c>
      <c r="AJ57" s="318">
        <f t="shared" ca="1" si="19"/>
        <v>0</v>
      </c>
      <c r="AK57" s="318">
        <v>55</v>
      </c>
      <c r="AL57" s="424"/>
      <c r="AP57" s="318">
        <f ca="1">IF(TYPE(VLOOKUP($A57,'2.kolo'!$L$3:$L$66,1,0))&gt;3,IF(TYPE(VLOOKUP($A57,'2.kolo'!$K$3:$L$66,2,0))&gt;3,0,VLOOKUP($A57,'2.kolo'!$K$3:$L$66,2,0)),VLOOKUP($A57,'2.kolo'!$L$3:$O$66,4,0))</f>
        <v>25</v>
      </c>
      <c r="AQ57" s="318">
        <f ca="1">IF(TYPE(VLOOKUP($A57,'2.kolo'!$L$3:$L$66,1,0))&gt;3,IF(TYPE(VLOOKUP($A57,'2.kolo'!$O$3:$Q$66,2,0))&gt;3,0,VLOOKUP($A57,'2.kolo'!$O$3:$Q$66,2,0)),VLOOKUP($A57,'2.kolo'!$L$3:$N$66,2,0))</f>
        <v>0</v>
      </c>
      <c r="AR57" s="318">
        <f ca="1">IF(TYPE(VLOOKUP($A57,'2.kolo'!$L$3:$L$66,1,0))&gt;3,IF(TYPE(VLOOKUP($A57,'2.kolo'!$O$3:$Q$66,3,0))&gt;3,0,VLOOKUP($A57,'2.kolo'!$O$3:$Q$66,3,0)),VLOOKUP($A57,'2.kolo'!$L$3:$N$66,3,0))</f>
        <v>-8</v>
      </c>
      <c r="AS57" s="318">
        <f t="shared" ca="1" si="20"/>
        <v>0</v>
      </c>
      <c r="AT57" s="397">
        <v>51</v>
      </c>
      <c r="AU57" s="424" t="str">
        <f ca="1">IF(AT57="","",CONCATENATE(TEXT($O57,"0"),IF(Start.listina!$Y$5="","",TEXT(500+$P57,"000")),TEXT(999999*RAND(),"000000")))</f>
        <v>1370689</v>
      </c>
      <c r="AV57" s="318">
        <f t="shared" ca="1" si="29"/>
        <v>0</v>
      </c>
      <c r="AY57" s="318">
        <f ca="1">IF(TYPE(VLOOKUP($A57,'3.kolo'!$L$3:$L$66,1,0))&gt;3,IF(TYPE(VLOOKUP($A57,'3.kolo'!$K$3:$L$66,2,0))&gt;3,0,VLOOKUP($A57,'3.kolo'!$K$3:$L$66,2,0)),VLOOKUP($A57,'3.kolo'!$L$3:$O$66,4,0))</f>
        <v>43</v>
      </c>
      <c r="AZ57" s="318">
        <f ca="1">IF(TYPE(VLOOKUP($A57,'3.kolo'!$L$3:$L$66,1,0))&gt;3,IF(TYPE(VLOOKUP($A57,'3.kolo'!$O$3:$Q$66,2,0))&gt;3,0,VLOOKUP($A57,'3.kolo'!$O$3:$Q$66,2,0)),VLOOKUP($A57,'3.kolo'!$L$3:$N$66,2,0))</f>
        <v>1</v>
      </c>
      <c r="BA57" s="318">
        <f ca="1">IF(TYPE(VLOOKUP($A57,'3.kolo'!$L$3:$L$66,1,0))&gt;3,IF(TYPE(VLOOKUP($A57,'3.kolo'!$O$3:$Q$66,3,0))&gt;3,0,VLOOKUP($A57,'3.kolo'!$O$3:$Q$66,3,0)),VLOOKUP($A57,'3.kolo'!$L$3:$N$66,3,0))</f>
        <v>9</v>
      </c>
      <c r="BB57" s="318">
        <f t="shared" ca="1" si="21"/>
        <v>1</v>
      </c>
      <c r="BC57" s="397">
        <v>48</v>
      </c>
      <c r="BD57" s="424" t="str">
        <f ca="1">IF(BC57="","",CONCATENATE(TEXT($O57,"0"),IF(Start.listina!$Y$5="","",TEXT(500+$P57,"000")),TEXT(999999*RAND(),"000000")))</f>
        <v>1689833</v>
      </c>
      <c r="BE57" s="318">
        <f t="shared" ca="1" si="30"/>
        <v>0</v>
      </c>
      <c r="BH57" s="318">
        <f ca="1">IF(TYPE(VLOOKUP($A57,'4.kolo'!$L$3:$L$66,1,0))&gt;3,IF(TYPE(VLOOKUP($A57,'4.kolo'!$K$3:$L$66,2,0))&gt;3,0,VLOOKUP($A57,'4.kolo'!$K$3:$L$66,2,0)),VLOOKUP($A57,'4.kolo'!$L$3:$O$66,4,0))</f>
        <v>6</v>
      </c>
      <c r="BI57" s="318">
        <f ca="1">IF(TYPE(VLOOKUP($A57,'4.kolo'!$L$3:$L$66,1,0))&gt;3,IF(TYPE(VLOOKUP($A57,'4.kolo'!$O$3:$Q$66,2,0))&gt;3,0,VLOOKUP($A57,'4.kolo'!$O$3:$Q$66,2,0)),VLOOKUP($A57,'4.kolo'!$L$3:$N$66,2,0))</f>
        <v>0</v>
      </c>
      <c r="BJ57" s="318">
        <f ca="1">IF(TYPE(VLOOKUP($A57,'4.kolo'!$L$3:$L$66,1,0))&gt;3,IF(TYPE(VLOOKUP($A57,'4.kolo'!$O$3:$Q$66,3,0))&gt;3,0,VLOOKUP($A57,'4.kolo'!$O$3:$Q$66,3,0)),VLOOKUP($A57,'4.kolo'!$L$3:$N$66,3,0))</f>
        <v>-7</v>
      </c>
      <c r="BK57" s="318">
        <f t="shared" ca="1" si="22"/>
        <v>0</v>
      </c>
      <c r="BL57" s="397">
        <v>48</v>
      </c>
      <c r="BM57" s="424" t="str">
        <f ca="1">IF(BL57="","",CONCATENATE(TEXT($O57,"0"),IF(Start.listina!$Y$5="","",TEXT(500+$P57,"000")),TEXT(999999*RAND(),"000000")))</f>
        <v>1336198</v>
      </c>
      <c r="BN57" s="318">
        <f t="shared" ca="1" si="31"/>
        <v>0</v>
      </c>
      <c r="BQ57" s="318">
        <f ca="1">IF(TYPE(VLOOKUP($A57,'5.kolo'!$L$3:$L$66,1,0))&gt;3,IF(TYPE(VLOOKUP($A57,'5.kolo'!$K$3:$L$66,2,0))&gt;3,0,VLOOKUP($A57,'5.kolo'!$K$3:$L$66,2,0)),VLOOKUP($A57,'5.kolo'!$L$3:$O$66,4,0))</f>
        <v>0</v>
      </c>
      <c r="BR57" s="318">
        <f ca="1">IF(TYPE(VLOOKUP($A57,'5.kolo'!$L$3:$L$66,1,0))&gt;3,IF(TYPE(VLOOKUP($A57,'5.kolo'!$O$3:$Q$66,2,0))&gt;3,0,VLOOKUP($A57,'5.kolo'!$O$3:$Q$66,2,0)),VLOOKUP($A57,'5.kolo'!$L$3:$N$66,2,0))</f>
        <v>0</v>
      </c>
      <c r="BS57" s="318">
        <f ca="1">IF(TYPE(VLOOKUP($A57,'5.kolo'!$L$3:$L$66,1,0))&gt;3,IF(TYPE(VLOOKUP($A57,'5.kolo'!$O$3:$Q$66,3,0))&gt;3,0,VLOOKUP($A57,'5.kolo'!$O$3:$Q$66,3,0)),VLOOKUP($A57,'5.kolo'!$L$3:$N$66,3,0))</f>
        <v>0</v>
      </c>
      <c r="BT57" s="318">
        <f t="shared" ca="1" si="23"/>
        <v>0</v>
      </c>
      <c r="BU57" s="397"/>
      <c r="BV57" s="424" t="str">
        <f ca="1">IF(BU57="","",CONCATENATE(TEXT($O57,"0"),IF(Start.listina!$Y$5="","",TEXT(500+$P57,"000")),TEXT(999999*RAND(),"000000")))</f>
        <v/>
      </c>
      <c r="BW57" s="318">
        <f t="shared" ca="1" si="32"/>
        <v>0</v>
      </c>
      <c r="BZ57" s="318">
        <f ca="1">IF(TYPE(VLOOKUP($A57,'6.kolo'!$L$3:$L$66,1,0))&gt;3,IF(TYPE(VLOOKUP($A57,'6.kolo'!$K$3:$L$66,2,0))&gt;3,0,VLOOKUP($A57,'6.kolo'!$K$3:$L$66,2,0)),VLOOKUP($A57,'6.kolo'!$L$3:$O$66,4,0))</f>
        <v>0</v>
      </c>
      <c r="CA57" s="318">
        <f ca="1">IF(TYPE(VLOOKUP($A57,'6.kolo'!$L$3:$L$66,1,0))&gt;3,IF(TYPE(VLOOKUP($A57,'6.kolo'!$O$3:$Q$66,2,0))&gt;3,0,VLOOKUP($A57,'6.kolo'!$O$3:$Q$66,2,0)),VLOOKUP($A57,'6.kolo'!$L$3:$N$66,2,0))</f>
        <v>0</v>
      </c>
      <c r="CB57" s="318">
        <f ca="1">IF(TYPE(VLOOKUP($A57,'6.kolo'!$L$3:$L$66,1,0))&gt;3,IF(TYPE(VLOOKUP($A57,'6.kolo'!$O$3:$Q$66,3,0))&gt;3,0,VLOOKUP($A57,'6.kolo'!$O$3:$Q$66,3,0)),VLOOKUP($A57,'6.kolo'!$L$3:$N$66,3,0))</f>
        <v>0</v>
      </c>
      <c r="CC57" s="318">
        <f t="shared" ca="1" si="24"/>
        <v>0</v>
      </c>
      <c r="CD57" s="397"/>
      <c r="CE57" s="424" t="str">
        <f ca="1">IF(CD57="","",CONCATENATE(TEXT($O57,"0"),IF(Start.listina!$Y$5="","",TEXT(500+$P57,"000")),TEXT(999999*RAND(),"000000")))</f>
        <v/>
      </c>
      <c r="CF57" s="318">
        <f t="shared" ca="1" si="33"/>
        <v>0</v>
      </c>
    </row>
    <row r="58" spans="1:84" x14ac:dyDescent="0.4">
      <c r="A58" s="318">
        <f ca="1">IF(OR(Start.listina!H66&gt;Start.listina!$K$7,Start.listina!G66=TRUE),"",Start.listina!H66)</f>
        <v>56</v>
      </c>
      <c r="B58" s="318">
        <f ca="1">IF($A58&gt;Start.listina!$K$7,"",INT(($A58-1)/Start.listina!$O$7)+1)</f>
        <v>2</v>
      </c>
      <c r="C58" s="421" t="str">
        <f ca="1">IF(OR(Start.listina!H66&gt;Start.listina!$K$7,Start.listina!G66=TRUE)," - ",Start.listina!AL66)</f>
        <v xml:space="preserve">56   - Lohss, Hartmut, Německo  </v>
      </c>
      <c r="D58" s="318">
        <f ca="1">IF(OR(A58&gt;Start.listina!$K$7,TYPE(VLOOKUP(A58,$V$3:$X$130,3,0))&gt;3),"",VLOOKUP(A58,$V$3:$X$130,3,0))</f>
        <v>18</v>
      </c>
      <c r="E58" s="422">
        <f ca="1">IF(A58&gt;Start.listina!$K$7,"",IF(MIN(F58:K58)&gt;Start.listina!$Y$4,D58,MIN(F58:K58)))</f>
        <v>18</v>
      </c>
      <c r="F58" s="318">
        <f ca="1">IF(TYPE(VLOOKUP(C58,Konečné_pořadí_1_16!$B$2:$D$17,3,0))&lt;4,VLOOKUP(C58,Konečné_pořadí_1_16!$B$2:$D$17,3,0),999)</f>
        <v>999</v>
      </c>
      <c r="G58" s="318">
        <f ca="1">IF(TYPE(VLOOKUP(C58,'KO64'!$D$4:$D$129,1,0))&lt;4,64,999)</f>
        <v>999</v>
      </c>
      <c r="H58" s="318">
        <f ca="1">IF(TYPE(VLOOKUP(C58,'KO32'!$D$4:$D$65,1,0))&lt;4,32,999)</f>
        <v>999</v>
      </c>
      <c r="I58" s="318">
        <f ca="1">IF(TYPE(VLOOKUP(C58,'KO16'!$D$4:$D$33,1,0))&lt;4,16,999)</f>
        <v>999</v>
      </c>
      <c r="J58" s="318">
        <f ca="1">IF(TYPE(VLOOKUP(C58,'KO8'!$D$4:$D$17,1,0))&lt;4,8,999)</f>
        <v>999</v>
      </c>
      <c r="K58" s="318">
        <f ca="1">IF(TYPE(VLOOKUP(C58,'KO4'!$D$4:$D$9,1,0))&lt;4,4,999)</f>
        <v>999</v>
      </c>
      <c r="M58" s="319">
        <v>56</v>
      </c>
      <c r="O58" s="318">
        <f t="shared" ca="1" si="8"/>
        <v>3</v>
      </c>
      <c r="P58" s="318">
        <f t="shared" ca="1" si="9"/>
        <v>14</v>
      </c>
      <c r="Q58" s="318">
        <f t="shared" ca="1" si="26"/>
        <v>6</v>
      </c>
      <c r="R58" s="318">
        <f t="shared" ca="1" si="27"/>
        <v>3</v>
      </c>
      <c r="S58" s="318">
        <f t="shared" ca="1" si="10"/>
        <v>39</v>
      </c>
      <c r="T58" s="318">
        <f t="shared" ca="1" si="11"/>
        <v>3</v>
      </c>
      <c r="U58" s="397">
        <f t="shared" si="25"/>
        <v>56</v>
      </c>
      <c r="V58" s="397">
        <v>43</v>
      </c>
      <c r="W58" s="423" t="str">
        <f ca="1">IF($V58="","",CONCATENATE(TEXT($O58,"0"),IF(Start.listina!$Y$5="","",TEXT(500+$P58,"0000")),IF(Start.listina!$Y$6="","",CHOOSE(Start.listina!$Y$7,TEXT($Q58,"00"),CONCATENATE(TEXT($Q58,"00"),TEXT($S58,"000")), TEXT($R58,"00"))),TEXT(500+$P58,"0000"),IF(Start.listina!$Y$8="","",TEXT($T58,"0")),TEXT(999999*RAND(),"000000")))</f>
        <v>3060390514752445</v>
      </c>
      <c r="X58" s="399">
        <f t="shared" si="12"/>
        <v>56</v>
      </c>
      <c r="Y58" s="397">
        <f t="shared" ca="1" si="28"/>
        <v>0</v>
      </c>
      <c r="Z58" s="318">
        <f t="shared" ca="1" si="13"/>
        <v>28</v>
      </c>
      <c r="AA58" s="318">
        <f t="shared" ca="1" si="14"/>
        <v>43</v>
      </c>
      <c r="AB58" s="318">
        <f t="shared" ca="1" si="15"/>
        <v>13</v>
      </c>
      <c r="AC58" s="318">
        <f t="shared" ca="1" si="16"/>
        <v>39</v>
      </c>
      <c r="AD58" s="318">
        <f t="shared" ca="1" si="17"/>
        <v>0</v>
      </c>
      <c r="AE58" s="318">
        <f t="shared" ca="1" si="18"/>
        <v>0</v>
      </c>
      <c r="AG58" s="318">
        <f ca="1">IF(TYPE(VLOOKUP($A58,'1.kolo'!$L$3:$L$66,1,0))&gt;3,VLOOKUP($A58,'1.kolo'!$K$3:$L$66,2,0),VLOOKUP($A58,'1.kolo'!$L$3:$O$66,4,0))</f>
        <v>28</v>
      </c>
      <c r="AH58" s="318">
        <f ca="1">IF(TYPE(VLOOKUP($A58,'1.kolo'!$L$3:$L$66,1,0))&gt;3,VLOOKUP($A58,'1.kolo'!$O$3:$Q$66,2,0),VLOOKUP($A58,'1.kolo'!$L$3:$N$66,2,0))</f>
        <v>0</v>
      </c>
      <c r="AI58" s="318">
        <f ca="1">IF(TYPE(VLOOKUP($A58,'1.kolo'!$L$3:$L$66,1,0))&gt;3,VLOOKUP($A58,'1.kolo'!$O$3:$Q$66,3,0),VLOOKUP($A58,'1.kolo'!$L$3:$N$66,3,0))</f>
        <v>-5</v>
      </c>
      <c r="AJ58" s="318">
        <f t="shared" ca="1" si="19"/>
        <v>0</v>
      </c>
      <c r="AK58" s="318">
        <v>56</v>
      </c>
      <c r="AL58" s="424"/>
      <c r="AP58" s="318">
        <f ca="1">IF(TYPE(VLOOKUP($A58,'2.kolo'!$L$3:$L$66,1,0))&gt;3,IF(TYPE(VLOOKUP($A58,'2.kolo'!$K$3:$L$66,2,0))&gt;3,0,VLOOKUP($A58,'2.kolo'!$K$3:$L$66,2,0)),VLOOKUP($A58,'2.kolo'!$L$3:$O$66,4,0))</f>
        <v>43</v>
      </c>
      <c r="AQ58" s="318">
        <f ca="1">IF(TYPE(VLOOKUP($A58,'2.kolo'!$L$3:$L$66,1,0))&gt;3,IF(TYPE(VLOOKUP($A58,'2.kolo'!$O$3:$Q$66,2,0))&gt;3,0,VLOOKUP($A58,'2.kolo'!$O$3:$Q$66,2,0)),VLOOKUP($A58,'2.kolo'!$L$3:$N$66,2,0))</f>
        <v>1</v>
      </c>
      <c r="AR58" s="318">
        <f ca="1">IF(TYPE(VLOOKUP($A58,'2.kolo'!$L$3:$L$66,1,0))&gt;3,IF(TYPE(VLOOKUP($A58,'2.kolo'!$O$3:$Q$66,3,0))&gt;3,0,VLOOKUP($A58,'2.kolo'!$O$3:$Q$66,3,0)),VLOOKUP($A58,'2.kolo'!$L$3:$N$66,3,0))</f>
        <v>8</v>
      </c>
      <c r="AS58" s="318">
        <f t="shared" ca="1" si="20"/>
        <v>1</v>
      </c>
      <c r="AT58" s="397">
        <v>42</v>
      </c>
      <c r="AU58" s="424" t="str">
        <f ca="1">IF(AT58="","",CONCATENATE(TEXT($O58,"0"),IF(Start.listina!$Y$5="","",TEXT(500+$P58,"000")),TEXT(999999*RAND(),"000000")))</f>
        <v>3594864</v>
      </c>
      <c r="AV58" s="318">
        <f t="shared" ca="1" si="29"/>
        <v>0</v>
      </c>
      <c r="AY58" s="318">
        <f ca="1">IF(TYPE(VLOOKUP($A58,'3.kolo'!$L$3:$L$66,1,0))&gt;3,IF(TYPE(VLOOKUP($A58,'3.kolo'!$K$3:$L$66,2,0))&gt;3,0,VLOOKUP($A58,'3.kolo'!$K$3:$L$66,2,0)),VLOOKUP($A58,'3.kolo'!$L$3:$O$66,4,0))</f>
        <v>13</v>
      </c>
      <c r="AZ58" s="318">
        <f ca="1">IF(TYPE(VLOOKUP($A58,'3.kolo'!$L$3:$L$66,1,0))&gt;3,IF(TYPE(VLOOKUP($A58,'3.kolo'!$O$3:$Q$66,2,0))&gt;3,0,VLOOKUP($A58,'3.kolo'!$O$3:$Q$66,2,0)),VLOOKUP($A58,'3.kolo'!$L$3:$N$66,2,0))</f>
        <v>1</v>
      </c>
      <c r="BA58" s="318">
        <f ca="1">IF(TYPE(VLOOKUP($A58,'3.kolo'!$L$3:$L$66,1,0))&gt;3,IF(TYPE(VLOOKUP($A58,'3.kolo'!$O$3:$Q$66,3,0))&gt;3,0,VLOOKUP($A58,'3.kolo'!$O$3:$Q$66,3,0)),VLOOKUP($A58,'3.kolo'!$L$3:$N$66,3,0))</f>
        <v>6</v>
      </c>
      <c r="BB58" s="318">
        <f t="shared" ca="1" si="21"/>
        <v>1</v>
      </c>
      <c r="BC58" s="397">
        <v>50</v>
      </c>
      <c r="BD58" s="424" t="str">
        <f ca="1">IF(BC58="","",CONCATENATE(TEXT($O58,"0"),IF(Start.listina!$Y$5="","",TEXT(500+$P58,"000")),TEXT(999999*RAND(),"000000")))</f>
        <v>3151892</v>
      </c>
      <c r="BE58" s="318">
        <f t="shared" ca="1" si="30"/>
        <v>0</v>
      </c>
      <c r="BH58" s="318">
        <f ca="1">IF(TYPE(VLOOKUP($A58,'4.kolo'!$L$3:$L$66,1,0))&gt;3,IF(TYPE(VLOOKUP($A58,'4.kolo'!$K$3:$L$66,2,0))&gt;3,0,VLOOKUP($A58,'4.kolo'!$K$3:$L$66,2,0)),VLOOKUP($A58,'4.kolo'!$L$3:$O$66,4,0))</f>
        <v>39</v>
      </c>
      <c r="BI58" s="318">
        <f ca="1">IF(TYPE(VLOOKUP($A58,'4.kolo'!$L$3:$L$66,1,0))&gt;3,IF(TYPE(VLOOKUP($A58,'4.kolo'!$O$3:$Q$66,2,0))&gt;3,0,VLOOKUP($A58,'4.kolo'!$O$3:$Q$66,2,0)),VLOOKUP($A58,'4.kolo'!$L$3:$N$66,2,0))</f>
        <v>1</v>
      </c>
      <c r="BJ58" s="318">
        <f ca="1">IF(TYPE(VLOOKUP($A58,'4.kolo'!$L$3:$L$66,1,0))&gt;3,IF(TYPE(VLOOKUP($A58,'4.kolo'!$O$3:$Q$66,3,0))&gt;3,0,VLOOKUP($A58,'4.kolo'!$O$3:$Q$66,3,0)),VLOOKUP($A58,'4.kolo'!$L$3:$N$66,3,0))</f>
        <v>5</v>
      </c>
      <c r="BK58" s="318">
        <f t="shared" ca="1" si="22"/>
        <v>1</v>
      </c>
      <c r="BL58" s="397">
        <v>32</v>
      </c>
      <c r="BM58" s="424" t="str">
        <f ca="1">IF(BL58="","",CONCATENATE(TEXT($O58,"0"),IF(Start.listina!$Y$5="","",TEXT(500+$P58,"000")),TEXT(999999*RAND(),"000000")))</f>
        <v>3750812</v>
      </c>
      <c r="BN58" s="318">
        <f t="shared" ca="1" si="31"/>
        <v>0</v>
      </c>
      <c r="BQ58" s="318">
        <f ca="1">IF(TYPE(VLOOKUP($A58,'5.kolo'!$L$3:$L$66,1,0))&gt;3,IF(TYPE(VLOOKUP($A58,'5.kolo'!$K$3:$L$66,2,0))&gt;3,0,VLOOKUP($A58,'5.kolo'!$K$3:$L$66,2,0)),VLOOKUP($A58,'5.kolo'!$L$3:$O$66,4,0))</f>
        <v>0</v>
      </c>
      <c r="BR58" s="318">
        <f ca="1">IF(TYPE(VLOOKUP($A58,'5.kolo'!$L$3:$L$66,1,0))&gt;3,IF(TYPE(VLOOKUP($A58,'5.kolo'!$O$3:$Q$66,2,0))&gt;3,0,VLOOKUP($A58,'5.kolo'!$O$3:$Q$66,2,0)),VLOOKUP($A58,'5.kolo'!$L$3:$N$66,2,0))</f>
        <v>0</v>
      </c>
      <c r="BS58" s="318">
        <f ca="1">IF(TYPE(VLOOKUP($A58,'5.kolo'!$L$3:$L$66,1,0))&gt;3,IF(TYPE(VLOOKUP($A58,'5.kolo'!$O$3:$Q$66,3,0))&gt;3,0,VLOOKUP($A58,'5.kolo'!$O$3:$Q$66,3,0)),VLOOKUP($A58,'5.kolo'!$L$3:$N$66,3,0))</f>
        <v>0</v>
      </c>
      <c r="BT58" s="318">
        <f t="shared" ca="1" si="23"/>
        <v>0</v>
      </c>
      <c r="BU58" s="397"/>
      <c r="BV58" s="424" t="str">
        <f ca="1">IF(BU58="","",CONCATENATE(TEXT($O58,"0"),IF(Start.listina!$Y$5="","",TEXT(500+$P58,"000")),TEXT(999999*RAND(),"000000")))</f>
        <v/>
      </c>
      <c r="BW58" s="318">
        <f t="shared" ca="1" si="32"/>
        <v>0</v>
      </c>
      <c r="BZ58" s="318">
        <f ca="1">IF(TYPE(VLOOKUP($A58,'6.kolo'!$L$3:$L$66,1,0))&gt;3,IF(TYPE(VLOOKUP($A58,'6.kolo'!$K$3:$L$66,2,0))&gt;3,0,VLOOKUP($A58,'6.kolo'!$K$3:$L$66,2,0)),VLOOKUP($A58,'6.kolo'!$L$3:$O$66,4,0))</f>
        <v>0</v>
      </c>
      <c r="CA58" s="318">
        <f ca="1">IF(TYPE(VLOOKUP($A58,'6.kolo'!$L$3:$L$66,1,0))&gt;3,IF(TYPE(VLOOKUP($A58,'6.kolo'!$O$3:$Q$66,2,0))&gt;3,0,VLOOKUP($A58,'6.kolo'!$O$3:$Q$66,2,0)),VLOOKUP($A58,'6.kolo'!$L$3:$N$66,2,0))</f>
        <v>0</v>
      </c>
      <c r="CB58" s="318">
        <f ca="1">IF(TYPE(VLOOKUP($A58,'6.kolo'!$L$3:$L$66,1,0))&gt;3,IF(TYPE(VLOOKUP($A58,'6.kolo'!$O$3:$Q$66,3,0))&gt;3,0,VLOOKUP($A58,'6.kolo'!$O$3:$Q$66,3,0)),VLOOKUP($A58,'6.kolo'!$L$3:$N$66,3,0))</f>
        <v>0</v>
      </c>
      <c r="CC58" s="318">
        <f t="shared" ca="1" si="24"/>
        <v>0</v>
      </c>
      <c r="CD58" s="397"/>
      <c r="CE58" s="424" t="str">
        <f ca="1">IF(CD58="","",CONCATENATE(TEXT($O58,"0"),IF(Start.listina!$Y$5="","",TEXT(500+$P58,"000")),TEXT(999999*RAND(),"000000")))</f>
        <v/>
      </c>
      <c r="CF58" s="318">
        <f t="shared" ca="1" si="33"/>
        <v>0</v>
      </c>
    </row>
    <row r="59" spans="1:84" x14ac:dyDescent="0.4">
      <c r="A59" s="318">
        <f ca="1">IF(OR(Start.listina!H67&gt;Start.listina!$K$7,Start.listina!G67=TRUE),"",Start.listina!H67)</f>
        <v>57</v>
      </c>
      <c r="B59" s="318">
        <f ca="1">IF($A59&gt;Start.listina!$K$7,"",INT(($A59-1)/Start.listina!$O$7)+1)</f>
        <v>2</v>
      </c>
      <c r="C59" s="421" t="str">
        <f ca="1">IF(OR(Start.listina!H67&gt;Start.listina!$K$7,Start.listina!G67=TRUE)," - ",Start.listina!AL67)</f>
        <v xml:space="preserve">57   - Bo, Dánsko  </v>
      </c>
      <c r="D59" s="318">
        <f ca="1">IF(OR(A59&gt;Start.listina!$K$7,TYPE(VLOOKUP(A59,$V$3:$X$130,3,0))&gt;3),"",VLOOKUP(A59,$V$3:$X$130,3,0))</f>
        <v>31</v>
      </c>
      <c r="E59" s="422">
        <f ca="1">IF(A59&gt;Start.listina!$K$7,"",IF(MIN(F59:K59)&gt;Start.listina!$Y$4,D59,MIN(F59:K59)))</f>
        <v>31</v>
      </c>
      <c r="F59" s="318">
        <f ca="1">IF(TYPE(VLOOKUP(C59,Konečné_pořadí_1_16!$B$2:$D$17,3,0))&lt;4,VLOOKUP(C59,Konečné_pořadí_1_16!$B$2:$D$17,3,0),999)</f>
        <v>999</v>
      </c>
      <c r="G59" s="318">
        <f ca="1">IF(TYPE(VLOOKUP(C59,'KO64'!$D$4:$D$129,1,0))&lt;4,64,999)</f>
        <v>999</v>
      </c>
      <c r="H59" s="318">
        <f ca="1">IF(TYPE(VLOOKUP(C59,'KO32'!$D$4:$D$65,1,0))&lt;4,32,999)</f>
        <v>999</v>
      </c>
      <c r="I59" s="318">
        <f ca="1">IF(TYPE(VLOOKUP(C59,'KO16'!$D$4:$D$33,1,0))&lt;4,16,999)</f>
        <v>999</v>
      </c>
      <c r="J59" s="318">
        <f ca="1">IF(TYPE(VLOOKUP(C59,'KO8'!$D$4:$D$17,1,0))&lt;4,8,999)</f>
        <v>999</v>
      </c>
      <c r="K59" s="318">
        <f ca="1">IF(TYPE(VLOOKUP(C59,'KO4'!$D$4:$D$9,1,0))&lt;4,4,999)</f>
        <v>999</v>
      </c>
      <c r="M59" s="319">
        <v>57</v>
      </c>
      <c r="O59" s="318">
        <f t="shared" ca="1" si="8"/>
        <v>2</v>
      </c>
      <c r="P59" s="318">
        <f t="shared" ca="1" si="9"/>
        <v>-1</v>
      </c>
      <c r="Q59" s="318">
        <f t="shared" ca="1" si="26"/>
        <v>8</v>
      </c>
      <c r="R59" s="318">
        <f t="shared" ca="1" si="27"/>
        <v>2</v>
      </c>
      <c r="S59" s="318">
        <f t="shared" ca="1" si="10"/>
        <v>28</v>
      </c>
      <c r="T59" s="318">
        <f t="shared" ca="1" si="11"/>
        <v>0</v>
      </c>
      <c r="U59" s="397">
        <f t="shared" si="25"/>
        <v>57</v>
      </c>
      <c r="V59" s="397">
        <v>48</v>
      </c>
      <c r="W59" s="423" t="str">
        <f ca="1">IF($V59="","",CONCATENATE(TEXT($O59,"0"),IF(Start.listina!$Y$5="","",TEXT(500+$P59,"0000")),IF(Start.listina!$Y$6="","",CHOOSE(Start.listina!$Y$7,TEXT($Q59,"00"),CONCATENATE(TEXT($Q59,"00"),TEXT($S59,"000")), TEXT($R59,"00"))),TEXT(500+$P59,"0000"),IF(Start.listina!$Y$8="","",TEXT($T59,"0")),TEXT(999999*RAND(),"000000")))</f>
        <v>2080280499721384</v>
      </c>
      <c r="X59" s="399">
        <f t="shared" si="12"/>
        <v>57</v>
      </c>
      <c r="Y59" s="397">
        <f t="shared" ca="1" si="28"/>
        <v>0</v>
      </c>
      <c r="Z59" s="318" t="str">
        <f t="shared" ca="1" si="13"/>
        <v/>
      </c>
      <c r="AA59" s="318">
        <f t="shared" ca="1" si="14"/>
        <v>18</v>
      </c>
      <c r="AB59" s="318">
        <f t="shared" ca="1" si="15"/>
        <v>14</v>
      </c>
      <c r="AC59" s="318">
        <f t="shared" ca="1" si="16"/>
        <v>5</v>
      </c>
      <c r="AD59" s="318">
        <f t="shared" ca="1" si="17"/>
        <v>0</v>
      </c>
      <c r="AE59" s="318">
        <f t="shared" ca="1" si="18"/>
        <v>0</v>
      </c>
      <c r="AG59" s="318" t="str">
        <f ca="1">IF(TYPE(VLOOKUP($A59,'1.kolo'!$L$3:$L$66,1,0))&gt;3,VLOOKUP($A59,'1.kolo'!$K$3:$L$66,2,0),VLOOKUP($A59,'1.kolo'!$L$3:$O$66,4,0))</f>
        <v/>
      </c>
      <c r="AH59" s="318">
        <f ca="1">IF(TYPE(VLOOKUP($A59,'1.kolo'!$L$3:$L$66,1,0))&gt;3,VLOOKUP($A59,'1.kolo'!$O$3:$Q$66,2,0),VLOOKUP($A59,'1.kolo'!$L$3:$N$66,2,0))</f>
        <v>1</v>
      </c>
      <c r="AI59" s="318">
        <f ca="1">IF(TYPE(VLOOKUP($A59,'1.kolo'!$L$3:$L$66,1,0))&gt;3,VLOOKUP($A59,'1.kolo'!$O$3:$Q$66,3,0),VLOOKUP($A59,'1.kolo'!$L$3:$N$66,3,0))</f>
        <v>6</v>
      </c>
      <c r="AJ59" s="318">
        <f t="shared" ca="1" si="19"/>
        <v>0</v>
      </c>
      <c r="AK59" s="318">
        <v>57</v>
      </c>
      <c r="AL59" s="424"/>
      <c r="AP59" s="318">
        <f ca="1">IF(TYPE(VLOOKUP($A59,'2.kolo'!$L$3:$L$66,1,0))&gt;3,IF(TYPE(VLOOKUP($A59,'2.kolo'!$K$3:$L$66,2,0))&gt;3,0,VLOOKUP($A59,'2.kolo'!$K$3:$L$66,2,0)),VLOOKUP($A59,'2.kolo'!$L$3:$O$66,4,0))</f>
        <v>18</v>
      </c>
      <c r="AQ59" s="318">
        <f ca="1">IF(TYPE(VLOOKUP($A59,'2.kolo'!$L$3:$L$66,1,0))&gt;3,IF(TYPE(VLOOKUP($A59,'2.kolo'!$O$3:$Q$66,2,0))&gt;3,0,VLOOKUP($A59,'2.kolo'!$O$3:$Q$66,2,0)),VLOOKUP($A59,'2.kolo'!$L$3:$N$66,2,0))</f>
        <v>1</v>
      </c>
      <c r="AR59" s="318">
        <f ca="1">IF(TYPE(VLOOKUP($A59,'2.kolo'!$L$3:$L$66,1,0))&gt;3,IF(TYPE(VLOOKUP($A59,'2.kolo'!$O$3:$Q$66,3,0))&gt;3,0,VLOOKUP($A59,'2.kolo'!$O$3:$Q$66,3,0)),VLOOKUP($A59,'2.kolo'!$L$3:$N$66,3,0))</f>
        <v>4</v>
      </c>
      <c r="AS59" s="318">
        <f t="shared" ca="1" si="20"/>
        <v>0</v>
      </c>
      <c r="AT59" s="397">
        <v>41</v>
      </c>
      <c r="AU59" s="424" t="str">
        <f ca="1">IF(AT59="","",CONCATENATE(TEXT($O59,"0"),IF(Start.listina!$Y$5="","",TEXT(500+$P59,"000")),TEXT(999999*RAND(),"000000")))</f>
        <v>2311111</v>
      </c>
      <c r="AV59" s="318">
        <f t="shared" ca="1" si="29"/>
        <v>0</v>
      </c>
      <c r="AY59" s="318">
        <f ca="1">IF(TYPE(VLOOKUP($A59,'3.kolo'!$L$3:$L$66,1,0))&gt;3,IF(TYPE(VLOOKUP($A59,'3.kolo'!$K$3:$L$66,2,0))&gt;3,0,VLOOKUP($A59,'3.kolo'!$K$3:$L$66,2,0)),VLOOKUP($A59,'3.kolo'!$L$3:$O$66,4,0))</f>
        <v>14</v>
      </c>
      <c r="AZ59" s="318">
        <f ca="1">IF(TYPE(VLOOKUP($A59,'3.kolo'!$L$3:$L$66,1,0))&gt;3,IF(TYPE(VLOOKUP($A59,'3.kolo'!$O$3:$Q$66,2,0))&gt;3,0,VLOOKUP($A59,'3.kolo'!$O$3:$Q$66,2,0)),VLOOKUP($A59,'3.kolo'!$L$3:$N$66,2,0))</f>
        <v>0</v>
      </c>
      <c r="BA59" s="318">
        <f ca="1">IF(TYPE(VLOOKUP($A59,'3.kolo'!$L$3:$L$66,1,0))&gt;3,IF(TYPE(VLOOKUP($A59,'3.kolo'!$O$3:$Q$66,3,0))&gt;3,0,VLOOKUP($A59,'3.kolo'!$O$3:$Q$66,3,0)),VLOOKUP($A59,'3.kolo'!$L$3:$N$66,3,0))</f>
        <v>-10</v>
      </c>
      <c r="BB59" s="318">
        <f t="shared" ca="1" si="21"/>
        <v>0</v>
      </c>
      <c r="BC59" s="397">
        <v>26</v>
      </c>
      <c r="BD59" s="424" t="str">
        <f ca="1">IF(BC59="","",CONCATENATE(TEXT($O59,"0"),IF(Start.listina!$Y$5="","",TEXT(500+$P59,"000")),TEXT(999999*RAND(),"000000")))</f>
        <v>2433816</v>
      </c>
      <c r="BE59" s="318">
        <f t="shared" ca="1" si="30"/>
        <v>0</v>
      </c>
      <c r="BH59" s="318">
        <f ca="1">IF(TYPE(VLOOKUP($A59,'4.kolo'!$L$3:$L$66,1,0))&gt;3,IF(TYPE(VLOOKUP($A59,'4.kolo'!$K$3:$L$66,2,0))&gt;3,0,VLOOKUP($A59,'4.kolo'!$K$3:$L$66,2,0)),VLOOKUP($A59,'4.kolo'!$L$3:$O$66,4,0))</f>
        <v>5</v>
      </c>
      <c r="BI59" s="318">
        <f ca="1">IF(TYPE(VLOOKUP($A59,'4.kolo'!$L$3:$L$66,1,0))&gt;3,IF(TYPE(VLOOKUP($A59,'4.kolo'!$O$3:$Q$66,2,0))&gt;3,0,VLOOKUP($A59,'4.kolo'!$O$3:$Q$66,2,0)),VLOOKUP($A59,'4.kolo'!$L$3:$N$66,2,0))</f>
        <v>0</v>
      </c>
      <c r="BJ59" s="318">
        <f ca="1">IF(TYPE(VLOOKUP($A59,'4.kolo'!$L$3:$L$66,1,0))&gt;3,IF(TYPE(VLOOKUP($A59,'4.kolo'!$O$3:$Q$66,3,0))&gt;3,0,VLOOKUP($A59,'4.kolo'!$O$3:$Q$66,3,0)),VLOOKUP($A59,'4.kolo'!$L$3:$N$66,3,0))</f>
        <v>-1</v>
      </c>
      <c r="BK59" s="318">
        <f t="shared" ca="1" si="22"/>
        <v>0</v>
      </c>
      <c r="BL59" s="397">
        <v>33</v>
      </c>
      <c r="BM59" s="424" t="str">
        <f ca="1">IF(BL59="","",CONCATENATE(TEXT($O59,"0"),IF(Start.listina!$Y$5="","",TEXT(500+$P59,"000")),TEXT(999999*RAND(),"000000")))</f>
        <v>2228834</v>
      </c>
      <c r="BN59" s="318">
        <f t="shared" ca="1" si="31"/>
        <v>0</v>
      </c>
      <c r="BQ59" s="318">
        <f ca="1">IF(TYPE(VLOOKUP($A59,'5.kolo'!$L$3:$L$66,1,0))&gt;3,IF(TYPE(VLOOKUP($A59,'5.kolo'!$K$3:$L$66,2,0))&gt;3,0,VLOOKUP($A59,'5.kolo'!$K$3:$L$66,2,0)),VLOOKUP($A59,'5.kolo'!$L$3:$O$66,4,0))</f>
        <v>0</v>
      </c>
      <c r="BR59" s="318">
        <f ca="1">IF(TYPE(VLOOKUP($A59,'5.kolo'!$L$3:$L$66,1,0))&gt;3,IF(TYPE(VLOOKUP($A59,'5.kolo'!$O$3:$Q$66,2,0))&gt;3,0,VLOOKUP($A59,'5.kolo'!$O$3:$Q$66,2,0)),VLOOKUP($A59,'5.kolo'!$L$3:$N$66,2,0))</f>
        <v>0</v>
      </c>
      <c r="BS59" s="318">
        <f ca="1">IF(TYPE(VLOOKUP($A59,'5.kolo'!$L$3:$L$66,1,0))&gt;3,IF(TYPE(VLOOKUP($A59,'5.kolo'!$O$3:$Q$66,3,0))&gt;3,0,VLOOKUP($A59,'5.kolo'!$O$3:$Q$66,3,0)),VLOOKUP($A59,'5.kolo'!$L$3:$N$66,3,0))</f>
        <v>0</v>
      </c>
      <c r="BT59" s="318">
        <f t="shared" ca="1" si="23"/>
        <v>0</v>
      </c>
      <c r="BU59" s="397"/>
      <c r="BV59" s="424" t="str">
        <f ca="1">IF(BU59="","",CONCATENATE(TEXT($O59,"0"),IF(Start.listina!$Y$5="","",TEXT(500+$P59,"000")),TEXT(999999*RAND(),"000000")))</f>
        <v/>
      </c>
      <c r="BW59" s="318">
        <f t="shared" ca="1" si="32"/>
        <v>0</v>
      </c>
      <c r="BZ59" s="318">
        <f ca="1">IF(TYPE(VLOOKUP($A59,'6.kolo'!$L$3:$L$66,1,0))&gt;3,IF(TYPE(VLOOKUP($A59,'6.kolo'!$K$3:$L$66,2,0))&gt;3,0,VLOOKUP($A59,'6.kolo'!$K$3:$L$66,2,0)),VLOOKUP($A59,'6.kolo'!$L$3:$O$66,4,0))</f>
        <v>0</v>
      </c>
      <c r="CA59" s="318">
        <f ca="1">IF(TYPE(VLOOKUP($A59,'6.kolo'!$L$3:$L$66,1,0))&gt;3,IF(TYPE(VLOOKUP($A59,'6.kolo'!$O$3:$Q$66,2,0))&gt;3,0,VLOOKUP($A59,'6.kolo'!$O$3:$Q$66,2,0)),VLOOKUP($A59,'6.kolo'!$L$3:$N$66,2,0))</f>
        <v>0</v>
      </c>
      <c r="CB59" s="318">
        <f ca="1">IF(TYPE(VLOOKUP($A59,'6.kolo'!$L$3:$L$66,1,0))&gt;3,IF(TYPE(VLOOKUP($A59,'6.kolo'!$O$3:$Q$66,3,0))&gt;3,0,VLOOKUP($A59,'6.kolo'!$O$3:$Q$66,3,0)),VLOOKUP($A59,'6.kolo'!$L$3:$N$66,3,0))</f>
        <v>0</v>
      </c>
      <c r="CC59" s="318">
        <f t="shared" ca="1" si="24"/>
        <v>0</v>
      </c>
      <c r="CD59" s="397"/>
      <c r="CE59" s="424" t="str">
        <f ca="1">IF(CD59="","",CONCATENATE(TEXT($O59,"0"),IF(Start.listina!$Y$5="","",TEXT(500+$P59,"000")),TEXT(999999*RAND(),"000000")))</f>
        <v/>
      </c>
      <c r="CF59" s="318">
        <f t="shared" ca="1" si="33"/>
        <v>0</v>
      </c>
    </row>
    <row r="60" spans="1:84" x14ac:dyDescent="0.4">
      <c r="A60" s="318" t="str">
        <f ca="1">IF(OR(Start.listina!H68&gt;Start.listina!$K$7,Start.listina!G68=TRUE),"",Start.listina!H68)</f>
        <v/>
      </c>
      <c r="B60" s="318" t="str">
        <f ca="1">IF($A60&gt;Start.listina!$K$7,"",INT(($A60-1)/Start.listina!$O$7)+1)</f>
        <v/>
      </c>
      <c r="C60" s="421" t="str">
        <f ca="1">IF(OR(Start.listina!H68&gt;Start.listina!$K$7,Start.listina!G68=TRUE)," - ",Start.listina!AL68)</f>
        <v xml:space="preserve"> - </v>
      </c>
      <c r="D60" s="318" t="str">
        <f ca="1">IF(OR(A60&gt;Start.listina!$K$7,TYPE(VLOOKUP(A60,$V$3:$X$130,3,0))&gt;3),"",VLOOKUP(A60,$V$3:$X$130,3,0))</f>
        <v/>
      </c>
      <c r="E60" s="422" t="str">
        <f ca="1">IF(A60&gt;Start.listina!$K$7,"",IF(MIN(F60:K60)&gt;Start.listina!$Y$4,D60,MIN(F60:K60)))</f>
        <v/>
      </c>
      <c r="F60" s="318">
        <f ca="1">IF(TYPE(VLOOKUP(C60,Konečné_pořadí_1_16!$B$2:$D$17,3,0))&lt;4,VLOOKUP(C60,Konečné_pořadí_1_16!$B$2:$D$17,3,0),999)</f>
        <v>999</v>
      </c>
      <c r="G60" s="318">
        <f ca="1">IF(TYPE(VLOOKUP(C60,'KO64'!$D$4:$D$129,1,0))&lt;4,64,999)</f>
        <v>64</v>
      </c>
      <c r="H60" s="318">
        <f ca="1">IF(TYPE(VLOOKUP(C60,'KO32'!$D$4:$D$65,1,0))&lt;4,32,999)</f>
        <v>32</v>
      </c>
      <c r="I60" s="318">
        <f ca="1">IF(TYPE(VLOOKUP(C60,'KO16'!$D$4:$D$33,1,0))&lt;4,16,999)</f>
        <v>999</v>
      </c>
      <c r="J60" s="318">
        <f ca="1">IF(TYPE(VLOOKUP(C60,'KO8'!$D$4:$D$17,1,0))&lt;4,8,999)</f>
        <v>999</v>
      </c>
      <c r="K60" s="318">
        <f ca="1">IF(TYPE(VLOOKUP(C60,'KO4'!$D$4:$D$9,1,0))&lt;4,4,999)</f>
        <v>999</v>
      </c>
      <c r="M60" s="319">
        <v>58</v>
      </c>
      <c r="O60" s="318">
        <f t="shared" ca="1" si="8"/>
        <v>0</v>
      </c>
      <c r="P60" s="318">
        <f t="shared" ca="1" si="9"/>
        <v>0</v>
      </c>
      <c r="Q60" s="318">
        <f t="shared" ca="1" si="26"/>
        <v>2</v>
      </c>
      <c r="R60" s="318">
        <f t="shared" ca="1" si="27"/>
        <v>0</v>
      </c>
      <c r="S60" s="318">
        <f t="shared" ca="1" si="10"/>
        <v>18</v>
      </c>
      <c r="T60" s="318">
        <f t="shared" ca="1" si="11"/>
        <v>0</v>
      </c>
      <c r="U60" s="397">
        <f t="shared" si="25"/>
        <v>58</v>
      </c>
      <c r="V60" s="397" t="s">
        <v>1869</v>
      </c>
      <c r="W60" s="423" t="str">
        <f ca="1">IF($V60="","",CONCATENATE(TEXT($O60,"0"),IF(Start.listina!$Y$5="","",TEXT(500+$P60,"0000")),IF(Start.listina!$Y$6="","",CHOOSE(Start.listina!$Y$7,TEXT($Q60,"00"),CONCATENATE(TEXT($Q60,"00"),TEXT($S60,"000")), TEXT($R60,"00"))),TEXT(500+$P60,"0000"),IF(Start.listina!$Y$8="","",TEXT($T60,"0")),TEXT(999999*RAND(),"000000")))</f>
        <v/>
      </c>
      <c r="X60" s="399">
        <f t="shared" si="12"/>
        <v>58</v>
      </c>
      <c r="Y60" s="397">
        <f t="shared" ca="1" si="28"/>
        <v>0</v>
      </c>
      <c r="Z60" s="318">
        <f t="shared" ca="1" si="13"/>
        <v>57</v>
      </c>
      <c r="AA60" s="318" t="str">
        <f t="shared" ca="1" si="14"/>
        <v/>
      </c>
      <c r="AB60" s="318" t="str">
        <f t="shared" ca="1" si="15"/>
        <v/>
      </c>
      <c r="AC60" s="318" t="str">
        <f t="shared" ca="1" si="16"/>
        <v/>
      </c>
      <c r="AD60" s="318" t="str">
        <f t="shared" ca="1" si="17"/>
        <v/>
      </c>
      <c r="AE60" s="318" t="str">
        <f t="shared" ca="1" si="18"/>
        <v/>
      </c>
      <c r="AG60" s="318">
        <f ca="1">IF(TYPE(VLOOKUP($A60,'1.kolo'!$L$3:$L$66,1,0))&gt;3,VLOOKUP($A60,'1.kolo'!$K$3:$L$66,2,0),VLOOKUP($A60,'1.kolo'!$L$3:$O$66,4,0))</f>
        <v>57</v>
      </c>
      <c r="AH60" s="318">
        <f ca="1">IF(TYPE(VLOOKUP($A60,'1.kolo'!$L$3:$L$66,1,0))&gt;3,VLOOKUP($A60,'1.kolo'!$O$3:$Q$66,2,0),VLOOKUP($A60,'1.kolo'!$L$3:$N$66,2,0))</f>
        <v>0</v>
      </c>
      <c r="AI60" s="318">
        <f ca="1">IF(TYPE(VLOOKUP($A60,'1.kolo'!$L$3:$L$66,1,0))&gt;3,VLOOKUP($A60,'1.kolo'!$O$3:$Q$66,3,0),VLOOKUP($A60,'1.kolo'!$L$3:$N$66,3,0))</f>
        <v>0</v>
      </c>
      <c r="AJ60" s="318">
        <f t="shared" ca="1" si="19"/>
        <v>0</v>
      </c>
      <c r="AK60" s="318">
        <v>58</v>
      </c>
      <c r="AL60" s="424"/>
      <c r="AP60" s="318" t="str">
        <f ca="1">IF(TYPE(VLOOKUP($A60,'2.kolo'!$L$3:$L$66,1,0))&gt;3,IF(TYPE(VLOOKUP($A60,'2.kolo'!$K$3:$L$66,2,0))&gt;3,0,VLOOKUP($A60,'2.kolo'!$K$3:$L$66,2,0)),VLOOKUP($A60,'2.kolo'!$L$3:$O$66,4,0))</f>
        <v/>
      </c>
      <c r="AQ60" s="318">
        <f ca="1">IF(TYPE(VLOOKUP($A60,'2.kolo'!$L$3:$L$66,1,0))&gt;3,IF(TYPE(VLOOKUP($A60,'2.kolo'!$O$3:$Q$66,2,0))&gt;3,0,VLOOKUP($A60,'2.kolo'!$O$3:$Q$66,2,0)),VLOOKUP($A60,'2.kolo'!$L$3:$N$66,2,0))</f>
        <v>0</v>
      </c>
      <c r="AR60" s="318">
        <f ca="1">IF(TYPE(VLOOKUP($A60,'2.kolo'!$L$3:$L$66,1,0))&gt;3,IF(TYPE(VLOOKUP($A60,'2.kolo'!$O$3:$Q$66,3,0))&gt;3,0,VLOOKUP($A60,'2.kolo'!$O$3:$Q$66,3,0)),VLOOKUP($A60,'2.kolo'!$L$3:$N$66,3,0))</f>
        <v>0</v>
      </c>
      <c r="AS60" s="318">
        <f t="shared" ca="1" si="20"/>
        <v>0</v>
      </c>
      <c r="AT60" s="397" t="s">
        <v>1869</v>
      </c>
      <c r="AU60" s="424" t="str">
        <f ca="1">IF(AT60="","",CONCATENATE(TEXT($O60,"0"),IF(Start.listina!$Y$5="","",TEXT(500+$P60,"000")),TEXT(999999*RAND(),"000000")))</f>
        <v/>
      </c>
      <c r="AV60" s="318">
        <f t="shared" ca="1" si="29"/>
        <v>0</v>
      </c>
      <c r="AY60" s="318" t="str">
        <f ca="1">IF(TYPE(VLOOKUP($A60,'3.kolo'!$L$3:$L$66,1,0))&gt;3,IF(TYPE(VLOOKUP($A60,'3.kolo'!$K$3:$L$66,2,0))&gt;3,0,VLOOKUP($A60,'3.kolo'!$K$3:$L$66,2,0)),VLOOKUP($A60,'3.kolo'!$L$3:$O$66,4,0))</f>
        <v/>
      </c>
      <c r="AZ60" s="318">
        <f ca="1">IF(TYPE(VLOOKUP($A60,'3.kolo'!$L$3:$L$66,1,0))&gt;3,IF(TYPE(VLOOKUP($A60,'3.kolo'!$O$3:$Q$66,2,0))&gt;3,0,VLOOKUP($A60,'3.kolo'!$O$3:$Q$66,2,0)),VLOOKUP($A60,'3.kolo'!$L$3:$N$66,2,0))</f>
        <v>0</v>
      </c>
      <c r="BA60" s="318">
        <f ca="1">IF(TYPE(VLOOKUP($A60,'3.kolo'!$L$3:$L$66,1,0))&gt;3,IF(TYPE(VLOOKUP($A60,'3.kolo'!$O$3:$Q$66,3,0))&gt;3,0,VLOOKUP($A60,'3.kolo'!$O$3:$Q$66,3,0)),VLOOKUP($A60,'3.kolo'!$L$3:$N$66,3,0))</f>
        <v>0</v>
      </c>
      <c r="BB60" s="318">
        <f t="shared" ca="1" si="21"/>
        <v>0</v>
      </c>
      <c r="BC60" s="397" t="s">
        <v>1869</v>
      </c>
      <c r="BD60" s="424" t="str">
        <f ca="1">IF(BC60="","",CONCATENATE(TEXT($O60,"0"),IF(Start.listina!$Y$5="","",TEXT(500+$P60,"000")),TEXT(999999*RAND(),"000000")))</f>
        <v/>
      </c>
      <c r="BE60" s="318">
        <f t="shared" ca="1" si="30"/>
        <v>0</v>
      </c>
      <c r="BH60" s="318" t="str">
        <f ca="1">IF(TYPE(VLOOKUP($A60,'4.kolo'!$L$3:$L$66,1,0))&gt;3,IF(TYPE(VLOOKUP($A60,'4.kolo'!$K$3:$L$66,2,0))&gt;3,0,VLOOKUP($A60,'4.kolo'!$K$3:$L$66,2,0)),VLOOKUP($A60,'4.kolo'!$L$3:$O$66,4,0))</f>
        <v/>
      </c>
      <c r="BI60" s="318">
        <f ca="1">IF(TYPE(VLOOKUP($A60,'4.kolo'!$L$3:$L$66,1,0))&gt;3,IF(TYPE(VLOOKUP($A60,'4.kolo'!$O$3:$Q$66,2,0))&gt;3,0,VLOOKUP($A60,'4.kolo'!$O$3:$Q$66,2,0)),VLOOKUP($A60,'4.kolo'!$L$3:$N$66,2,0))</f>
        <v>0</v>
      </c>
      <c r="BJ60" s="318">
        <f ca="1">IF(TYPE(VLOOKUP($A60,'4.kolo'!$L$3:$L$66,1,0))&gt;3,IF(TYPE(VLOOKUP($A60,'4.kolo'!$O$3:$Q$66,3,0))&gt;3,0,VLOOKUP($A60,'4.kolo'!$O$3:$Q$66,3,0)),VLOOKUP($A60,'4.kolo'!$L$3:$N$66,3,0))</f>
        <v>0</v>
      </c>
      <c r="BK60" s="318">
        <f t="shared" ca="1" si="22"/>
        <v>0</v>
      </c>
      <c r="BL60" s="397" t="s">
        <v>1869</v>
      </c>
      <c r="BM60" s="424" t="str">
        <f ca="1">IF(BL60="","",CONCATENATE(TEXT($O60,"0"),IF(Start.listina!$Y$5="","",TEXT(500+$P60,"000")),TEXT(999999*RAND(),"000000")))</f>
        <v/>
      </c>
      <c r="BN60" s="318">
        <f t="shared" ca="1" si="31"/>
        <v>0</v>
      </c>
      <c r="BQ60" s="318" t="str">
        <f ca="1">IF(TYPE(VLOOKUP($A60,'5.kolo'!$L$3:$L$66,1,0))&gt;3,IF(TYPE(VLOOKUP($A60,'5.kolo'!$K$3:$L$66,2,0))&gt;3,0,VLOOKUP($A60,'5.kolo'!$K$3:$L$66,2,0)),VLOOKUP($A60,'5.kolo'!$L$3:$O$66,4,0))</f>
        <v/>
      </c>
      <c r="BR60" s="318">
        <f ca="1">IF(TYPE(VLOOKUP($A60,'5.kolo'!$L$3:$L$66,1,0))&gt;3,IF(TYPE(VLOOKUP($A60,'5.kolo'!$O$3:$Q$66,2,0))&gt;3,0,VLOOKUP($A60,'5.kolo'!$O$3:$Q$66,2,0)),VLOOKUP($A60,'5.kolo'!$L$3:$N$66,2,0))</f>
        <v>0</v>
      </c>
      <c r="BS60" s="318">
        <f ca="1">IF(TYPE(VLOOKUP($A60,'5.kolo'!$L$3:$L$66,1,0))&gt;3,IF(TYPE(VLOOKUP($A60,'5.kolo'!$O$3:$Q$66,3,0))&gt;3,0,VLOOKUP($A60,'5.kolo'!$O$3:$Q$66,3,0)),VLOOKUP($A60,'5.kolo'!$L$3:$N$66,3,0))</f>
        <v>0</v>
      </c>
      <c r="BT60" s="318">
        <f t="shared" ca="1" si="23"/>
        <v>0</v>
      </c>
      <c r="BU60" s="397"/>
      <c r="BV60" s="424" t="str">
        <f ca="1">IF(BU60="","",CONCATENATE(TEXT($O60,"0"),IF(Start.listina!$Y$5="","",TEXT(500+$P60,"000")),TEXT(999999*RAND(),"000000")))</f>
        <v/>
      </c>
      <c r="BW60" s="318">
        <f t="shared" ca="1" si="32"/>
        <v>0</v>
      </c>
      <c r="BZ60" s="318" t="str">
        <f ca="1">IF(TYPE(VLOOKUP($A60,'6.kolo'!$L$3:$L$66,1,0))&gt;3,IF(TYPE(VLOOKUP($A60,'6.kolo'!$K$3:$L$66,2,0))&gt;3,0,VLOOKUP($A60,'6.kolo'!$K$3:$L$66,2,0)),VLOOKUP($A60,'6.kolo'!$L$3:$O$66,4,0))</f>
        <v/>
      </c>
      <c r="CA60" s="318">
        <f ca="1">IF(TYPE(VLOOKUP($A60,'6.kolo'!$L$3:$L$66,1,0))&gt;3,IF(TYPE(VLOOKUP($A60,'6.kolo'!$O$3:$Q$66,2,0))&gt;3,0,VLOOKUP($A60,'6.kolo'!$O$3:$Q$66,2,0)),VLOOKUP($A60,'6.kolo'!$L$3:$N$66,2,0))</f>
        <v>0</v>
      </c>
      <c r="CB60" s="318">
        <f ca="1">IF(TYPE(VLOOKUP($A60,'6.kolo'!$L$3:$L$66,1,0))&gt;3,IF(TYPE(VLOOKUP($A60,'6.kolo'!$O$3:$Q$66,3,0))&gt;3,0,VLOOKUP($A60,'6.kolo'!$O$3:$Q$66,3,0)),VLOOKUP($A60,'6.kolo'!$L$3:$N$66,3,0))</f>
        <v>0</v>
      </c>
      <c r="CC60" s="318">
        <f t="shared" ca="1" si="24"/>
        <v>0</v>
      </c>
      <c r="CD60" s="397"/>
      <c r="CE60" s="424" t="str">
        <f ca="1">IF(CD60="","",CONCATENATE(TEXT($O60,"0"),IF(Start.listina!$Y$5="","",TEXT(500+$P60,"000")),TEXT(999999*RAND(),"000000")))</f>
        <v/>
      </c>
      <c r="CF60" s="318">
        <f t="shared" ca="1" si="33"/>
        <v>0</v>
      </c>
    </row>
    <row r="61" spans="1:84" x14ac:dyDescent="0.4">
      <c r="A61" s="318" t="str">
        <f ca="1">IF(OR(Start.listina!H69&gt;Start.listina!$K$7,Start.listina!G69=TRUE),"",Start.listina!H69)</f>
        <v/>
      </c>
      <c r="B61" s="318" t="str">
        <f ca="1">IF($A61&gt;Start.listina!$K$7,"",INT(($A61-1)/Start.listina!$O$7)+1)</f>
        <v/>
      </c>
      <c r="C61" s="421" t="str">
        <f ca="1">IF(OR(Start.listina!H69&gt;Start.listina!$K$7,Start.listina!G69=TRUE)," - ",Start.listina!AL69)</f>
        <v xml:space="preserve"> - </v>
      </c>
      <c r="D61" s="318" t="str">
        <f ca="1">IF(OR(A61&gt;Start.listina!$K$7,TYPE(VLOOKUP(A61,$V$3:$X$130,3,0))&gt;3),"",VLOOKUP(A61,$V$3:$X$130,3,0))</f>
        <v/>
      </c>
      <c r="E61" s="422" t="str">
        <f ca="1">IF(A61&gt;Start.listina!$K$7,"",IF(MIN(F61:K61)&gt;Start.listina!$Y$4,D61,MIN(F61:K61)))</f>
        <v/>
      </c>
      <c r="F61" s="318">
        <f ca="1">IF(TYPE(VLOOKUP(C61,Konečné_pořadí_1_16!$B$2:$D$17,3,0))&lt;4,VLOOKUP(C61,Konečné_pořadí_1_16!$B$2:$D$17,3,0),999)</f>
        <v>999</v>
      </c>
      <c r="G61" s="318">
        <f ca="1">IF(TYPE(VLOOKUP(C61,'KO64'!$D$4:$D$129,1,0))&lt;4,64,999)</f>
        <v>64</v>
      </c>
      <c r="H61" s="318">
        <f ca="1">IF(TYPE(VLOOKUP(C61,'KO32'!$D$4:$D$65,1,0))&lt;4,32,999)</f>
        <v>32</v>
      </c>
      <c r="I61" s="318">
        <f ca="1">IF(TYPE(VLOOKUP(C61,'KO16'!$D$4:$D$33,1,0))&lt;4,16,999)</f>
        <v>999</v>
      </c>
      <c r="J61" s="318">
        <f ca="1">IF(TYPE(VLOOKUP(C61,'KO8'!$D$4:$D$17,1,0))&lt;4,8,999)</f>
        <v>999</v>
      </c>
      <c r="K61" s="318">
        <f ca="1">IF(TYPE(VLOOKUP(C61,'KO4'!$D$4:$D$9,1,0))&lt;4,4,999)</f>
        <v>999</v>
      </c>
      <c r="M61" s="319">
        <v>59</v>
      </c>
      <c r="O61" s="318">
        <f t="shared" ca="1" si="8"/>
        <v>0</v>
      </c>
      <c r="P61" s="318">
        <f t="shared" ca="1" si="9"/>
        <v>0</v>
      </c>
      <c r="Q61" s="318">
        <f t="shared" ca="1" si="26"/>
        <v>2</v>
      </c>
      <c r="R61" s="318">
        <f t="shared" ca="1" si="27"/>
        <v>0</v>
      </c>
      <c r="S61" s="318">
        <f t="shared" ca="1" si="10"/>
        <v>18</v>
      </c>
      <c r="T61" s="318">
        <f t="shared" ca="1" si="11"/>
        <v>0</v>
      </c>
      <c r="U61" s="397">
        <f t="shared" si="25"/>
        <v>59</v>
      </c>
      <c r="V61" s="397" t="s">
        <v>1869</v>
      </c>
      <c r="W61" s="423" t="str">
        <f ca="1">IF($V61="","",CONCATENATE(TEXT($O61,"0"),IF(Start.listina!$Y$5="","",TEXT(500+$P61,"0000")),IF(Start.listina!$Y$6="","",CHOOSE(Start.listina!$Y$7,TEXT($Q61,"00"),CONCATENATE(TEXT($Q61,"00"),TEXT($S61,"000")), TEXT($R61,"00"))),TEXT(500+$P61,"0000"),IF(Start.listina!$Y$8="","",TEXT($T61,"0")),TEXT(999999*RAND(),"000000")))</f>
        <v/>
      </c>
      <c r="X61" s="399">
        <f t="shared" si="12"/>
        <v>59</v>
      </c>
      <c r="Y61" s="397">
        <f t="shared" ca="1" si="28"/>
        <v>0</v>
      </c>
      <c r="Z61" s="318">
        <f t="shared" ca="1" si="13"/>
        <v>57</v>
      </c>
      <c r="AA61" s="318" t="str">
        <f t="shared" ca="1" si="14"/>
        <v/>
      </c>
      <c r="AB61" s="318" t="str">
        <f t="shared" ca="1" si="15"/>
        <v/>
      </c>
      <c r="AC61" s="318" t="str">
        <f t="shared" ca="1" si="16"/>
        <v/>
      </c>
      <c r="AD61" s="318" t="str">
        <f t="shared" ca="1" si="17"/>
        <v/>
      </c>
      <c r="AE61" s="318" t="str">
        <f t="shared" ca="1" si="18"/>
        <v/>
      </c>
      <c r="AG61" s="318">
        <f ca="1">IF(TYPE(VLOOKUP($A61,'1.kolo'!$L$3:$L$66,1,0))&gt;3,VLOOKUP($A61,'1.kolo'!$K$3:$L$66,2,0),VLOOKUP($A61,'1.kolo'!$L$3:$O$66,4,0))</f>
        <v>57</v>
      </c>
      <c r="AH61" s="318">
        <f ca="1">IF(TYPE(VLOOKUP($A61,'1.kolo'!$L$3:$L$66,1,0))&gt;3,VLOOKUP($A61,'1.kolo'!$O$3:$Q$66,2,0),VLOOKUP($A61,'1.kolo'!$L$3:$N$66,2,0))</f>
        <v>0</v>
      </c>
      <c r="AI61" s="318">
        <f ca="1">IF(TYPE(VLOOKUP($A61,'1.kolo'!$L$3:$L$66,1,0))&gt;3,VLOOKUP($A61,'1.kolo'!$O$3:$Q$66,3,0),VLOOKUP($A61,'1.kolo'!$L$3:$N$66,3,0))</f>
        <v>0</v>
      </c>
      <c r="AJ61" s="318">
        <f t="shared" ca="1" si="19"/>
        <v>0</v>
      </c>
      <c r="AK61" s="318">
        <v>59</v>
      </c>
      <c r="AL61" s="424"/>
      <c r="AP61" s="318" t="str">
        <f ca="1">IF(TYPE(VLOOKUP($A61,'2.kolo'!$L$3:$L$66,1,0))&gt;3,IF(TYPE(VLOOKUP($A61,'2.kolo'!$K$3:$L$66,2,0))&gt;3,0,VLOOKUP($A61,'2.kolo'!$K$3:$L$66,2,0)),VLOOKUP($A61,'2.kolo'!$L$3:$O$66,4,0))</f>
        <v/>
      </c>
      <c r="AQ61" s="318">
        <f ca="1">IF(TYPE(VLOOKUP($A61,'2.kolo'!$L$3:$L$66,1,0))&gt;3,IF(TYPE(VLOOKUP($A61,'2.kolo'!$O$3:$Q$66,2,0))&gt;3,0,VLOOKUP($A61,'2.kolo'!$O$3:$Q$66,2,0)),VLOOKUP($A61,'2.kolo'!$L$3:$N$66,2,0))</f>
        <v>0</v>
      </c>
      <c r="AR61" s="318">
        <f ca="1">IF(TYPE(VLOOKUP($A61,'2.kolo'!$L$3:$L$66,1,0))&gt;3,IF(TYPE(VLOOKUP($A61,'2.kolo'!$O$3:$Q$66,3,0))&gt;3,0,VLOOKUP($A61,'2.kolo'!$O$3:$Q$66,3,0)),VLOOKUP($A61,'2.kolo'!$L$3:$N$66,3,0))</f>
        <v>0</v>
      </c>
      <c r="AS61" s="318">
        <f t="shared" ca="1" si="20"/>
        <v>0</v>
      </c>
      <c r="AT61" s="397" t="s">
        <v>1869</v>
      </c>
      <c r="AU61" s="424" t="str">
        <f ca="1">IF(AT61="","",CONCATENATE(TEXT($O61,"0"),IF(Start.listina!$Y$5="","",TEXT(500+$P61,"000")),TEXT(999999*RAND(),"000000")))</f>
        <v/>
      </c>
      <c r="AV61" s="318">
        <f t="shared" ca="1" si="29"/>
        <v>0</v>
      </c>
      <c r="AY61" s="318" t="str">
        <f ca="1">IF(TYPE(VLOOKUP($A61,'3.kolo'!$L$3:$L$66,1,0))&gt;3,IF(TYPE(VLOOKUP($A61,'3.kolo'!$K$3:$L$66,2,0))&gt;3,0,VLOOKUP($A61,'3.kolo'!$K$3:$L$66,2,0)),VLOOKUP($A61,'3.kolo'!$L$3:$O$66,4,0))</f>
        <v/>
      </c>
      <c r="AZ61" s="318">
        <f ca="1">IF(TYPE(VLOOKUP($A61,'3.kolo'!$L$3:$L$66,1,0))&gt;3,IF(TYPE(VLOOKUP($A61,'3.kolo'!$O$3:$Q$66,2,0))&gt;3,0,VLOOKUP($A61,'3.kolo'!$O$3:$Q$66,2,0)),VLOOKUP($A61,'3.kolo'!$L$3:$N$66,2,0))</f>
        <v>0</v>
      </c>
      <c r="BA61" s="318">
        <f ca="1">IF(TYPE(VLOOKUP($A61,'3.kolo'!$L$3:$L$66,1,0))&gt;3,IF(TYPE(VLOOKUP($A61,'3.kolo'!$O$3:$Q$66,3,0))&gt;3,0,VLOOKUP($A61,'3.kolo'!$O$3:$Q$66,3,0)),VLOOKUP($A61,'3.kolo'!$L$3:$N$66,3,0))</f>
        <v>0</v>
      </c>
      <c r="BB61" s="318">
        <f t="shared" ca="1" si="21"/>
        <v>0</v>
      </c>
      <c r="BC61" s="397" t="s">
        <v>1869</v>
      </c>
      <c r="BD61" s="424" t="str">
        <f ca="1">IF(BC61="","",CONCATENATE(TEXT($O61,"0"),IF(Start.listina!$Y$5="","",TEXT(500+$P61,"000")),TEXT(999999*RAND(),"000000")))</f>
        <v/>
      </c>
      <c r="BE61" s="318">
        <f t="shared" ca="1" si="30"/>
        <v>0</v>
      </c>
      <c r="BH61" s="318" t="str">
        <f ca="1">IF(TYPE(VLOOKUP($A61,'4.kolo'!$L$3:$L$66,1,0))&gt;3,IF(TYPE(VLOOKUP($A61,'4.kolo'!$K$3:$L$66,2,0))&gt;3,0,VLOOKUP($A61,'4.kolo'!$K$3:$L$66,2,0)),VLOOKUP($A61,'4.kolo'!$L$3:$O$66,4,0))</f>
        <v/>
      </c>
      <c r="BI61" s="318">
        <f ca="1">IF(TYPE(VLOOKUP($A61,'4.kolo'!$L$3:$L$66,1,0))&gt;3,IF(TYPE(VLOOKUP($A61,'4.kolo'!$O$3:$Q$66,2,0))&gt;3,0,VLOOKUP($A61,'4.kolo'!$O$3:$Q$66,2,0)),VLOOKUP($A61,'4.kolo'!$L$3:$N$66,2,0))</f>
        <v>0</v>
      </c>
      <c r="BJ61" s="318">
        <f ca="1">IF(TYPE(VLOOKUP($A61,'4.kolo'!$L$3:$L$66,1,0))&gt;3,IF(TYPE(VLOOKUP($A61,'4.kolo'!$O$3:$Q$66,3,0))&gt;3,0,VLOOKUP($A61,'4.kolo'!$O$3:$Q$66,3,0)),VLOOKUP($A61,'4.kolo'!$L$3:$N$66,3,0))</f>
        <v>0</v>
      </c>
      <c r="BK61" s="318">
        <f t="shared" ca="1" si="22"/>
        <v>0</v>
      </c>
      <c r="BL61" s="397" t="s">
        <v>1869</v>
      </c>
      <c r="BM61" s="424" t="str">
        <f ca="1">IF(BL61="","",CONCATENATE(TEXT($O61,"0"),IF(Start.listina!$Y$5="","",TEXT(500+$P61,"000")),TEXT(999999*RAND(),"000000")))</f>
        <v/>
      </c>
      <c r="BN61" s="318">
        <f t="shared" ca="1" si="31"/>
        <v>0</v>
      </c>
      <c r="BQ61" s="318" t="str">
        <f ca="1">IF(TYPE(VLOOKUP($A61,'5.kolo'!$L$3:$L$66,1,0))&gt;3,IF(TYPE(VLOOKUP($A61,'5.kolo'!$K$3:$L$66,2,0))&gt;3,0,VLOOKUP($A61,'5.kolo'!$K$3:$L$66,2,0)),VLOOKUP($A61,'5.kolo'!$L$3:$O$66,4,0))</f>
        <v/>
      </c>
      <c r="BR61" s="318">
        <f ca="1">IF(TYPE(VLOOKUP($A61,'5.kolo'!$L$3:$L$66,1,0))&gt;3,IF(TYPE(VLOOKUP($A61,'5.kolo'!$O$3:$Q$66,2,0))&gt;3,0,VLOOKUP($A61,'5.kolo'!$O$3:$Q$66,2,0)),VLOOKUP($A61,'5.kolo'!$L$3:$N$66,2,0))</f>
        <v>0</v>
      </c>
      <c r="BS61" s="318">
        <f ca="1">IF(TYPE(VLOOKUP($A61,'5.kolo'!$L$3:$L$66,1,0))&gt;3,IF(TYPE(VLOOKUP($A61,'5.kolo'!$O$3:$Q$66,3,0))&gt;3,0,VLOOKUP($A61,'5.kolo'!$O$3:$Q$66,3,0)),VLOOKUP($A61,'5.kolo'!$L$3:$N$66,3,0))</f>
        <v>0</v>
      </c>
      <c r="BT61" s="318">
        <f t="shared" ca="1" si="23"/>
        <v>0</v>
      </c>
      <c r="BU61" s="397"/>
      <c r="BV61" s="424" t="str">
        <f ca="1">IF(BU61="","",CONCATENATE(TEXT($O61,"0"),IF(Start.listina!$Y$5="","",TEXT(500+$P61,"000")),TEXT(999999*RAND(),"000000")))</f>
        <v/>
      </c>
      <c r="BW61" s="318">
        <f t="shared" ca="1" si="32"/>
        <v>0</v>
      </c>
      <c r="BZ61" s="318" t="str">
        <f ca="1">IF(TYPE(VLOOKUP($A61,'6.kolo'!$L$3:$L$66,1,0))&gt;3,IF(TYPE(VLOOKUP($A61,'6.kolo'!$K$3:$L$66,2,0))&gt;3,0,VLOOKUP($A61,'6.kolo'!$K$3:$L$66,2,0)),VLOOKUP($A61,'6.kolo'!$L$3:$O$66,4,0))</f>
        <v/>
      </c>
      <c r="CA61" s="318">
        <f ca="1">IF(TYPE(VLOOKUP($A61,'6.kolo'!$L$3:$L$66,1,0))&gt;3,IF(TYPE(VLOOKUP($A61,'6.kolo'!$O$3:$Q$66,2,0))&gt;3,0,VLOOKUP($A61,'6.kolo'!$O$3:$Q$66,2,0)),VLOOKUP($A61,'6.kolo'!$L$3:$N$66,2,0))</f>
        <v>0</v>
      </c>
      <c r="CB61" s="318">
        <f ca="1">IF(TYPE(VLOOKUP($A61,'6.kolo'!$L$3:$L$66,1,0))&gt;3,IF(TYPE(VLOOKUP($A61,'6.kolo'!$O$3:$Q$66,3,0))&gt;3,0,VLOOKUP($A61,'6.kolo'!$O$3:$Q$66,3,0)),VLOOKUP($A61,'6.kolo'!$L$3:$N$66,3,0))</f>
        <v>0</v>
      </c>
      <c r="CC61" s="318">
        <f t="shared" ca="1" si="24"/>
        <v>0</v>
      </c>
      <c r="CD61" s="397"/>
      <c r="CE61" s="424" t="str">
        <f ca="1">IF(CD61="","",CONCATENATE(TEXT($O61,"0"),IF(Start.listina!$Y$5="","",TEXT(500+$P61,"000")),TEXT(999999*RAND(),"000000")))</f>
        <v/>
      </c>
      <c r="CF61" s="318">
        <f t="shared" ca="1" si="33"/>
        <v>0</v>
      </c>
    </row>
    <row r="62" spans="1:84" x14ac:dyDescent="0.4">
      <c r="A62" s="318" t="str">
        <f ca="1">IF(OR(Start.listina!H70&gt;Start.listina!$K$7,Start.listina!G70=TRUE),"",Start.listina!H70)</f>
        <v/>
      </c>
      <c r="B62" s="318" t="str">
        <f ca="1">IF($A62&gt;Start.listina!$K$7,"",INT(($A62-1)/Start.listina!$O$7)+1)</f>
        <v/>
      </c>
      <c r="C62" s="421" t="str">
        <f ca="1">IF(OR(Start.listina!H70&gt;Start.listina!$K$7,Start.listina!G70=TRUE)," - ",Start.listina!AL70)</f>
        <v xml:space="preserve"> - </v>
      </c>
      <c r="D62" s="318" t="str">
        <f ca="1">IF(OR(A62&gt;Start.listina!$K$7,TYPE(VLOOKUP(A62,$V$3:$X$130,3,0))&gt;3),"",VLOOKUP(A62,$V$3:$X$130,3,0))</f>
        <v/>
      </c>
      <c r="E62" s="422" t="str">
        <f ca="1">IF(A62&gt;Start.listina!$K$7,"",IF(MIN(F62:K62)&gt;Start.listina!$Y$4,D62,MIN(F62:K62)))</f>
        <v/>
      </c>
      <c r="F62" s="318">
        <f ca="1">IF(TYPE(VLOOKUP(C62,Konečné_pořadí_1_16!$B$2:$D$17,3,0))&lt;4,VLOOKUP(C62,Konečné_pořadí_1_16!$B$2:$D$17,3,0),999)</f>
        <v>999</v>
      </c>
      <c r="G62" s="318">
        <f ca="1">IF(TYPE(VLOOKUP(C62,'KO64'!$D$4:$D$129,1,0))&lt;4,64,999)</f>
        <v>64</v>
      </c>
      <c r="H62" s="318">
        <f ca="1">IF(TYPE(VLOOKUP(C62,'KO32'!$D$4:$D$65,1,0))&lt;4,32,999)</f>
        <v>32</v>
      </c>
      <c r="I62" s="318">
        <f ca="1">IF(TYPE(VLOOKUP(C62,'KO16'!$D$4:$D$33,1,0))&lt;4,16,999)</f>
        <v>999</v>
      </c>
      <c r="J62" s="318">
        <f ca="1">IF(TYPE(VLOOKUP(C62,'KO8'!$D$4:$D$17,1,0))&lt;4,8,999)</f>
        <v>999</v>
      </c>
      <c r="K62" s="318">
        <f ca="1">IF(TYPE(VLOOKUP(C62,'KO4'!$D$4:$D$9,1,0))&lt;4,4,999)</f>
        <v>999</v>
      </c>
      <c r="M62" s="319">
        <v>60</v>
      </c>
      <c r="O62" s="318">
        <f t="shared" ca="1" si="8"/>
        <v>0</v>
      </c>
      <c r="P62" s="318">
        <f t="shared" ca="1" si="9"/>
        <v>0</v>
      </c>
      <c r="Q62" s="318">
        <f t="shared" ca="1" si="26"/>
        <v>2</v>
      </c>
      <c r="R62" s="318">
        <f t="shared" ca="1" si="27"/>
        <v>0</v>
      </c>
      <c r="S62" s="318">
        <f t="shared" ca="1" si="10"/>
        <v>18</v>
      </c>
      <c r="T62" s="318">
        <f t="shared" ca="1" si="11"/>
        <v>0</v>
      </c>
      <c r="U62" s="397">
        <f t="shared" si="25"/>
        <v>60</v>
      </c>
      <c r="V62" s="397" t="s">
        <v>1869</v>
      </c>
      <c r="W62" s="423" t="str">
        <f ca="1">IF($V62="","",CONCATENATE(TEXT($O62,"0"),IF(Start.listina!$Y$5="","",TEXT(500+$P62,"0000")),IF(Start.listina!$Y$6="","",CHOOSE(Start.listina!$Y$7,TEXT($Q62,"00"),CONCATENATE(TEXT($Q62,"00"),TEXT($S62,"000")), TEXT($R62,"00"))),TEXT(500+$P62,"0000"),IF(Start.listina!$Y$8="","",TEXT($T62,"0")),TEXT(999999*RAND(),"000000")))</f>
        <v/>
      </c>
      <c r="X62" s="399">
        <f t="shared" si="12"/>
        <v>60</v>
      </c>
      <c r="Y62" s="397">
        <f t="shared" ca="1" si="28"/>
        <v>0</v>
      </c>
      <c r="Z62" s="318">
        <f t="shared" ca="1" si="13"/>
        <v>57</v>
      </c>
      <c r="AA62" s="318" t="str">
        <f t="shared" ca="1" si="14"/>
        <v/>
      </c>
      <c r="AB62" s="318" t="str">
        <f t="shared" ca="1" si="15"/>
        <v/>
      </c>
      <c r="AC62" s="318" t="str">
        <f t="shared" ca="1" si="16"/>
        <v/>
      </c>
      <c r="AD62" s="318" t="str">
        <f t="shared" ca="1" si="17"/>
        <v/>
      </c>
      <c r="AE62" s="318" t="str">
        <f t="shared" ca="1" si="18"/>
        <v/>
      </c>
      <c r="AG62" s="318">
        <f ca="1">IF(TYPE(VLOOKUP($A62,'1.kolo'!$L$3:$L$66,1,0))&gt;3,VLOOKUP($A62,'1.kolo'!$K$3:$L$66,2,0),VLOOKUP($A62,'1.kolo'!$L$3:$O$66,4,0))</f>
        <v>57</v>
      </c>
      <c r="AH62" s="318">
        <f ca="1">IF(TYPE(VLOOKUP($A62,'1.kolo'!$L$3:$L$66,1,0))&gt;3,VLOOKUP($A62,'1.kolo'!$O$3:$Q$66,2,0),VLOOKUP($A62,'1.kolo'!$L$3:$N$66,2,0))</f>
        <v>0</v>
      </c>
      <c r="AI62" s="318">
        <f ca="1">IF(TYPE(VLOOKUP($A62,'1.kolo'!$L$3:$L$66,1,0))&gt;3,VLOOKUP($A62,'1.kolo'!$O$3:$Q$66,3,0),VLOOKUP($A62,'1.kolo'!$L$3:$N$66,3,0))</f>
        <v>0</v>
      </c>
      <c r="AJ62" s="318">
        <f t="shared" ca="1" si="19"/>
        <v>0</v>
      </c>
      <c r="AK62" s="318">
        <v>60</v>
      </c>
      <c r="AL62" s="424"/>
      <c r="AP62" s="318" t="str">
        <f ca="1">IF(TYPE(VLOOKUP($A62,'2.kolo'!$L$3:$L$66,1,0))&gt;3,IF(TYPE(VLOOKUP($A62,'2.kolo'!$K$3:$L$66,2,0))&gt;3,0,VLOOKUP($A62,'2.kolo'!$K$3:$L$66,2,0)),VLOOKUP($A62,'2.kolo'!$L$3:$O$66,4,0))</f>
        <v/>
      </c>
      <c r="AQ62" s="318">
        <f ca="1">IF(TYPE(VLOOKUP($A62,'2.kolo'!$L$3:$L$66,1,0))&gt;3,IF(TYPE(VLOOKUP($A62,'2.kolo'!$O$3:$Q$66,2,0))&gt;3,0,VLOOKUP($A62,'2.kolo'!$O$3:$Q$66,2,0)),VLOOKUP($A62,'2.kolo'!$L$3:$N$66,2,0))</f>
        <v>0</v>
      </c>
      <c r="AR62" s="318">
        <f ca="1">IF(TYPE(VLOOKUP($A62,'2.kolo'!$L$3:$L$66,1,0))&gt;3,IF(TYPE(VLOOKUP($A62,'2.kolo'!$O$3:$Q$66,3,0))&gt;3,0,VLOOKUP($A62,'2.kolo'!$O$3:$Q$66,3,0)),VLOOKUP($A62,'2.kolo'!$L$3:$N$66,3,0))</f>
        <v>0</v>
      </c>
      <c r="AS62" s="318">
        <f t="shared" ca="1" si="20"/>
        <v>0</v>
      </c>
      <c r="AT62" s="397" t="s">
        <v>1869</v>
      </c>
      <c r="AU62" s="424" t="str">
        <f ca="1">IF(AT62="","",CONCATENATE(TEXT($O62,"0"),IF(Start.listina!$Y$5="","",TEXT(500+$P62,"000")),TEXT(999999*RAND(),"000000")))</f>
        <v/>
      </c>
      <c r="AV62" s="318">
        <f t="shared" ca="1" si="29"/>
        <v>0</v>
      </c>
      <c r="AY62" s="318" t="str">
        <f ca="1">IF(TYPE(VLOOKUP($A62,'3.kolo'!$L$3:$L$66,1,0))&gt;3,IF(TYPE(VLOOKUP($A62,'3.kolo'!$K$3:$L$66,2,0))&gt;3,0,VLOOKUP($A62,'3.kolo'!$K$3:$L$66,2,0)),VLOOKUP($A62,'3.kolo'!$L$3:$O$66,4,0))</f>
        <v/>
      </c>
      <c r="AZ62" s="318">
        <f ca="1">IF(TYPE(VLOOKUP($A62,'3.kolo'!$L$3:$L$66,1,0))&gt;3,IF(TYPE(VLOOKUP($A62,'3.kolo'!$O$3:$Q$66,2,0))&gt;3,0,VLOOKUP($A62,'3.kolo'!$O$3:$Q$66,2,0)),VLOOKUP($A62,'3.kolo'!$L$3:$N$66,2,0))</f>
        <v>0</v>
      </c>
      <c r="BA62" s="318">
        <f ca="1">IF(TYPE(VLOOKUP($A62,'3.kolo'!$L$3:$L$66,1,0))&gt;3,IF(TYPE(VLOOKUP($A62,'3.kolo'!$O$3:$Q$66,3,0))&gt;3,0,VLOOKUP($A62,'3.kolo'!$O$3:$Q$66,3,0)),VLOOKUP($A62,'3.kolo'!$L$3:$N$66,3,0))</f>
        <v>0</v>
      </c>
      <c r="BB62" s="318">
        <f t="shared" ca="1" si="21"/>
        <v>0</v>
      </c>
      <c r="BC62" s="397" t="s">
        <v>1869</v>
      </c>
      <c r="BD62" s="424" t="str">
        <f ca="1">IF(BC62="","",CONCATENATE(TEXT($O62,"0"),IF(Start.listina!$Y$5="","",TEXT(500+$P62,"000")),TEXT(999999*RAND(),"000000")))</f>
        <v/>
      </c>
      <c r="BE62" s="318">
        <f t="shared" ca="1" si="30"/>
        <v>0</v>
      </c>
      <c r="BH62" s="318" t="str">
        <f ca="1">IF(TYPE(VLOOKUP($A62,'4.kolo'!$L$3:$L$66,1,0))&gt;3,IF(TYPE(VLOOKUP($A62,'4.kolo'!$K$3:$L$66,2,0))&gt;3,0,VLOOKUP($A62,'4.kolo'!$K$3:$L$66,2,0)),VLOOKUP($A62,'4.kolo'!$L$3:$O$66,4,0))</f>
        <v/>
      </c>
      <c r="BI62" s="318">
        <f ca="1">IF(TYPE(VLOOKUP($A62,'4.kolo'!$L$3:$L$66,1,0))&gt;3,IF(TYPE(VLOOKUP($A62,'4.kolo'!$O$3:$Q$66,2,0))&gt;3,0,VLOOKUP($A62,'4.kolo'!$O$3:$Q$66,2,0)),VLOOKUP($A62,'4.kolo'!$L$3:$N$66,2,0))</f>
        <v>0</v>
      </c>
      <c r="BJ62" s="318">
        <f ca="1">IF(TYPE(VLOOKUP($A62,'4.kolo'!$L$3:$L$66,1,0))&gt;3,IF(TYPE(VLOOKUP($A62,'4.kolo'!$O$3:$Q$66,3,0))&gt;3,0,VLOOKUP($A62,'4.kolo'!$O$3:$Q$66,3,0)),VLOOKUP($A62,'4.kolo'!$L$3:$N$66,3,0))</f>
        <v>0</v>
      </c>
      <c r="BK62" s="318">
        <f t="shared" ca="1" si="22"/>
        <v>0</v>
      </c>
      <c r="BL62" s="397" t="s">
        <v>1869</v>
      </c>
      <c r="BM62" s="424" t="str">
        <f ca="1">IF(BL62="","",CONCATENATE(TEXT($O62,"0"),IF(Start.listina!$Y$5="","",TEXT(500+$P62,"000")),TEXT(999999*RAND(),"000000")))</f>
        <v/>
      </c>
      <c r="BN62" s="318">
        <f t="shared" ca="1" si="31"/>
        <v>0</v>
      </c>
      <c r="BQ62" s="318" t="str">
        <f ca="1">IF(TYPE(VLOOKUP($A62,'5.kolo'!$L$3:$L$66,1,0))&gt;3,IF(TYPE(VLOOKUP($A62,'5.kolo'!$K$3:$L$66,2,0))&gt;3,0,VLOOKUP($A62,'5.kolo'!$K$3:$L$66,2,0)),VLOOKUP($A62,'5.kolo'!$L$3:$O$66,4,0))</f>
        <v/>
      </c>
      <c r="BR62" s="318">
        <f ca="1">IF(TYPE(VLOOKUP($A62,'5.kolo'!$L$3:$L$66,1,0))&gt;3,IF(TYPE(VLOOKUP($A62,'5.kolo'!$O$3:$Q$66,2,0))&gt;3,0,VLOOKUP($A62,'5.kolo'!$O$3:$Q$66,2,0)),VLOOKUP($A62,'5.kolo'!$L$3:$N$66,2,0))</f>
        <v>0</v>
      </c>
      <c r="BS62" s="318">
        <f ca="1">IF(TYPE(VLOOKUP($A62,'5.kolo'!$L$3:$L$66,1,0))&gt;3,IF(TYPE(VLOOKUP($A62,'5.kolo'!$O$3:$Q$66,3,0))&gt;3,0,VLOOKUP($A62,'5.kolo'!$O$3:$Q$66,3,0)),VLOOKUP($A62,'5.kolo'!$L$3:$N$66,3,0))</f>
        <v>0</v>
      </c>
      <c r="BT62" s="318">
        <f t="shared" ca="1" si="23"/>
        <v>0</v>
      </c>
      <c r="BU62" s="397"/>
      <c r="BV62" s="424" t="str">
        <f ca="1">IF(BU62="","",CONCATENATE(TEXT($O62,"0"),IF(Start.listina!$Y$5="","",TEXT(500+$P62,"000")),TEXT(999999*RAND(),"000000")))</f>
        <v/>
      </c>
      <c r="BW62" s="318">
        <f t="shared" ca="1" si="32"/>
        <v>0</v>
      </c>
      <c r="BZ62" s="318" t="str">
        <f ca="1">IF(TYPE(VLOOKUP($A62,'6.kolo'!$L$3:$L$66,1,0))&gt;3,IF(TYPE(VLOOKUP($A62,'6.kolo'!$K$3:$L$66,2,0))&gt;3,0,VLOOKUP($A62,'6.kolo'!$K$3:$L$66,2,0)),VLOOKUP($A62,'6.kolo'!$L$3:$O$66,4,0))</f>
        <v/>
      </c>
      <c r="CA62" s="318">
        <f ca="1">IF(TYPE(VLOOKUP($A62,'6.kolo'!$L$3:$L$66,1,0))&gt;3,IF(TYPE(VLOOKUP($A62,'6.kolo'!$O$3:$Q$66,2,0))&gt;3,0,VLOOKUP($A62,'6.kolo'!$O$3:$Q$66,2,0)),VLOOKUP($A62,'6.kolo'!$L$3:$N$66,2,0))</f>
        <v>0</v>
      </c>
      <c r="CB62" s="318">
        <f ca="1">IF(TYPE(VLOOKUP($A62,'6.kolo'!$L$3:$L$66,1,0))&gt;3,IF(TYPE(VLOOKUP($A62,'6.kolo'!$O$3:$Q$66,3,0))&gt;3,0,VLOOKUP($A62,'6.kolo'!$O$3:$Q$66,3,0)),VLOOKUP($A62,'6.kolo'!$L$3:$N$66,3,0))</f>
        <v>0</v>
      </c>
      <c r="CC62" s="318">
        <f t="shared" ca="1" si="24"/>
        <v>0</v>
      </c>
      <c r="CD62" s="397"/>
      <c r="CE62" s="424" t="str">
        <f ca="1">IF(CD62="","",CONCATENATE(TEXT($O62,"0"),IF(Start.listina!$Y$5="","",TEXT(500+$P62,"000")),TEXT(999999*RAND(),"000000")))</f>
        <v/>
      </c>
      <c r="CF62" s="318">
        <f t="shared" ca="1" si="33"/>
        <v>0</v>
      </c>
    </row>
    <row r="63" spans="1:84" x14ac:dyDescent="0.4">
      <c r="A63" s="318" t="str">
        <f ca="1">IF(OR(Start.listina!H71&gt;Start.listina!$K$7,Start.listina!G71=TRUE),"",Start.listina!H71)</f>
        <v/>
      </c>
      <c r="B63" s="318" t="str">
        <f ca="1">IF($A63&gt;Start.listina!$K$7,"",INT(($A63-1)/Start.listina!$O$7)+1)</f>
        <v/>
      </c>
      <c r="C63" s="421" t="str">
        <f ca="1">IF(OR(Start.listina!H71&gt;Start.listina!$K$7,Start.listina!G71=TRUE)," - ",Start.listina!AL71)</f>
        <v xml:space="preserve"> - </v>
      </c>
      <c r="D63" s="318" t="str">
        <f ca="1">IF(OR(A63&gt;Start.listina!$K$7,TYPE(VLOOKUP(A63,$V$3:$X$130,3,0))&gt;3),"",VLOOKUP(A63,$V$3:$X$130,3,0))</f>
        <v/>
      </c>
      <c r="E63" s="422" t="str">
        <f ca="1">IF(A63&gt;Start.listina!$K$7,"",IF(MIN(F63:K63)&gt;Start.listina!$Y$4,D63,MIN(F63:K63)))</f>
        <v/>
      </c>
      <c r="F63" s="318">
        <f ca="1">IF(TYPE(VLOOKUP(C63,Konečné_pořadí_1_16!$B$2:$D$17,3,0))&lt;4,VLOOKUP(C63,Konečné_pořadí_1_16!$B$2:$D$17,3,0),999)</f>
        <v>999</v>
      </c>
      <c r="G63" s="318">
        <f ca="1">IF(TYPE(VLOOKUP(C63,'KO64'!$D$4:$D$129,1,0))&lt;4,64,999)</f>
        <v>64</v>
      </c>
      <c r="H63" s="318">
        <f ca="1">IF(TYPE(VLOOKUP(C63,'KO32'!$D$4:$D$65,1,0))&lt;4,32,999)</f>
        <v>32</v>
      </c>
      <c r="I63" s="318">
        <f ca="1">IF(TYPE(VLOOKUP(C63,'KO16'!$D$4:$D$33,1,0))&lt;4,16,999)</f>
        <v>999</v>
      </c>
      <c r="J63" s="318">
        <f ca="1">IF(TYPE(VLOOKUP(C63,'KO8'!$D$4:$D$17,1,0))&lt;4,8,999)</f>
        <v>999</v>
      </c>
      <c r="K63" s="318">
        <f ca="1">IF(TYPE(VLOOKUP(C63,'KO4'!$D$4:$D$9,1,0))&lt;4,4,999)</f>
        <v>999</v>
      </c>
      <c r="M63" s="319">
        <v>61</v>
      </c>
      <c r="O63" s="318">
        <f t="shared" ca="1" si="8"/>
        <v>0</v>
      </c>
      <c r="P63" s="318">
        <f t="shared" ca="1" si="9"/>
        <v>0</v>
      </c>
      <c r="Q63" s="318">
        <f t="shared" ca="1" si="26"/>
        <v>2</v>
      </c>
      <c r="R63" s="318">
        <f t="shared" ca="1" si="27"/>
        <v>0</v>
      </c>
      <c r="S63" s="318">
        <f t="shared" ca="1" si="10"/>
        <v>18</v>
      </c>
      <c r="T63" s="318">
        <f t="shared" ca="1" si="11"/>
        <v>0</v>
      </c>
      <c r="U63" s="397">
        <f t="shared" si="25"/>
        <v>61</v>
      </c>
      <c r="V63" s="397" t="s">
        <v>1869</v>
      </c>
      <c r="W63" s="423" t="str">
        <f ca="1">IF($V63="","",CONCATENATE(TEXT($O63,"0"),IF(Start.listina!$Y$5="","",TEXT(500+$P63,"0000")),IF(Start.listina!$Y$6="","",CHOOSE(Start.listina!$Y$7,TEXT($Q63,"00"),CONCATENATE(TEXT($Q63,"00"),TEXT($S63,"000")), TEXT($R63,"00"))),TEXT(500+$P63,"0000"),IF(Start.listina!$Y$8="","",TEXT($T63,"0")),TEXT(999999*RAND(),"000000")))</f>
        <v/>
      </c>
      <c r="X63" s="399">
        <f t="shared" si="12"/>
        <v>61</v>
      </c>
      <c r="Y63" s="397">
        <f t="shared" ca="1" si="28"/>
        <v>0</v>
      </c>
      <c r="Z63" s="318">
        <f t="shared" ca="1" si="13"/>
        <v>57</v>
      </c>
      <c r="AA63" s="318" t="str">
        <f t="shared" ca="1" si="14"/>
        <v/>
      </c>
      <c r="AB63" s="318" t="str">
        <f t="shared" ca="1" si="15"/>
        <v/>
      </c>
      <c r="AC63" s="318" t="str">
        <f t="shared" ca="1" si="16"/>
        <v/>
      </c>
      <c r="AD63" s="318" t="str">
        <f t="shared" ca="1" si="17"/>
        <v/>
      </c>
      <c r="AE63" s="318" t="str">
        <f t="shared" ca="1" si="18"/>
        <v/>
      </c>
      <c r="AG63" s="318">
        <f ca="1">IF(TYPE(VLOOKUP($A63,'1.kolo'!$L$3:$L$66,1,0))&gt;3,VLOOKUP($A63,'1.kolo'!$K$3:$L$66,2,0),VLOOKUP($A63,'1.kolo'!$L$3:$O$66,4,0))</f>
        <v>57</v>
      </c>
      <c r="AH63" s="318">
        <f ca="1">IF(TYPE(VLOOKUP($A63,'1.kolo'!$L$3:$L$66,1,0))&gt;3,VLOOKUP($A63,'1.kolo'!$O$3:$Q$66,2,0),VLOOKUP($A63,'1.kolo'!$L$3:$N$66,2,0))</f>
        <v>0</v>
      </c>
      <c r="AI63" s="318">
        <f ca="1">IF(TYPE(VLOOKUP($A63,'1.kolo'!$L$3:$L$66,1,0))&gt;3,VLOOKUP($A63,'1.kolo'!$O$3:$Q$66,3,0),VLOOKUP($A63,'1.kolo'!$L$3:$N$66,3,0))</f>
        <v>0</v>
      </c>
      <c r="AJ63" s="318">
        <f t="shared" ca="1" si="19"/>
        <v>0</v>
      </c>
      <c r="AK63" s="318">
        <v>61</v>
      </c>
      <c r="AL63" s="424"/>
      <c r="AP63" s="318" t="str">
        <f ca="1">IF(TYPE(VLOOKUP($A63,'2.kolo'!$L$3:$L$66,1,0))&gt;3,IF(TYPE(VLOOKUP($A63,'2.kolo'!$K$3:$L$66,2,0))&gt;3,0,VLOOKUP($A63,'2.kolo'!$K$3:$L$66,2,0)),VLOOKUP($A63,'2.kolo'!$L$3:$O$66,4,0))</f>
        <v/>
      </c>
      <c r="AQ63" s="318">
        <f ca="1">IF(TYPE(VLOOKUP($A63,'2.kolo'!$L$3:$L$66,1,0))&gt;3,IF(TYPE(VLOOKUP($A63,'2.kolo'!$O$3:$Q$66,2,0))&gt;3,0,VLOOKUP($A63,'2.kolo'!$O$3:$Q$66,2,0)),VLOOKUP($A63,'2.kolo'!$L$3:$N$66,2,0))</f>
        <v>0</v>
      </c>
      <c r="AR63" s="318">
        <f ca="1">IF(TYPE(VLOOKUP($A63,'2.kolo'!$L$3:$L$66,1,0))&gt;3,IF(TYPE(VLOOKUP($A63,'2.kolo'!$O$3:$Q$66,3,0))&gt;3,0,VLOOKUP($A63,'2.kolo'!$O$3:$Q$66,3,0)),VLOOKUP($A63,'2.kolo'!$L$3:$N$66,3,0))</f>
        <v>0</v>
      </c>
      <c r="AS63" s="318">
        <f t="shared" ca="1" si="20"/>
        <v>0</v>
      </c>
      <c r="AT63" s="397" t="s">
        <v>1869</v>
      </c>
      <c r="AU63" s="424" t="str">
        <f ca="1">IF(AT63="","",CONCATENATE(TEXT($O63,"0"),IF(Start.listina!$Y$5="","",TEXT(500+$P63,"000")),TEXT(999999*RAND(),"000000")))</f>
        <v/>
      </c>
      <c r="AV63" s="318">
        <f t="shared" ca="1" si="29"/>
        <v>0</v>
      </c>
      <c r="AY63" s="318" t="str">
        <f ca="1">IF(TYPE(VLOOKUP($A63,'3.kolo'!$L$3:$L$66,1,0))&gt;3,IF(TYPE(VLOOKUP($A63,'3.kolo'!$K$3:$L$66,2,0))&gt;3,0,VLOOKUP($A63,'3.kolo'!$K$3:$L$66,2,0)),VLOOKUP($A63,'3.kolo'!$L$3:$O$66,4,0))</f>
        <v/>
      </c>
      <c r="AZ63" s="318">
        <f ca="1">IF(TYPE(VLOOKUP($A63,'3.kolo'!$L$3:$L$66,1,0))&gt;3,IF(TYPE(VLOOKUP($A63,'3.kolo'!$O$3:$Q$66,2,0))&gt;3,0,VLOOKUP($A63,'3.kolo'!$O$3:$Q$66,2,0)),VLOOKUP($A63,'3.kolo'!$L$3:$N$66,2,0))</f>
        <v>0</v>
      </c>
      <c r="BA63" s="318">
        <f ca="1">IF(TYPE(VLOOKUP($A63,'3.kolo'!$L$3:$L$66,1,0))&gt;3,IF(TYPE(VLOOKUP($A63,'3.kolo'!$O$3:$Q$66,3,0))&gt;3,0,VLOOKUP($A63,'3.kolo'!$O$3:$Q$66,3,0)),VLOOKUP($A63,'3.kolo'!$L$3:$N$66,3,0))</f>
        <v>0</v>
      </c>
      <c r="BB63" s="318">
        <f t="shared" ca="1" si="21"/>
        <v>0</v>
      </c>
      <c r="BC63" s="397" t="s">
        <v>1869</v>
      </c>
      <c r="BD63" s="424" t="str">
        <f ca="1">IF(BC63="","",CONCATENATE(TEXT($O63,"0"),IF(Start.listina!$Y$5="","",TEXT(500+$P63,"000")),TEXT(999999*RAND(),"000000")))</f>
        <v/>
      </c>
      <c r="BE63" s="318">
        <f t="shared" ca="1" si="30"/>
        <v>0</v>
      </c>
      <c r="BH63" s="318" t="str">
        <f ca="1">IF(TYPE(VLOOKUP($A63,'4.kolo'!$L$3:$L$66,1,0))&gt;3,IF(TYPE(VLOOKUP($A63,'4.kolo'!$K$3:$L$66,2,0))&gt;3,0,VLOOKUP($A63,'4.kolo'!$K$3:$L$66,2,0)),VLOOKUP($A63,'4.kolo'!$L$3:$O$66,4,0))</f>
        <v/>
      </c>
      <c r="BI63" s="318">
        <f ca="1">IF(TYPE(VLOOKUP($A63,'4.kolo'!$L$3:$L$66,1,0))&gt;3,IF(TYPE(VLOOKUP($A63,'4.kolo'!$O$3:$Q$66,2,0))&gt;3,0,VLOOKUP($A63,'4.kolo'!$O$3:$Q$66,2,0)),VLOOKUP($A63,'4.kolo'!$L$3:$N$66,2,0))</f>
        <v>0</v>
      </c>
      <c r="BJ63" s="318">
        <f ca="1">IF(TYPE(VLOOKUP($A63,'4.kolo'!$L$3:$L$66,1,0))&gt;3,IF(TYPE(VLOOKUP($A63,'4.kolo'!$O$3:$Q$66,3,0))&gt;3,0,VLOOKUP($A63,'4.kolo'!$O$3:$Q$66,3,0)),VLOOKUP($A63,'4.kolo'!$L$3:$N$66,3,0))</f>
        <v>0</v>
      </c>
      <c r="BK63" s="318">
        <f t="shared" ca="1" si="22"/>
        <v>0</v>
      </c>
      <c r="BL63" s="397" t="s">
        <v>1869</v>
      </c>
      <c r="BM63" s="424" t="str">
        <f ca="1">IF(BL63="","",CONCATENATE(TEXT($O63,"0"),IF(Start.listina!$Y$5="","",TEXT(500+$P63,"000")),TEXT(999999*RAND(),"000000")))</f>
        <v/>
      </c>
      <c r="BN63" s="318">
        <f t="shared" ca="1" si="31"/>
        <v>0</v>
      </c>
      <c r="BQ63" s="318" t="str">
        <f ca="1">IF(TYPE(VLOOKUP($A63,'5.kolo'!$L$3:$L$66,1,0))&gt;3,IF(TYPE(VLOOKUP($A63,'5.kolo'!$K$3:$L$66,2,0))&gt;3,0,VLOOKUP($A63,'5.kolo'!$K$3:$L$66,2,0)),VLOOKUP($A63,'5.kolo'!$L$3:$O$66,4,0))</f>
        <v/>
      </c>
      <c r="BR63" s="318">
        <f ca="1">IF(TYPE(VLOOKUP($A63,'5.kolo'!$L$3:$L$66,1,0))&gt;3,IF(TYPE(VLOOKUP($A63,'5.kolo'!$O$3:$Q$66,2,0))&gt;3,0,VLOOKUP($A63,'5.kolo'!$O$3:$Q$66,2,0)),VLOOKUP($A63,'5.kolo'!$L$3:$N$66,2,0))</f>
        <v>0</v>
      </c>
      <c r="BS63" s="318">
        <f ca="1">IF(TYPE(VLOOKUP($A63,'5.kolo'!$L$3:$L$66,1,0))&gt;3,IF(TYPE(VLOOKUP($A63,'5.kolo'!$O$3:$Q$66,3,0))&gt;3,0,VLOOKUP($A63,'5.kolo'!$O$3:$Q$66,3,0)),VLOOKUP($A63,'5.kolo'!$L$3:$N$66,3,0))</f>
        <v>0</v>
      </c>
      <c r="BT63" s="318">
        <f t="shared" ca="1" si="23"/>
        <v>0</v>
      </c>
      <c r="BU63" s="397"/>
      <c r="BV63" s="424" t="str">
        <f ca="1">IF(BU63="","",CONCATENATE(TEXT($O63,"0"),IF(Start.listina!$Y$5="","",TEXT(500+$P63,"000")),TEXT(999999*RAND(),"000000")))</f>
        <v/>
      </c>
      <c r="BW63" s="318">
        <f t="shared" ca="1" si="32"/>
        <v>0</v>
      </c>
      <c r="BZ63" s="318" t="str">
        <f ca="1">IF(TYPE(VLOOKUP($A63,'6.kolo'!$L$3:$L$66,1,0))&gt;3,IF(TYPE(VLOOKUP($A63,'6.kolo'!$K$3:$L$66,2,0))&gt;3,0,VLOOKUP($A63,'6.kolo'!$K$3:$L$66,2,0)),VLOOKUP($A63,'6.kolo'!$L$3:$O$66,4,0))</f>
        <v/>
      </c>
      <c r="CA63" s="318">
        <f ca="1">IF(TYPE(VLOOKUP($A63,'6.kolo'!$L$3:$L$66,1,0))&gt;3,IF(TYPE(VLOOKUP($A63,'6.kolo'!$O$3:$Q$66,2,0))&gt;3,0,VLOOKUP($A63,'6.kolo'!$O$3:$Q$66,2,0)),VLOOKUP($A63,'6.kolo'!$L$3:$N$66,2,0))</f>
        <v>0</v>
      </c>
      <c r="CB63" s="318">
        <f ca="1">IF(TYPE(VLOOKUP($A63,'6.kolo'!$L$3:$L$66,1,0))&gt;3,IF(TYPE(VLOOKUP($A63,'6.kolo'!$O$3:$Q$66,3,0))&gt;3,0,VLOOKUP($A63,'6.kolo'!$O$3:$Q$66,3,0)),VLOOKUP($A63,'6.kolo'!$L$3:$N$66,3,0))</f>
        <v>0</v>
      </c>
      <c r="CC63" s="318">
        <f t="shared" ca="1" si="24"/>
        <v>0</v>
      </c>
      <c r="CD63" s="397"/>
      <c r="CE63" s="424" t="str">
        <f ca="1">IF(CD63="","",CONCATENATE(TEXT($O63,"0"),IF(Start.listina!$Y$5="","",TEXT(500+$P63,"000")),TEXT(999999*RAND(),"000000")))</f>
        <v/>
      </c>
      <c r="CF63" s="318">
        <f t="shared" ca="1" si="33"/>
        <v>0</v>
      </c>
    </row>
    <row r="64" spans="1:84" x14ac:dyDescent="0.4">
      <c r="A64" s="318" t="str">
        <f ca="1">IF(OR(Start.listina!H72&gt;Start.listina!$K$7,Start.listina!G72=TRUE),"",Start.listina!H72)</f>
        <v/>
      </c>
      <c r="B64" s="318" t="str">
        <f ca="1">IF($A64&gt;Start.listina!$K$7,"",INT(($A64-1)/Start.listina!$O$7)+1)</f>
        <v/>
      </c>
      <c r="C64" s="421" t="str">
        <f ca="1">IF(OR(Start.listina!H72&gt;Start.listina!$K$7,Start.listina!G72=TRUE)," - ",Start.listina!AL72)</f>
        <v xml:space="preserve"> - </v>
      </c>
      <c r="D64" s="318" t="str">
        <f ca="1">IF(OR(A64&gt;Start.listina!$K$7,TYPE(VLOOKUP(A64,$V$3:$X$130,3,0))&gt;3),"",VLOOKUP(A64,$V$3:$X$130,3,0))</f>
        <v/>
      </c>
      <c r="E64" s="422" t="str">
        <f ca="1">IF(A64&gt;Start.listina!$K$7,"",IF(MIN(F64:K64)&gt;Start.listina!$Y$4,D64,MIN(F64:K64)))</f>
        <v/>
      </c>
      <c r="F64" s="318">
        <f ca="1">IF(TYPE(VLOOKUP(C64,Konečné_pořadí_1_16!$B$2:$D$17,3,0))&lt;4,VLOOKUP(C64,Konečné_pořadí_1_16!$B$2:$D$17,3,0),999)</f>
        <v>999</v>
      </c>
      <c r="G64" s="318">
        <f ca="1">IF(TYPE(VLOOKUP(C64,'KO64'!$D$4:$D$129,1,0))&lt;4,64,999)</f>
        <v>64</v>
      </c>
      <c r="H64" s="318">
        <f ca="1">IF(TYPE(VLOOKUP(C64,'KO32'!$D$4:$D$65,1,0))&lt;4,32,999)</f>
        <v>32</v>
      </c>
      <c r="I64" s="318">
        <f ca="1">IF(TYPE(VLOOKUP(C64,'KO16'!$D$4:$D$33,1,0))&lt;4,16,999)</f>
        <v>999</v>
      </c>
      <c r="J64" s="318">
        <f ca="1">IF(TYPE(VLOOKUP(C64,'KO8'!$D$4:$D$17,1,0))&lt;4,8,999)</f>
        <v>999</v>
      </c>
      <c r="K64" s="318">
        <f ca="1">IF(TYPE(VLOOKUP(C64,'KO4'!$D$4:$D$9,1,0))&lt;4,4,999)</f>
        <v>999</v>
      </c>
      <c r="M64" s="319">
        <v>62</v>
      </c>
      <c r="O64" s="318">
        <f t="shared" ca="1" si="8"/>
        <v>0</v>
      </c>
      <c r="P64" s="318">
        <f t="shared" ca="1" si="9"/>
        <v>0</v>
      </c>
      <c r="Q64" s="318">
        <f t="shared" ca="1" si="26"/>
        <v>2</v>
      </c>
      <c r="R64" s="318">
        <f t="shared" ca="1" si="27"/>
        <v>0</v>
      </c>
      <c r="S64" s="318">
        <f t="shared" ca="1" si="10"/>
        <v>18</v>
      </c>
      <c r="T64" s="318">
        <f t="shared" ca="1" si="11"/>
        <v>0</v>
      </c>
      <c r="U64" s="397">
        <f t="shared" si="25"/>
        <v>62</v>
      </c>
      <c r="V64" s="397" t="s">
        <v>1869</v>
      </c>
      <c r="W64" s="423" t="str">
        <f ca="1">IF($V64="","",CONCATENATE(TEXT($O64,"0"),IF(Start.listina!$Y$5="","",TEXT(500+$P64,"0000")),IF(Start.listina!$Y$6="","",CHOOSE(Start.listina!$Y$7,TEXT($Q64,"00"),CONCATENATE(TEXT($Q64,"00"),TEXT($S64,"000")), TEXT($R64,"00"))),TEXT(500+$P64,"0000"),IF(Start.listina!$Y$8="","",TEXT($T64,"0")),TEXT(999999*RAND(),"000000")))</f>
        <v/>
      </c>
      <c r="X64" s="399">
        <f t="shared" si="12"/>
        <v>62</v>
      </c>
      <c r="Y64" s="397">
        <f t="shared" ca="1" si="28"/>
        <v>0</v>
      </c>
      <c r="Z64" s="318">
        <f t="shared" ca="1" si="13"/>
        <v>57</v>
      </c>
      <c r="AA64" s="318" t="str">
        <f t="shared" ca="1" si="14"/>
        <v/>
      </c>
      <c r="AB64" s="318" t="str">
        <f t="shared" ca="1" si="15"/>
        <v/>
      </c>
      <c r="AC64" s="318" t="str">
        <f t="shared" ca="1" si="16"/>
        <v/>
      </c>
      <c r="AD64" s="318" t="str">
        <f t="shared" ca="1" si="17"/>
        <v/>
      </c>
      <c r="AE64" s="318" t="str">
        <f t="shared" ca="1" si="18"/>
        <v/>
      </c>
      <c r="AG64" s="318">
        <f ca="1">IF(TYPE(VLOOKUP($A64,'1.kolo'!$L$3:$L$66,1,0))&gt;3,VLOOKUP($A64,'1.kolo'!$K$3:$L$66,2,0),VLOOKUP($A64,'1.kolo'!$L$3:$O$66,4,0))</f>
        <v>57</v>
      </c>
      <c r="AH64" s="318">
        <f ca="1">IF(TYPE(VLOOKUP($A64,'1.kolo'!$L$3:$L$66,1,0))&gt;3,VLOOKUP($A64,'1.kolo'!$O$3:$Q$66,2,0),VLOOKUP($A64,'1.kolo'!$L$3:$N$66,2,0))</f>
        <v>0</v>
      </c>
      <c r="AI64" s="318">
        <f ca="1">IF(TYPE(VLOOKUP($A64,'1.kolo'!$L$3:$L$66,1,0))&gt;3,VLOOKUP($A64,'1.kolo'!$O$3:$Q$66,3,0),VLOOKUP($A64,'1.kolo'!$L$3:$N$66,3,0))</f>
        <v>0</v>
      </c>
      <c r="AJ64" s="318">
        <f t="shared" ca="1" si="19"/>
        <v>0</v>
      </c>
      <c r="AK64" s="318">
        <v>62</v>
      </c>
      <c r="AL64" s="424"/>
      <c r="AP64" s="318" t="str">
        <f ca="1">IF(TYPE(VLOOKUP($A64,'2.kolo'!$L$3:$L$66,1,0))&gt;3,IF(TYPE(VLOOKUP($A64,'2.kolo'!$K$3:$L$66,2,0))&gt;3,0,VLOOKUP($A64,'2.kolo'!$K$3:$L$66,2,0)),VLOOKUP($A64,'2.kolo'!$L$3:$O$66,4,0))</f>
        <v/>
      </c>
      <c r="AQ64" s="318">
        <f ca="1">IF(TYPE(VLOOKUP($A64,'2.kolo'!$L$3:$L$66,1,0))&gt;3,IF(TYPE(VLOOKUP($A64,'2.kolo'!$O$3:$Q$66,2,0))&gt;3,0,VLOOKUP($A64,'2.kolo'!$O$3:$Q$66,2,0)),VLOOKUP($A64,'2.kolo'!$L$3:$N$66,2,0))</f>
        <v>0</v>
      </c>
      <c r="AR64" s="318">
        <f ca="1">IF(TYPE(VLOOKUP($A64,'2.kolo'!$L$3:$L$66,1,0))&gt;3,IF(TYPE(VLOOKUP($A64,'2.kolo'!$O$3:$Q$66,3,0))&gt;3,0,VLOOKUP($A64,'2.kolo'!$O$3:$Q$66,3,0)),VLOOKUP($A64,'2.kolo'!$L$3:$N$66,3,0))</f>
        <v>0</v>
      </c>
      <c r="AS64" s="318">
        <f t="shared" ca="1" si="20"/>
        <v>0</v>
      </c>
      <c r="AT64" s="397" t="s">
        <v>1869</v>
      </c>
      <c r="AU64" s="424" t="str">
        <f ca="1">IF(AT64="","",CONCATENATE(TEXT($O64,"0"),IF(Start.listina!$Y$5="","",TEXT(500+$P64,"000")),TEXT(999999*RAND(),"000000")))</f>
        <v/>
      </c>
      <c r="AV64" s="318">
        <f t="shared" ca="1" si="29"/>
        <v>0</v>
      </c>
      <c r="AY64" s="318" t="str">
        <f ca="1">IF(TYPE(VLOOKUP($A64,'3.kolo'!$L$3:$L$66,1,0))&gt;3,IF(TYPE(VLOOKUP($A64,'3.kolo'!$K$3:$L$66,2,0))&gt;3,0,VLOOKUP($A64,'3.kolo'!$K$3:$L$66,2,0)),VLOOKUP($A64,'3.kolo'!$L$3:$O$66,4,0))</f>
        <v/>
      </c>
      <c r="AZ64" s="318">
        <f ca="1">IF(TYPE(VLOOKUP($A64,'3.kolo'!$L$3:$L$66,1,0))&gt;3,IF(TYPE(VLOOKUP($A64,'3.kolo'!$O$3:$Q$66,2,0))&gt;3,0,VLOOKUP($A64,'3.kolo'!$O$3:$Q$66,2,0)),VLOOKUP($A64,'3.kolo'!$L$3:$N$66,2,0))</f>
        <v>0</v>
      </c>
      <c r="BA64" s="318">
        <f ca="1">IF(TYPE(VLOOKUP($A64,'3.kolo'!$L$3:$L$66,1,0))&gt;3,IF(TYPE(VLOOKUP($A64,'3.kolo'!$O$3:$Q$66,3,0))&gt;3,0,VLOOKUP($A64,'3.kolo'!$O$3:$Q$66,3,0)),VLOOKUP($A64,'3.kolo'!$L$3:$N$66,3,0))</f>
        <v>0</v>
      </c>
      <c r="BB64" s="318">
        <f t="shared" ca="1" si="21"/>
        <v>0</v>
      </c>
      <c r="BC64" s="397" t="s">
        <v>1869</v>
      </c>
      <c r="BD64" s="424" t="str">
        <f ca="1">IF(BC64="","",CONCATENATE(TEXT($O64,"0"),IF(Start.listina!$Y$5="","",TEXT(500+$P64,"000")),TEXT(999999*RAND(),"000000")))</f>
        <v/>
      </c>
      <c r="BE64" s="318">
        <f t="shared" ca="1" si="30"/>
        <v>0</v>
      </c>
      <c r="BH64" s="318" t="str">
        <f ca="1">IF(TYPE(VLOOKUP($A64,'4.kolo'!$L$3:$L$66,1,0))&gt;3,IF(TYPE(VLOOKUP($A64,'4.kolo'!$K$3:$L$66,2,0))&gt;3,0,VLOOKUP($A64,'4.kolo'!$K$3:$L$66,2,0)),VLOOKUP($A64,'4.kolo'!$L$3:$O$66,4,0))</f>
        <v/>
      </c>
      <c r="BI64" s="318">
        <f ca="1">IF(TYPE(VLOOKUP($A64,'4.kolo'!$L$3:$L$66,1,0))&gt;3,IF(TYPE(VLOOKUP($A64,'4.kolo'!$O$3:$Q$66,2,0))&gt;3,0,VLOOKUP($A64,'4.kolo'!$O$3:$Q$66,2,0)),VLOOKUP($A64,'4.kolo'!$L$3:$N$66,2,0))</f>
        <v>0</v>
      </c>
      <c r="BJ64" s="318">
        <f ca="1">IF(TYPE(VLOOKUP($A64,'4.kolo'!$L$3:$L$66,1,0))&gt;3,IF(TYPE(VLOOKUP($A64,'4.kolo'!$O$3:$Q$66,3,0))&gt;3,0,VLOOKUP($A64,'4.kolo'!$O$3:$Q$66,3,0)),VLOOKUP($A64,'4.kolo'!$L$3:$N$66,3,0))</f>
        <v>0</v>
      </c>
      <c r="BK64" s="318">
        <f t="shared" ca="1" si="22"/>
        <v>0</v>
      </c>
      <c r="BL64" s="397" t="s">
        <v>1869</v>
      </c>
      <c r="BM64" s="424" t="str">
        <f ca="1">IF(BL64="","",CONCATENATE(TEXT($O64,"0"),IF(Start.listina!$Y$5="","",TEXT(500+$P64,"000")),TEXT(999999*RAND(),"000000")))</f>
        <v/>
      </c>
      <c r="BN64" s="318">
        <f t="shared" ca="1" si="31"/>
        <v>0</v>
      </c>
      <c r="BQ64" s="318" t="str">
        <f ca="1">IF(TYPE(VLOOKUP($A64,'5.kolo'!$L$3:$L$66,1,0))&gt;3,IF(TYPE(VLOOKUP($A64,'5.kolo'!$K$3:$L$66,2,0))&gt;3,0,VLOOKUP($A64,'5.kolo'!$K$3:$L$66,2,0)),VLOOKUP($A64,'5.kolo'!$L$3:$O$66,4,0))</f>
        <v/>
      </c>
      <c r="BR64" s="318">
        <f ca="1">IF(TYPE(VLOOKUP($A64,'5.kolo'!$L$3:$L$66,1,0))&gt;3,IF(TYPE(VLOOKUP($A64,'5.kolo'!$O$3:$Q$66,2,0))&gt;3,0,VLOOKUP($A64,'5.kolo'!$O$3:$Q$66,2,0)),VLOOKUP($A64,'5.kolo'!$L$3:$N$66,2,0))</f>
        <v>0</v>
      </c>
      <c r="BS64" s="318">
        <f ca="1">IF(TYPE(VLOOKUP($A64,'5.kolo'!$L$3:$L$66,1,0))&gt;3,IF(TYPE(VLOOKUP($A64,'5.kolo'!$O$3:$Q$66,3,0))&gt;3,0,VLOOKUP($A64,'5.kolo'!$O$3:$Q$66,3,0)),VLOOKUP($A64,'5.kolo'!$L$3:$N$66,3,0))</f>
        <v>0</v>
      </c>
      <c r="BT64" s="318">
        <f t="shared" ca="1" si="23"/>
        <v>0</v>
      </c>
      <c r="BU64" s="397"/>
      <c r="BV64" s="424" t="str">
        <f ca="1">IF(BU64="","",CONCATENATE(TEXT($O64,"0"),IF(Start.listina!$Y$5="","",TEXT(500+$P64,"000")),TEXT(999999*RAND(),"000000")))</f>
        <v/>
      </c>
      <c r="BW64" s="318">
        <f t="shared" ca="1" si="32"/>
        <v>0</v>
      </c>
      <c r="BZ64" s="318" t="str">
        <f ca="1">IF(TYPE(VLOOKUP($A64,'6.kolo'!$L$3:$L$66,1,0))&gt;3,IF(TYPE(VLOOKUP($A64,'6.kolo'!$K$3:$L$66,2,0))&gt;3,0,VLOOKUP($A64,'6.kolo'!$K$3:$L$66,2,0)),VLOOKUP($A64,'6.kolo'!$L$3:$O$66,4,0))</f>
        <v/>
      </c>
      <c r="CA64" s="318">
        <f ca="1">IF(TYPE(VLOOKUP($A64,'6.kolo'!$L$3:$L$66,1,0))&gt;3,IF(TYPE(VLOOKUP($A64,'6.kolo'!$O$3:$Q$66,2,0))&gt;3,0,VLOOKUP($A64,'6.kolo'!$O$3:$Q$66,2,0)),VLOOKUP($A64,'6.kolo'!$L$3:$N$66,2,0))</f>
        <v>0</v>
      </c>
      <c r="CB64" s="318">
        <f ca="1">IF(TYPE(VLOOKUP($A64,'6.kolo'!$L$3:$L$66,1,0))&gt;3,IF(TYPE(VLOOKUP($A64,'6.kolo'!$O$3:$Q$66,3,0))&gt;3,0,VLOOKUP($A64,'6.kolo'!$O$3:$Q$66,3,0)),VLOOKUP($A64,'6.kolo'!$L$3:$N$66,3,0))</f>
        <v>0</v>
      </c>
      <c r="CC64" s="318">
        <f t="shared" ca="1" si="24"/>
        <v>0</v>
      </c>
      <c r="CD64" s="397"/>
      <c r="CE64" s="424" t="str">
        <f ca="1">IF(CD64="","",CONCATENATE(TEXT($O64,"0"),IF(Start.listina!$Y$5="","",TEXT(500+$P64,"000")),TEXT(999999*RAND(),"000000")))</f>
        <v/>
      </c>
      <c r="CF64" s="318">
        <f t="shared" ca="1" si="33"/>
        <v>0</v>
      </c>
    </row>
    <row r="65" spans="1:84" x14ac:dyDescent="0.4">
      <c r="A65" s="318" t="str">
        <f ca="1">IF(OR(Start.listina!H73&gt;Start.listina!$K$7,Start.listina!G73=TRUE),"",Start.listina!H73)</f>
        <v/>
      </c>
      <c r="B65" s="318" t="str">
        <f ca="1">IF($A65&gt;Start.listina!$K$7,"",INT(($A65-1)/Start.listina!$O$7)+1)</f>
        <v/>
      </c>
      <c r="C65" s="421" t="str">
        <f ca="1">IF(OR(Start.listina!H73&gt;Start.listina!$K$7,Start.listina!G73=TRUE)," - ",Start.listina!AL73)</f>
        <v xml:space="preserve"> - </v>
      </c>
      <c r="D65" s="318" t="str">
        <f ca="1">IF(OR(A65&gt;Start.listina!$K$7,TYPE(VLOOKUP(A65,$V$3:$X$130,3,0))&gt;3),"",VLOOKUP(A65,$V$3:$X$130,3,0))</f>
        <v/>
      </c>
      <c r="E65" s="422" t="str">
        <f ca="1">IF(A65&gt;Start.listina!$K$7,"",IF(MIN(F65:K65)&gt;Start.listina!$Y$4,D65,MIN(F65:K65)))</f>
        <v/>
      </c>
      <c r="F65" s="318">
        <f ca="1">IF(TYPE(VLOOKUP(C65,Konečné_pořadí_1_16!$B$2:$D$17,3,0))&lt;4,VLOOKUP(C65,Konečné_pořadí_1_16!$B$2:$D$17,3,0),999)</f>
        <v>999</v>
      </c>
      <c r="G65" s="318">
        <f ca="1">IF(TYPE(VLOOKUP(C65,'KO64'!$D$4:$D$129,1,0))&lt;4,64,999)</f>
        <v>64</v>
      </c>
      <c r="H65" s="318">
        <f ca="1">IF(TYPE(VLOOKUP(C65,'KO32'!$D$4:$D$65,1,0))&lt;4,32,999)</f>
        <v>32</v>
      </c>
      <c r="I65" s="318">
        <f ca="1">IF(TYPE(VLOOKUP(C65,'KO16'!$D$4:$D$33,1,0))&lt;4,16,999)</f>
        <v>999</v>
      </c>
      <c r="J65" s="318">
        <f ca="1">IF(TYPE(VLOOKUP(C65,'KO8'!$D$4:$D$17,1,0))&lt;4,8,999)</f>
        <v>999</v>
      </c>
      <c r="K65" s="318">
        <f ca="1">IF(TYPE(VLOOKUP(C65,'KO4'!$D$4:$D$9,1,0))&lt;4,4,999)</f>
        <v>999</v>
      </c>
      <c r="M65" s="319">
        <v>63</v>
      </c>
      <c r="O65" s="318">
        <f t="shared" ca="1" si="8"/>
        <v>0</v>
      </c>
      <c r="P65" s="318">
        <f t="shared" ca="1" si="9"/>
        <v>0</v>
      </c>
      <c r="Q65" s="318">
        <f t="shared" ca="1" si="26"/>
        <v>2</v>
      </c>
      <c r="R65" s="318">
        <f t="shared" ca="1" si="27"/>
        <v>0</v>
      </c>
      <c r="S65" s="318">
        <f t="shared" ca="1" si="10"/>
        <v>18</v>
      </c>
      <c r="T65" s="318">
        <f t="shared" ca="1" si="11"/>
        <v>0</v>
      </c>
      <c r="U65" s="397">
        <f t="shared" si="25"/>
        <v>63</v>
      </c>
      <c r="V65" s="397" t="s">
        <v>1869</v>
      </c>
      <c r="W65" s="423" t="str">
        <f ca="1">IF($V65="","",CONCATENATE(TEXT($O65,"0"),IF(Start.listina!$Y$5="","",TEXT(500+$P65,"0000")),IF(Start.listina!$Y$6="","",CHOOSE(Start.listina!$Y$7,TEXT($Q65,"00"),CONCATENATE(TEXT($Q65,"00"),TEXT($S65,"000")), TEXT($R65,"00"))),TEXT(500+$P65,"0000"),IF(Start.listina!$Y$8="","",TEXT($T65,"0")),TEXT(999999*RAND(),"000000")))</f>
        <v/>
      </c>
      <c r="X65" s="399">
        <f t="shared" si="12"/>
        <v>63</v>
      </c>
      <c r="Y65" s="397">
        <f t="shared" ca="1" si="28"/>
        <v>0</v>
      </c>
      <c r="Z65" s="318">
        <f t="shared" ca="1" si="13"/>
        <v>57</v>
      </c>
      <c r="AA65" s="318" t="str">
        <f t="shared" ca="1" si="14"/>
        <v/>
      </c>
      <c r="AB65" s="318" t="str">
        <f t="shared" ca="1" si="15"/>
        <v/>
      </c>
      <c r="AC65" s="318" t="str">
        <f t="shared" ca="1" si="16"/>
        <v/>
      </c>
      <c r="AD65" s="318" t="str">
        <f t="shared" ca="1" si="17"/>
        <v/>
      </c>
      <c r="AE65" s="318" t="str">
        <f t="shared" ca="1" si="18"/>
        <v/>
      </c>
      <c r="AG65" s="318">
        <f ca="1">IF(TYPE(VLOOKUP($A65,'1.kolo'!$L$3:$L$66,1,0))&gt;3,VLOOKUP($A65,'1.kolo'!$K$3:$L$66,2,0),VLOOKUP($A65,'1.kolo'!$L$3:$O$66,4,0))</f>
        <v>57</v>
      </c>
      <c r="AH65" s="318">
        <f ca="1">IF(TYPE(VLOOKUP($A65,'1.kolo'!$L$3:$L$66,1,0))&gt;3,VLOOKUP($A65,'1.kolo'!$O$3:$Q$66,2,0),VLOOKUP($A65,'1.kolo'!$L$3:$N$66,2,0))</f>
        <v>0</v>
      </c>
      <c r="AI65" s="318">
        <f ca="1">IF(TYPE(VLOOKUP($A65,'1.kolo'!$L$3:$L$66,1,0))&gt;3,VLOOKUP($A65,'1.kolo'!$O$3:$Q$66,3,0),VLOOKUP($A65,'1.kolo'!$L$3:$N$66,3,0))</f>
        <v>0</v>
      </c>
      <c r="AJ65" s="318">
        <f t="shared" ca="1" si="19"/>
        <v>0</v>
      </c>
      <c r="AK65" s="318">
        <v>63</v>
      </c>
      <c r="AL65" s="424"/>
      <c r="AP65" s="318" t="str">
        <f ca="1">IF(TYPE(VLOOKUP($A65,'2.kolo'!$L$3:$L$66,1,0))&gt;3,IF(TYPE(VLOOKUP($A65,'2.kolo'!$K$3:$L$66,2,0))&gt;3,0,VLOOKUP($A65,'2.kolo'!$K$3:$L$66,2,0)),VLOOKUP($A65,'2.kolo'!$L$3:$O$66,4,0))</f>
        <v/>
      </c>
      <c r="AQ65" s="318">
        <f ca="1">IF(TYPE(VLOOKUP($A65,'2.kolo'!$L$3:$L$66,1,0))&gt;3,IF(TYPE(VLOOKUP($A65,'2.kolo'!$O$3:$Q$66,2,0))&gt;3,0,VLOOKUP($A65,'2.kolo'!$O$3:$Q$66,2,0)),VLOOKUP($A65,'2.kolo'!$L$3:$N$66,2,0))</f>
        <v>0</v>
      </c>
      <c r="AR65" s="318">
        <f ca="1">IF(TYPE(VLOOKUP($A65,'2.kolo'!$L$3:$L$66,1,0))&gt;3,IF(TYPE(VLOOKUP($A65,'2.kolo'!$O$3:$Q$66,3,0))&gt;3,0,VLOOKUP($A65,'2.kolo'!$O$3:$Q$66,3,0)),VLOOKUP($A65,'2.kolo'!$L$3:$N$66,3,0))</f>
        <v>0</v>
      </c>
      <c r="AS65" s="318">
        <f t="shared" ca="1" si="20"/>
        <v>0</v>
      </c>
      <c r="AT65" s="397" t="s">
        <v>1869</v>
      </c>
      <c r="AU65" s="424" t="str">
        <f ca="1">IF(AT65="","",CONCATENATE(TEXT($O65,"0"),IF(Start.listina!$Y$5="","",TEXT(500+$P65,"000")),TEXT(999999*RAND(),"000000")))</f>
        <v/>
      </c>
      <c r="AV65" s="318">
        <f t="shared" ca="1" si="29"/>
        <v>0</v>
      </c>
      <c r="AY65" s="318" t="str">
        <f ca="1">IF(TYPE(VLOOKUP($A65,'3.kolo'!$L$3:$L$66,1,0))&gt;3,IF(TYPE(VLOOKUP($A65,'3.kolo'!$K$3:$L$66,2,0))&gt;3,0,VLOOKUP($A65,'3.kolo'!$K$3:$L$66,2,0)),VLOOKUP($A65,'3.kolo'!$L$3:$O$66,4,0))</f>
        <v/>
      </c>
      <c r="AZ65" s="318">
        <f ca="1">IF(TYPE(VLOOKUP($A65,'3.kolo'!$L$3:$L$66,1,0))&gt;3,IF(TYPE(VLOOKUP($A65,'3.kolo'!$O$3:$Q$66,2,0))&gt;3,0,VLOOKUP($A65,'3.kolo'!$O$3:$Q$66,2,0)),VLOOKUP($A65,'3.kolo'!$L$3:$N$66,2,0))</f>
        <v>0</v>
      </c>
      <c r="BA65" s="318">
        <f ca="1">IF(TYPE(VLOOKUP($A65,'3.kolo'!$L$3:$L$66,1,0))&gt;3,IF(TYPE(VLOOKUP($A65,'3.kolo'!$O$3:$Q$66,3,0))&gt;3,0,VLOOKUP($A65,'3.kolo'!$O$3:$Q$66,3,0)),VLOOKUP($A65,'3.kolo'!$L$3:$N$66,3,0))</f>
        <v>0</v>
      </c>
      <c r="BB65" s="318">
        <f t="shared" ca="1" si="21"/>
        <v>0</v>
      </c>
      <c r="BC65" s="397" t="s">
        <v>1869</v>
      </c>
      <c r="BD65" s="424" t="str">
        <f ca="1">IF(BC65="","",CONCATENATE(TEXT($O65,"0"),IF(Start.listina!$Y$5="","",TEXT(500+$P65,"000")),TEXT(999999*RAND(),"000000")))</f>
        <v/>
      </c>
      <c r="BE65" s="318">
        <f t="shared" ca="1" si="30"/>
        <v>0</v>
      </c>
      <c r="BH65" s="318" t="str">
        <f ca="1">IF(TYPE(VLOOKUP($A65,'4.kolo'!$L$3:$L$66,1,0))&gt;3,IF(TYPE(VLOOKUP($A65,'4.kolo'!$K$3:$L$66,2,0))&gt;3,0,VLOOKUP($A65,'4.kolo'!$K$3:$L$66,2,0)),VLOOKUP($A65,'4.kolo'!$L$3:$O$66,4,0))</f>
        <v/>
      </c>
      <c r="BI65" s="318">
        <f ca="1">IF(TYPE(VLOOKUP($A65,'4.kolo'!$L$3:$L$66,1,0))&gt;3,IF(TYPE(VLOOKUP($A65,'4.kolo'!$O$3:$Q$66,2,0))&gt;3,0,VLOOKUP($A65,'4.kolo'!$O$3:$Q$66,2,0)),VLOOKUP($A65,'4.kolo'!$L$3:$N$66,2,0))</f>
        <v>0</v>
      </c>
      <c r="BJ65" s="318">
        <f ca="1">IF(TYPE(VLOOKUP($A65,'4.kolo'!$L$3:$L$66,1,0))&gt;3,IF(TYPE(VLOOKUP($A65,'4.kolo'!$O$3:$Q$66,3,0))&gt;3,0,VLOOKUP($A65,'4.kolo'!$O$3:$Q$66,3,0)),VLOOKUP($A65,'4.kolo'!$L$3:$N$66,3,0))</f>
        <v>0</v>
      </c>
      <c r="BK65" s="318">
        <f t="shared" ca="1" si="22"/>
        <v>0</v>
      </c>
      <c r="BL65" s="397" t="s">
        <v>1869</v>
      </c>
      <c r="BM65" s="424" t="str">
        <f ca="1">IF(BL65="","",CONCATENATE(TEXT($O65,"0"),IF(Start.listina!$Y$5="","",TEXT(500+$P65,"000")),TEXT(999999*RAND(),"000000")))</f>
        <v/>
      </c>
      <c r="BN65" s="318">
        <f t="shared" ca="1" si="31"/>
        <v>0</v>
      </c>
      <c r="BQ65" s="318" t="str">
        <f ca="1">IF(TYPE(VLOOKUP($A65,'5.kolo'!$L$3:$L$66,1,0))&gt;3,IF(TYPE(VLOOKUP($A65,'5.kolo'!$K$3:$L$66,2,0))&gt;3,0,VLOOKUP($A65,'5.kolo'!$K$3:$L$66,2,0)),VLOOKUP($A65,'5.kolo'!$L$3:$O$66,4,0))</f>
        <v/>
      </c>
      <c r="BR65" s="318">
        <f ca="1">IF(TYPE(VLOOKUP($A65,'5.kolo'!$L$3:$L$66,1,0))&gt;3,IF(TYPE(VLOOKUP($A65,'5.kolo'!$O$3:$Q$66,2,0))&gt;3,0,VLOOKUP($A65,'5.kolo'!$O$3:$Q$66,2,0)),VLOOKUP($A65,'5.kolo'!$L$3:$N$66,2,0))</f>
        <v>0</v>
      </c>
      <c r="BS65" s="318">
        <f ca="1">IF(TYPE(VLOOKUP($A65,'5.kolo'!$L$3:$L$66,1,0))&gt;3,IF(TYPE(VLOOKUP($A65,'5.kolo'!$O$3:$Q$66,3,0))&gt;3,0,VLOOKUP($A65,'5.kolo'!$O$3:$Q$66,3,0)),VLOOKUP($A65,'5.kolo'!$L$3:$N$66,3,0))</f>
        <v>0</v>
      </c>
      <c r="BT65" s="318">
        <f t="shared" ca="1" si="23"/>
        <v>0</v>
      </c>
      <c r="BU65" s="397"/>
      <c r="BV65" s="424" t="str">
        <f ca="1">IF(BU65="","",CONCATENATE(TEXT($O65,"0"),IF(Start.listina!$Y$5="","",TEXT(500+$P65,"000")),TEXT(999999*RAND(),"000000")))</f>
        <v/>
      </c>
      <c r="BW65" s="318">
        <f t="shared" ca="1" si="32"/>
        <v>0</v>
      </c>
      <c r="BZ65" s="318" t="str">
        <f ca="1">IF(TYPE(VLOOKUP($A65,'6.kolo'!$L$3:$L$66,1,0))&gt;3,IF(TYPE(VLOOKUP($A65,'6.kolo'!$K$3:$L$66,2,0))&gt;3,0,VLOOKUP($A65,'6.kolo'!$K$3:$L$66,2,0)),VLOOKUP($A65,'6.kolo'!$L$3:$O$66,4,0))</f>
        <v/>
      </c>
      <c r="CA65" s="318">
        <f ca="1">IF(TYPE(VLOOKUP($A65,'6.kolo'!$L$3:$L$66,1,0))&gt;3,IF(TYPE(VLOOKUP($A65,'6.kolo'!$O$3:$Q$66,2,0))&gt;3,0,VLOOKUP($A65,'6.kolo'!$O$3:$Q$66,2,0)),VLOOKUP($A65,'6.kolo'!$L$3:$N$66,2,0))</f>
        <v>0</v>
      </c>
      <c r="CB65" s="318">
        <f ca="1">IF(TYPE(VLOOKUP($A65,'6.kolo'!$L$3:$L$66,1,0))&gt;3,IF(TYPE(VLOOKUP($A65,'6.kolo'!$O$3:$Q$66,3,0))&gt;3,0,VLOOKUP($A65,'6.kolo'!$O$3:$Q$66,3,0)),VLOOKUP($A65,'6.kolo'!$L$3:$N$66,3,0))</f>
        <v>0</v>
      </c>
      <c r="CC65" s="318">
        <f t="shared" ca="1" si="24"/>
        <v>0</v>
      </c>
      <c r="CD65" s="397"/>
      <c r="CE65" s="424" t="str">
        <f ca="1">IF(CD65="","",CONCATENATE(TEXT($O65,"0"),IF(Start.listina!$Y$5="","",TEXT(500+$P65,"000")),TEXT(999999*RAND(),"000000")))</f>
        <v/>
      </c>
      <c r="CF65" s="318">
        <f t="shared" ca="1" si="33"/>
        <v>0</v>
      </c>
    </row>
    <row r="66" spans="1:84" x14ac:dyDescent="0.4">
      <c r="A66" s="318" t="str">
        <f ca="1">IF(OR(Start.listina!H74&gt;Start.listina!$K$7,Start.listina!G74=TRUE),"",Start.listina!H74)</f>
        <v/>
      </c>
      <c r="B66" s="318" t="str">
        <f ca="1">IF($A66&gt;Start.listina!$K$7,"",INT(($A66-1)/Start.listina!$O$7)+1)</f>
        <v/>
      </c>
      <c r="C66" s="421" t="str">
        <f ca="1">IF(OR(Start.listina!H74&gt;Start.listina!$K$7,Start.listina!G74=TRUE)," - ",Start.listina!AL74)</f>
        <v xml:space="preserve"> - </v>
      </c>
      <c r="D66" s="318" t="str">
        <f ca="1">IF(OR(A66&gt;Start.listina!$K$7,TYPE(VLOOKUP(A66,$V$3:$X$130,3,0))&gt;3),"",VLOOKUP(A66,$V$3:$X$130,3,0))</f>
        <v/>
      </c>
      <c r="E66" s="422" t="str">
        <f ca="1">IF(A66&gt;Start.listina!$K$7,"",IF(MIN(F66:K66)&gt;Start.listina!$Y$4,D66,MIN(F66:K66)))</f>
        <v/>
      </c>
      <c r="F66" s="318">
        <f ca="1">IF(TYPE(VLOOKUP(C66,Konečné_pořadí_1_16!$B$2:$D$17,3,0))&lt;4,VLOOKUP(C66,Konečné_pořadí_1_16!$B$2:$D$17,3,0),999)</f>
        <v>999</v>
      </c>
      <c r="G66" s="318">
        <f ca="1">IF(TYPE(VLOOKUP(C66,'KO64'!$D$4:$D$129,1,0))&lt;4,64,999)</f>
        <v>64</v>
      </c>
      <c r="H66" s="318">
        <f ca="1">IF(TYPE(VLOOKUP(C66,'KO32'!$D$4:$D$65,1,0))&lt;4,32,999)</f>
        <v>32</v>
      </c>
      <c r="I66" s="318">
        <f ca="1">IF(TYPE(VLOOKUP(C66,'KO16'!$D$4:$D$33,1,0))&lt;4,16,999)</f>
        <v>999</v>
      </c>
      <c r="J66" s="318">
        <f ca="1">IF(TYPE(VLOOKUP(C66,'KO8'!$D$4:$D$17,1,0))&lt;4,8,999)</f>
        <v>999</v>
      </c>
      <c r="K66" s="318">
        <f ca="1">IF(TYPE(VLOOKUP(C66,'KO4'!$D$4:$D$9,1,0))&lt;4,4,999)</f>
        <v>999</v>
      </c>
      <c r="M66" s="319">
        <v>64</v>
      </c>
      <c r="O66" s="318">
        <f t="shared" ca="1" si="8"/>
        <v>0</v>
      </c>
      <c r="P66" s="318">
        <f t="shared" ca="1" si="9"/>
        <v>0</v>
      </c>
      <c r="Q66" s="318">
        <f t="shared" ca="1" si="26"/>
        <v>2</v>
      </c>
      <c r="R66" s="318">
        <f t="shared" ca="1" si="27"/>
        <v>0</v>
      </c>
      <c r="S66" s="318">
        <f t="shared" ca="1" si="10"/>
        <v>18</v>
      </c>
      <c r="T66" s="318">
        <f t="shared" ca="1" si="11"/>
        <v>0</v>
      </c>
      <c r="U66" s="397">
        <f t="shared" si="25"/>
        <v>64</v>
      </c>
      <c r="V66" s="397" t="s">
        <v>1869</v>
      </c>
      <c r="W66" s="423" t="str">
        <f ca="1">IF($V66="","",CONCATENATE(TEXT($O66,"0"),IF(Start.listina!$Y$5="","",TEXT(500+$P66,"0000")),IF(Start.listina!$Y$6="","",CHOOSE(Start.listina!$Y$7,TEXT($Q66,"00"),CONCATENATE(TEXT($Q66,"00"),TEXT($S66,"000")), TEXT($R66,"00"))),TEXT(500+$P66,"0000"),IF(Start.listina!$Y$8="","",TEXT($T66,"0")),TEXT(999999*RAND(),"000000")))</f>
        <v/>
      </c>
      <c r="X66" s="399">
        <f t="shared" si="12"/>
        <v>64</v>
      </c>
      <c r="Y66" s="397">
        <f t="shared" ca="1" si="28"/>
        <v>0</v>
      </c>
      <c r="Z66" s="318">
        <f t="shared" ca="1" si="13"/>
        <v>57</v>
      </c>
      <c r="AA66" s="318" t="str">
        <f t="shared" ca="1" si="14"/>
        <v/>
      </c>
      <c r="AB66" s="318" t="str">
        <f t="shared" ca="1" si="15"/>
        <v/>
      </c>
      <c r="AC66" s="318" t="str">
        <f t="shared" ca="1" si="16"/>
        <v/>
      </c>
      <c r="AD66" s="318" t="str">
        <f t="shared" ca="1" si="17"/>
        <v/>
      </c>
      <c r="AE66" s="318" t="str">
        <f t="shared" ca="1" si="18"/>
        <v/>
      </c>
      <c r="AG66" s="318">
        <f ca="1">IF(TYPE(VLOOKUP($A66,'1.kolo'!$L$3:$L$66,1,0))&gt;3,VLOOKUP($A66,'1.kolo'!$K$3:$L$66,2,0),VLOOKUP($A66,'1.kolo'!$L$3:$O$66,4,0))</f>
        <v>57</v>
      </c>
      <c r="AH66" s="318">
        <f ca="1">IF(TYPE(VLOOKUP($A66,'1.kolo'!$L$3:$L$66,1,0))&gt;3,VLOOKUP($A66,'1.kolo'!$O$3:$Q$66,2,0),VLOOKUP($A66,'1.kolo'!$L$3:$N$66,2,0))</f>
        <v>0</v>
      </c>
      <c r="AI66" s="318">
        <f ca="1">IF(TYPE(VLOOKUP($A66,'1.kolo'!$L$3:$L$66,1,0))&gt;3,VLOOKUP($A66,'1.kolo'!$O$3:$Q$66,3,0),VLOOKUP($A66,'1.kolo'!$L$3:$N$66,3,0))</f>
        <v>0</v>
      </c>
      <c r="AJ66" s="318">
        <f t="shared" ca="1" si="19"/>
        <v>0</v>
      </c>
      <c r="AK66" s="318">
        <v>64</v>
      </c>
      <c r="AL66" s="424"/>
      <c r="AP66" s="318" t="str">
        <f ca="1">IF(TYPE(VLOOKUP($A66,'2.kolo'!$L$3:$L$66,1,0))&gt;3,IF(TYPE(VLOOKUP($A66,'2.kolo'!$K$3:$L$66,2,0))&gt;3,0,VLOOKUP($A66,'2.kolo'!$K$3:$L$66,2,0)),VLOOKUP($A66,'2.kolo'!$L$3:$O$66,4,0))</f>
        <v/>
      </c>
      <c r="AQ66" s="318">
        <f ca="1">IF(TYPE(VLOOKUP($A66,'2.kolo'!$L$3:$L$66,1,0))&gt;3,IF(TYPE(VLOOKUP($A66,'2.kolo'!$O$3:$Q$66,2,0))&gt;3,0,VLOOKUP($A66,'2.kolo'!$O$3:$Q$66,2,0)),VLOOKUP($A66,'2.kolo'!$L$3:$N$66,2,0))</f>
        <v>0</v>
      </c>
      <c r="AR66" s="318">
        <f ca="1">IF(TYPE(VLOOKUP($A66,'2.kolo'!$L$3:$L$66,1,0))&gt;3,IF(TYPE(VLOOKUP($A66,'2.kolo'!$O$3:$Q$66,3,0))&gt;3,0,VLOOKUP($A66,'2.kolo'!$O$3:$Q$66,3,0)),VLOOKUP($A66,'2.kolo'!$L$3:$N$66,3,0))</f>
        <v>0</v>
      </c>
      <c r="AS66" s="318">
        <f t="shared" ca="1" si="20"/>
        <v>0</v>
      </c>
      <c r="AT66" s="397" t="s">
        <v>1869</v>
      </c>
      <c r="AU66" s="424" t="str">
        <f ca="1">IF(AT66="","",CONCATENATE(TEXT($O66,"0"),IF(Start.listina!$Y$5="","",TEXT(500+$P66,"000")),TEXT(999999*RAND(),"000000")))</f>
        <v/>
      </c>
      <c r="AV66" s="318">
        <f t="shared" ca="1" si="29"/>
        <v>0</v>
      </c>
      <c r="AY66" s="318" t="str">
        <f ca="1">IF(TYPE(VLOOKUP($A66,'3.kolo'!$L$3:$L$66,1,0))&gt;3,IF(TYPE(VLOOKUP($A66,'3.kolo'!$K$3:$L$66,2,0))&gt;3,0,VLOOKUP($A66,'3.kolo'!$K$3:$L$66,2,0)),VLOOKUP($A66,'3.kolo'!$L$3:$O$66,4,0))</f>
        <v/>
      </c>
      <c r="AZ66" s="318">
        <f ca="1">IF(TYPE(VLOOKUP($A66,'3.kolo'!$L$3:$L$66,1,0))&gt;3,IF(TYPE(VLOOKUP($A66,'3.kolo'!$O$3:$Q$66,2,0))&gt;3,0,VLOOKUP($A66,'3.kolo'!$O$3:$Q$66,2,0)),VLOOKUP($A66,'3.kolo'!$L$3:$N$66,2,0))</f>
        <v>0</v>
      </c>
      <c r="BA66" s="318">
        <f ca="1">IF(TYPE(VLOOKUP($A66,'3.kolo'!$L$3:$L$66,1,0))&gt;3,IF(TYPE(VLOOKUP($A66,'3.kolo'!$O$3:$Q$66,3,0))&gt;3,0,VLOOKUP($A66,'3.kolo'!$O$3:$Q$66,3,0)),VLOOKUP($A66,'3.kolo'!$L$3:$N$66,3,0))</f>
        <v>0</v>
      </c>
      <c r="BB66" s="318">
        <f t="shared" ca="1" si="21"/>
        <v>0</v>
      </c>
      <c r="BC66" s="397" t="s">
        <v>1869</v>
      </c>
      <c r="BD66" s="424" t="str">
        <f ca="1">IF(BC66="","",CONCATENATE(TEXT($O66,"0"),IF(Start.listina!$Y$5="","",TEXT(500+$P66,"000")),TEXT(999999*RAND(),"000000")))</f>
        <v/>
      </c>
      <c r="BE66" s="318">
        <f t="shared" ca="1" si="30"/>
        <v>0</v>
      </c>
      <c r="BH66" s="318" t="str">
        <f ca="1">IF(TYPE(VLOOKUP($A66,'4.kolo'!$L$3:$L$66,1,0))&gt;3,IF(TYPE(VLOOKUP($A66,'4.kolo'!$K$3:$L$66,2,0))&gt;3,0,VLOOKUP($A66,'4.kolo'!$K$3:$L$66,2,0)),VLOOKUP($A66,'4.kolo'!$L$3:$O$66,4,0))</f>
        <v/>
      </c>
      <c r="BI66" s="318">
        <f ca="1">IF(TYPE(VLOOKUP($A66,'4.kolo'!$L$3:$L$66,1,0))&gt;3,IF(TYPE(VLOOKUP($A66,'4.kolo'!$O$3:$Q$66,2,0))&gt;3,0,VLOOKUP($A66,'4.kolo'!$O$3:$Q$66,2,0)),VLOOKUP($A66,'4.kolo'!$L$3:$N$66,2,0))</f>
        <v>0</v>
      </c>
      <c r="BJ66" s="318">
        <f ca="1">IF(TYPE(VLOOKUP($A66,'4.kolo'!$L$3:$L$66,1,0))&gt;3,IF(TYPE(VLOOKUP($A66,'4.kolo'!$O$3:$Q$66,3,0))&gt;3,0,VLOOKUP($A66,'4.kolo'!$O$3:$Q$66,3,0)),VLOOKUP($A66,'4.kolo'!$L$3:$N$66,3,0))</f>
        <v>0</v>
      </c>
      <c r="BK66" s="318">
        <f t="shared" ca="1" si="22"/>
        <v>0</v>
      </c>
      <c r="BL66" s="397" t="s">
        <v>1869</v>
      </c>
      <c r="BM66" s="424" t="str">
        <f ca="1">IF(BL66="","",CONCATENATE(TEXT($O66,"0"),IF(Start.listina!$Y$5="","",TEXT(500+$P66,"000")),TEXT(999999*RAND(),"000000")))</f>
        <v/>
      </c>
      <c r="BN66" s="318">
        <f t="shared" ca="1" si="31"/>
        <v>0</v>
      </c>
      <c r="BQ66" s="318" t="str">
        <f ca="1">IF(TYPE(VLOOKUP($A66,'5.kolo'!$L$3:$L$66,1,0))&gt;3,IF(TYPE(VLOOKUP($A66,'5.kolo'!$K$3:$L$66,2,0))&gt;3,0,VLOOKUP($A66,'5.kolo'!$K$3:$L$66,2,0)),VLOOKUP($A66,'5.kolo'!$L$3:$O$66,4,0))</f>
        <v/>
      </c>
      <c r="BR66" s="318">
        <f ca="1">IF(TYPE(VLOOKUP($A66,'5.kolo'!$L$3:$L$66,1,0))&gt;3,IF(TYPE(VLOOKUP($A66,'5.kolo'!$O$3:$Q$66,2,0))&gt;3,0,VLOOKUP($A66,'5.kolo'!$O$3:$Q$66,2,0)),VLOOKUP($A66,'5.kolo'!$L$3:$N$66,2,0))</f>
        <v>0</v>
      </c>
      <c r="BS66" s="318">
        <f ca="1">IF(TYPE(VLOOKUP($A66,'5.kolo'!$L$3:$L$66,1,0))&gt;3,IF(TYPE(VLOOKUP($A66,'5.kolo'!$O$3:$Q$66,3,0))&gt;3,0,VLOOKUP($A66,'5.kolo'!$O$3:$Q$66,3,0)),VLOOKUP($A66,'5.kolo'!$L$3:$N$66,3,0))</f>
        <v>0</v>
      </c>
      <c r="BT66" s="318">
        <f t="shared" ca="1" si="23"/>
        <v>0</v>
      </c>
      <c r="BU66" s="397"/>
      <c r="BV66" s="424" t="str">
        <f ca="1">IF(BU66="","",CONCATENATE(TEXT($O66,"0"),IF(Start.listina!$Y$5="","",TEXT(500+$P66,"000")),TEXT(999999*RAND(),"000000")))</f>
        <v/>
      </c>
      <c r="BW66" s="318">
        <f t="shared" ca="1" si="32"/>
        <v>0</v>
      </c>
      <c r="BZ66" s="318" t="str">
        <f ca="1">IF(TYPE(VLOOKUP($A66,'6.kolo'!$L$3:$L$66,1,0))&gt;3,IF(TYPE(VLOOKUP($A66,'6.kolo'!$K$3:$L$66,2,0))&gt;3,0,VLOOKUP($A66,'6.kolo'!$K$3:$L$66,2,0)),VLOOKUP($A66,'6.kolo'!$L$3:$O$66,4,0))</f>
        <v/>
      </c>
      <c r="CA66" s="318">
        <f ca="1">IF(TYPE(VLOOKUP($A66,'6.kolo'!$L$3:$L$66,1,0))&gt;3,IF(TYPE(VLOOKUP($A66,'6.kolo'!$O$3:$Q$66,2,0))&gt;3,0,VLOOKUP($A66,'6.kolo'!$O$3:$Q$66,2,0)),VLOOKUP($A66,'6.kolo'!$L$3:$N$66,2,0))</f>
        <v>0</v>
      </c>
      <c r="CB66" s="318">
        <f ca="1">IF(TYPE(VLOOKUP($A66,'6.kolo'!$L$3:$L$66,1,0))&gt;3,IF(TYPE(VLOOKUP($A66,'6.kolo'!$O$3:$Q$66,3,0))&gt;3,0,VLOOKUP($A66,'6.kolo'!$O$3:$Q$66,3,0)),VLOOKUP($A66,'6.kolo'!$L$3:$N$66,3,0))</f>
        <v>0</v>
      </c>
      <c r="CC66" s="318">
        <f t="shared" ca="1" si="24"/>
        <v>0</v>
      </c>
      <c r="CD66" s="397"/>
      <c r="CE66" s="424" t="str">
        <f ca="1">IF(CD66="","",CONCATENATE(TEXT($O66,"0"),IF(Start.listina!$Y$5="","",TEXT(500+$P66,"000")),TEXT(999999*RAND(),"000000")))</f>
        <v/>
      </c>
      <c r="CF66" s="318">
        <f t="shared" ca="1" si="33"/>
        <v>0</v>
      </c>
    </row>
    <row r="67" spans="1:84" x14ac:dyDescent="0.4">
      <c r="A67" s="318" t="str">
        <f ca="1">IF(OR(Start.listina!H75&gt;Start.listina!$K$7,Start.listina!G75=TRUE),"",Start.listina!H75)</f>
        <v/>
      </c>
      <c r="B67" s="318" t="str">
        <f ca="1">IF($A67&gt;Start.listina!$K$7,"",INT(($A67-1)/Start.listina!$O$7)+1)</f>
        <v/>
      </c>
      <c r="C67" s="421" t="str">
        <f ca="1">IF(OR(Start.listina!H75&gt;Start.listina!$K$7,Start.listina!G75=TRUE)," - ",Start.listina!AL75)</f>
        <v xml:space="preserve"> - </v>
      </c>
      <c r="D67" s="318" t="str">
        <f ca="1">IF(OR(A67&gt;Start.listina!$K$7,TYPE(VLOOKUP(A67,$V$3:$X$130,3,0))&gt;3),"",VLOOKUP(A67,$V$3:$X$130,3,0))</f>
        <v/>
      </c>
      <c r="E67" s="422" t="str">
        <f ca="1">IF(A67&gt;Start.listina!$K$7,"",IF(MIN(F67:K67)&gt;Start.listina!$Y$4,D67,MIN(F67:K67)))</f>
        <v/>
      </c>
      <c r="F67" s="318">
        <f ca="1">IF(TYPE(VLOOKUP(C67,Konečné_pořadí_1_16!$B$2:$D$17,3,0))&lt;4,VLOOKUP(C67,Konečné_pořadí_1_16!$B$2:$D$17,3,0),999)</f>
        <v>999</v>
      </c>
      <c r="G67" s="318">
        <f ca="1">IF(TYPE(VLOOKUP(C67,'KO64'!$D$4:$D$129,1,0))&lt;4,64,999)</f>
        <v>64</v>
      </c>
      <c r="H67" s="318">
        <f ca="1">IF(TYPE(VLOOKUP(C67,'KO32'!$D$4:$D$65,1,0))&lt;4,32,999)</f>
        <v>32</v>
      </c>
      <c r="I67" s="318">
        <f ca="1">IF(TYPE(VLOOKUP(C67,'KO16'!$D$4:$D$33,1,0))&lt;4,16,999)</f>
        <v>999</v>
      </c>
      <c r="J67" s="318">
        <f ca="1">IF(TYPE(VLOOKUP(C67,'KO8'!$D$4:$D$17,1,0))&lt;4,8,999)</f>
        <v>999</v>
      </c>
      <c r="K67" s="318">
        <f ca="1">IF(TYPE(VLOOKUP(C67,'KO4'!$D$4:$D$9,1,0))&lt;4,4,999)</f>
        <v>999</v>
      </c>
      <c r="M67" s="319">
        <v>65</v>
      </c>
      <c r="O67" s="318">
        <f t="shared" ca="1" si="8"/>
        <v>0</v>
      </c>
      <c r="P67" s="318">
        <f t="shared" ca="1" si="9"/>
        <v>0</v>
      </c>
      <c r="Q67" s="318">
        <f t="shared" ref="Q67:Q98" ca="1" si="34">VLOOKUP($Z67,$A$3:$O$131,15,0)+VLOOKUP($AA67,$A$3:$O$131,15,0)+VLOOKUP($AB67,$A$3:$O$131,15,0)+VLOOKUP($AC67,$A$3:$O$131,15,0)+VLOOKUP($AD67,$A$3:$O$131,15,0)+VLOOKUP($AE67,$A$3:$O$131,15,0)</f>
        <v>2</v>
      </c>
      <c r="R67" s="318">
        <f t="shared" ref="R67:R98" ca="1" si="35">IF(AH67=0,0,VLOOKUP($Z67,$A$3:$O$130,15,0))+IF(AQ67=0,0,VLOOKUP($AA67,$A$3:$O$130,15,0))+IF(AZ67=0,0,VLOOKUP($AB67,$A$3:$O$130,15,0))+IF(BI67=0,0,VLOOKUP($AC67,$A$3:$O$130,15,0))+IF(BR67=0,0,VLOOKUP($AD67,$A$3:$O$130,15,0))+IF(CA67=0,0,VLOOKUP($AE67,$A$3:$O$130,15,0))</f>
        <v>0</v>
      </c>
      <c r="S67" s="318">
        <f t="shared" ca="1" si="10"/>
        <v>18</v>
      </c>
      <c r="T67" s="318">
        <f t="shared" ca="1" si="11"/>
        <v>0</v>
      </c>
      <c r="U67" s="397">
        <f t="shared" si="25"/>
        <v>65</v>
      </c>
      <c r="V67" s="397" t="s">
        <v>1869</v>
      </c>
      <c r="W67" s="423" t="str">
        <f ca="1">IF($V67="","",CONCATENATE(TEXT($O67,"0"),IF(Start.listina!$Y$5="","",TEXT(500+$P67,"0000")),IF(Start.listina!$Y$6="","",CHOOSE(Start.listina!$Y$7,TEXT($Q67,"00"),CONCATENATE(TEXT($Q67,"00"),TEXT($S67,"000")), TEXT($R67,"00"))),TEXT(500+$P67,"0000"),IF(Start.listina!$Y$8="","",TEXT($T67,"0")),TEXT(999999*RAND(),"000000")))</f>
        <v/>
      </c>
      <c r="X67" s="399">
        <f t="shared" si="12"/>
        <v>65</v>
      </c>
      <c r="Y67" s="397">
        <f t="shared" ref="Y67:Y98" ca="1" si="36">IF(TYPE(VLOOKUP(V67,$A$3:$O$130,15,0))&gt;3,0,VLOOKUP(V67,$A$3:$O$130,15,0))</f>
        <v>0</v>
      </c>
      <c r="Z67" s="318">
        <f t="shared" ca="1" si="13"/>
        <v>57</v>
      </c>
      <c r="AA67" s="318" t="str">
        <f t="shared" ca="1" si="14"/>
        <v/>
      </c>
      <c r="AB67" s="318" t="str">
        <f t="shared" ca="1" si="15"/>
        <v/>
      </c>
      <c r="AC67" s="318" t="str">
        <f t="shared" ca="1" si="16"/>
        <v/>
      </c>
      <c r="AD67" s="318" t="str">
        <f t="shared" ca="1" si="17"/>
        <v/>
      </c>
      <c r="AE67" s="318" t="str">
        <f t="shared" ca="1" si="18"/>
        <v/>
      </c>
      <c r="AG67" s="318">
        <f ca="1">IF(TYPE(VLOOKUP($A67,'1.kolo'!$L$3:$L$66,1,0))&gt;3,VLOOKUP($A67,'1.kolo'!$K$3:$L$66,2,0),VLOOKUP($A67,'1.kolo'!$L$3:$O$66,4,0))</f>
        <v>57</v>
      </c>
      <c r="AH67" s="318">
        <f ca="1">IF(TYPE(VLOOKUP($A67,'1.kolo'!$L$3:$L$66,1,0))&gt;3,VLOOKUP($A67,'1.kolo'!$O$3:$Q$66,2,0),VLOOKUP($A67,'1.kolo'!$L$3:$N$66,2,0))</f>
        <v>0</v>
      </c>
      <c r="AI67" s="318">
        <f ca="1">IF(TYPE(VLOOKUP($A67,'1.kolo'!$L$3:$L$66,1,0))&gt;3,VLOOKUP($A67,'1.kolo'!$O$3:$Q$66,3,0),VLOOKUP($A67,'1.kolo'!$L$3:$N$66,3,0))</f>
        <v>0</v>
      </c>
      <c r="AJ67" s="318">
        <f t="shared" ca="1" si="19"/>
        <v>0</v>
      </c>
      <c r="AK67" s="318">
        <v>65</v>
      </c>
      <c r="AL67" s="424"/>
      <c r="AP67" s="318" t="str">
        <f ca="1">IF(TYPE(VLOOKUP($A67,'2.kolo'!$L$3:$L$66,1,0))&gt;3,IF(TYPE(VLOOKUP($A67,'2.kolo'!$K$3:$L$66,2,0))&gt;3,0,VLOOKUP($A67,'2.kolo'!$K$3:$L$66,2,0)),VLOOKUP($A67,'2.kolo'!$L$3:$O$66,4,0))</f>
        <v/>
      </c>
      <c r="AQ67" s="318">
        <f ca="1">IF(TYPE(VLOOKUP($A67,'2.kolo'!$L$3:$L$66,1,0))&gt;3,IF(TYPE(VLOOKUP($A67,'2.kolo'!$O$3:$Q$66,2,0))&gt;3,0,VLOOKUP($A67,'2.kolo'!$O$3:$Q$66,2,0)),VLOOKUP($A67,'2.kolo'!$L$3:$N$66,2,0))</f>
        <v>0</v>
      </c>
      <c r="AR67" s="318">
        <f ca="1">IF(TYPE(VLOOKUP($A67,'2.kolo'!$L$3:$L$66,1,0))&gt;3,IF(TYPE(VLOOKUP($A67,'2.kolo'!$O$3:$Q$66,3,0))&gt;3,0,VLOOKUP($A67,'2.kolo'!$O$3:$Q$66,3,0)),VLOOKUP($A67,'2.kolo'!$L$3:$N$66,3,0))</f>
        <v>0</v>
      </c>
      <c r="AS67" s="318">
        <f t="shared" ca="1" si="20"/>
        <v>0</v>
      </c>
      <c r="AT67" s="397" t="s">
        <v>1869</v>
      </c>
      <c r="AU67" s="424" t="str">
        <f ca="1">IF(AT67="","",CONCATENATE(TEXT($O67,"0"),IF(Start.listina!$Y$5="","",TEXT(500+$P67,"000")),TEXT(999999*RAND(),"000000")))</f>
        <v/>
      </c>
      <c r="AV67" s="318">
        <f t="shared" ref="AV67:AV98" ca="1" si="37">IF(OR(AND(N(AP67)=0,N(AT67)=0),TYPE(MATCH($AA67,$Z67:$Z67,0))&gt;1),0,1)</f>
        <v>0</v>
      </c>
      <c r="AY67" s="318" t="str">
        <f ca="1">IF(TYPE(VLOOKUP($A67,'3.kolo'!$L$3:$L$66,1,0))&gt;3,IF(TYPE(VLOOKUP($A67,'3.kolo'!$K$3:$L$66,2,0))&gt;3,0,VLOOKUP($A67,'3.kolo'!$K$3:$L$66,2,0)),VLOOKUP($A67,'3.kolo'!$L$3:$O$66,4,0))</f>
        <v/>
      </c>
      <c r="AZ67" s="318">
        <f ca="1">IF(TYPE(VLOOKUP($A67,'3.kolo'!$L$3:$L$66,1,0))&gt;3,IF(TYPE(VLOOKUP($A67,'3.kolo'!$O$3:$Q$66,2,0))&gt;3,0,VLOOKUP($A67,'3.kolo'!$O$3:$Q$66,2,0)),VLOOKUP($A67,'3.kolo'!$L$3:$N$66,2,0))</f>
        <v>0</v>
      </c>
      <c r="BA67" s="318">
        <f ca="1">IF(TYPE(VLOOKUP($A67,'3.kolo'!$L$3:$L$66,1,0))&gt;3,IF(TYPE(VLOOKUP($A67,'3.kolo'!$O$3:$Q$66,3,0))&gt;3,0,VLOOKUP($A67,'3.kolo'!$O$3:$Q$66,3,0)),VLOOKUP($A67,'3.kolo'!$L$3:$N$66,3,0))</f>
        <v>0</v>
      </c>
      <c r="BB67" s="318">
        <f t="shared" ca="1" si="21"/>
        <v>0</v>
      </c>
      <c r="BC67" s="397" t="s">
        <v>1869</v>
      </c>
      <c r="BD67" s="424" t="str">
        <f ca="1">IF(BC67="","",CONCATENATE(TEXT($O67,"0"),IF(Start.listina!$Y$5="","",TEXT(500+$P67,"000")),TEXT(999999*RAND(),"000000")))</f>
        <v/>
      </c>
      <c r="BE67" s="318">
        <f t="shared" ref="BE67:BE98" ca="1" si="38">IF(OR(AND(N(AY67)=0,N(BC67)=0),TYPE(MATCH($AB67,$Z67:$AA67,0))&gt;1),0,1)</f>
        <v>0</v>
      </c>
      <c r="BH67" s="318" t="str">
        <f ca="1">IF(TYPE(VLOOKUP($A67,'4.kolo'!$L$3:$L$66,1,0))&gt;3,IF(TYPE(VLOOKUP($A67,'4.kolo'!$K$3:$L$66,2,0))&gt;3,0,VLOOKUP($A67,'4.kolo'!$K$3:$L$66,2,0)),VLOOKUP($A67,'4.kolo'!$L$3:$O$66,4,0))</f>
        <v/>
      </c>
      <c r="BI67" s="318">
        <f ca="1">IF(TYPE(VLOOKUP($A67,'4.kolo'!$L$3:$L$66,1,0))&gt;3,IF(TYPE(VLOOKUP($A67,'4.kolo'!$O$3:$Q$66,2,0))&gt;3,0,VLOOKUP($A67,'4.kolo'!$O$3:$Q$66,2,0)),VLOOKUP($A67,'4.kolo'!$L$3:$N$66,2,0))</f>
        <v>0</v>
      </c>
      <c r="BJ67" s="318">
        <f ca="1">IF(TYPE(VLOOKUP($A67,'4.kolo'!$L$3:$L$66,1,0))&gt;3,IF(TYPE(VLOOKUP($A67,'4.kolo'!$O$3:$Q$66,3,0))&gt;3,0,VLOOKUP($A67,'4.kolo'!$O$3:$Q$66,3,0)),VLOOKUP($A67,'4.kolo'!$L$3:$N$66,3,0))</f>
        <v>0</v>
      </c>
      <c r="BK67" s="318">
        <f t="shared" ca="1" si="22"/>
        <v>0</v>
      </c>
      <c r="BL67" s="397" t="s">
        <v>1869</v>
      </c>
      <c r="BM67" s="424" t="str">
        <f ca="1">IF(BL67="","",CONCATENATE(TEXT($O67,"0"),IF(Start.listina!$Y$5="","",TEXT(500+$P67,"000")),TEXT(999999*RAND(),"000000")))</f>
        <v/>
      </c>
      <c r="BN67" s="318">
        <f t="shared" ref="BN67:BN98" ca="1" si="39">IF(OR(AND(N(BH67)=0,N(BL67)=0),TYPE(MATCH($AC67,$Z67:$AB67,0))&gt;1),0,1)</f>
        <v>0</v>
      </c>
      <c r="BQ67" s="318" t="str">
        <f ca="1">IF(TYPE(VLOOKUP($A67,'5.kolo'!$L$3:$L$66,1,0))&gt;3,IF(TYPE(VLOOKUP($A67,'5.kolo'!$K$3:$L$66,2,0))&gt;3,0,VLOOKUP($A67,'5.kolo'!$K$3:$L$66,2,0)),VLOOKUP($A67,'5.kolo'!$L$3:$O$66,4,0))</f>
        <v/>
      </c>
      <c r="BR67" s="318">
        <f ca="1">IF(TYPE(VLOOKUP($A67,'5.kolo'!$L$3:$L$66,1,0))&gt;3,IF(TYPE(VLOOKUP($A67,'5.kolo'!$O$3:$Q$66,2,0))&gt;3,0,VLOOKUP($A67,'5.kolo'!$O$3:$Q$66,2,0)),VLOOKUP($A67,'5.kolo'!$L$3:$N$66,2,0))</f>
        <v>0</v>
      </c>
      <c r="BS67" s="318">
        <f ca="1">IF(TYPE(VLOOKUP($A67,'5.kolo'!$L$3:$L$66,1,0))&gt;3,IF(TYPE(VLOOKUP($A67,'5.kolo'!$O$3:$Q$66,3,0))&gt;3,0,VLOOKUP($A67,'5.kolo'!$O$3:$Q$66,3,0)),VLOOKUP($A67,'5.kolo'!$L$3:$N$66,3,0))</f>
        <v>0</v>
      </c>
      <c r="BT67" s="318">
        <f t="shared" ca="1" si="23"/>
        <v>0</v>
      </c>
      <c r="BU67" s="397"/>
      <c r="BV67" s="424" t="str">
        <f ca="1">IF(BU67="","",CONCATENATE(TEXT($O67,"0"),IF(Start.listina!$Y$5="","",TEXT(500+$P67,"000")),TEXT(999999*RAND(),"000000")))</f>
        <v/>
      </c>
      <c r="BW67" s="318">
        <f t="shared" ref="BW67:BW98" ca="1" si="40">IF(OR(AND(N(BQ67)=0,N(BU67)=0),TYPE(MATCH($AD67,$Z67:$AC67,0))&gt;1),0,1)</f>
        <v>0</v>
      </c>
      <c r="BZ67" s="318" t="str">
        <f ca="1">IF(TYPE(VLOOKUP($A67,'6.kolo'!$L$3:$L$66,1,0))&gt;3,IF(TYPE(VLOOKUP($A67,'6.kolo'!$K$3:$L$66,2,0))&gt;3,0,VLOOKUP($A67,'6.kolo'!$K$3:$L$66,2,0)),VLOOKUP($A67,'6.kolo'!$L$3:$O$66,4,0))</f>
        <v/>
      </c>
      <c r="CA67" s="318">
        <f ca="1">IF(TYPE(VLOOKUP($A67,'6.kolo'!$L$3:$L$66,1,0))&gt;3,IF(TYPE(VLOOKUP($A67,'6.kolo'!$O$3:$Q$66,2,0))&gt;3,0,VLOOKUP($A67,'6.kolo'!$O$3:$Q$66,2,0)),VLOOKUP($A67,'6.kolo'!$L$3:$N$66,2,0))</f>
        <v>0</v>
      </c>
      <c r="CB67" s="318">
        <f ca="1">IF(TYPE(VLOOKUP($A67,'6.kolo'!$L$3:$L$66,1,0))&gt;3,IF(TYPE(VLOOKUP($A67,'6.kolo'!$O$3:$Q$66,3,0))&gt;3,0,VLOOKUP($A67,'6.kolo'!$O$3:$Q$66,3,0)),VLOOKUP($A67,'6.kolo'!$L$3:$N$66,3,0))</f>
        <v>0</v>
      </c>
      <c r="CC67" s="318">
        <f t="shared" ca="1" si="24"/>
        <v>0</v>
      </c>
      <c r="CD67" s="397"/>
      <c r="CE67" s="424" t="str">
        <f ca="1">IF(CD67="","",CONCATENATE(TEXT($O67,"0"),IF(Start.listina!$Y$5="","",TEXT(500+$P67,"000")),TEXT(999999*RAND(),"000000")))</f>
        <v/>
      </c>
      <c r="CF67" s="318">
        <f t="shared" ref="CF67:CF98" ca="1" si="41">IF(OR(AND(N(BZ67)=0,N(CD67)=0),TYPE(MATCH($AE67,$Z67:$AD67,0))&gt;1),0,1)</f>
        <v>0</v>
      </c>
    </row>
    <row r="68" spans="1:84" x14ac:dyDescent="0.4">
      <c r="A68" s="318" t="str">
        <f ca="1">IF(OR(Start.listina!H76&gt;Start.listina!$K$7,Start.listina!G76=TRUE),"",Start.listina!H76)</f>
        <v/>
      </c>
      <c r="B68" s="318" t="str">
        <f ca="1">IF($A68&gt;Start.listina!$K$7,"",INT(($A68-1)/Start.listina!$O$7)+1)</f>
        <v/>
      </c>
      <c r="C68" s="421" t="str">
        <f ca="1">IF(OR(Start.listina!H76&gt;Start.listina!$K$7,Start.listina!G76=TRUE)," - ",Start.listina!AL76)</f>
        <v xml:space="preserve"> - </v>
      </c>
      <c r="D68" s="318" t="str">
        <f ca="1">IF(OR(A68&gt;Start.listina!$K$7,TYPE(VLOOKUP(A68,$V$3:$X$130,3,0))&gt;3),"",VLOOKUP(A68,$V$3:$X$130,3,0))</f>
        <v/>
      </c>
      <c r="E68" s="422" t="str">
        <f ca="1">IF(A68&gt;Start.listina!$K$7,"",IF(MIN(F68:K68)&gt;Start.listina!$Y$4,D68,MIN(F68:K68)))</f>
        <v/>
      </c>
      <c r="F68" s="318">
        <f ca="1">IF(TYPE(VLOOKUP(C68,Konečné_pořadí_1_16!$B$2:$D$17,3,0))&lt;4,VLOOKUP(C68,Konečné_pořadí_1_16!$B$2:$D$17,3,0),999)</f>
        <v>999</v>
      </c>
      <c r="G68" s="318">
        <f ca="1">IF(TYPE(VLOOKUP(C68,'KO64'!$D$4:$D$129,1,0))&lt;4,64,999)</f>
        <v>64</v>
      </c>
      <c r="H68" s="318">
        <f ca="1">IF(TYPE(VLOOKUP(C68,'KO32'!$D$4:$D$65,1,0))&lt;4,32,999)</f>
        <v>32</v>
      </c>
      <c r="I68" s="318">
        <f ca="1">IF(TYPE(VLOOKUP(C68,'KO16'!$D$4:$D$33,1,0))&lt;4,16,999)</f>
        <v>999</v>
      </c>
      <c r="J68" s="318">
        <f ca="1">IF(TYPE(VLOOKUP(C68,'KO8'!$D$4:$D$17,1,0))&lt;4,8,999)</f>
        <v>999</v>
      </c>
      <c r="K68" s="318">
        <f ca="1">IF(TYPE(VLOOKUP(C68,'KO4'!$D$4:$D$9,1,0))&lt;4,4,999)</f>
        <v>999</v>
      </c>
      <c r="M68" s="319">
        <v>66</v>
      </c>
      <c r="O68" s="318">
        <f t="shared" ref="O68:O130" ca="1" si="42">AH68+AQ68+AZ68+BI68+BR68+CA68</f>
        <v>0</v>
      </c>
      <c r="P68" s="318">
        <f t="shared" ref="P68:P130" ca="1" si="43">AI68+AR68+BA68+BJ68+BS68+CB68</f>
        <v>0</v>
      </c>
      <c r="Q68" s="318">
        <f t="shared" ca="1" si="34"/>
        <v>2</v>
      </c>
      <c r="R68" s="318">
        <f t="shared" ca="1" si="35"/>
        <v>0</v>
      </c>
      <c r="S68" s="318">
        <f t="shared" ref="S68:S130" ca="1" si="44">VLOOKUP($Z68,$A$3:$Q$131,17,0)+VLOOKUP($AA68,$A$3:$Q$131,17,0)+VLOOKUP($AB68,$A$3:$Q$131,17,0)+VLOOKUP($AC68,$A$3:$Q$131,17,0)+VLOOKUP($AD68,$A$3:$Q$131,17,0)+VLOOKUP($AE68,$A$3:$Q$131,17,0)</f>
        <v>18</v>
      </c>
      <c r="T68" s="318">
        <f t="shared" ref="T68:T130" ca="1" si="45">AJ68+AS68+BB68+BK68+BT68+CC68</f>
        <v>0</v>
      </c>
      <c r="U68" s="397">
        <f t="shared" si="25"/>
        <v>66</v>
      </c>
      <c r="V68" s="397" t="s">
        <v>1869</v>
      </c>
      <c r="W68" s="423" t="str">
        <f ca="1">IF($V68="","",CONCATENATE(TEXT($O68,"0"),IF(Start.listina!$Y$5="","",TEXT(500+$P68,"0000")),IF(Start.listina!$Y$6="","",CHOOSE(Start.listina!$Y$7,TEXT($Q68,"00"),CONCATENATE(TEXT($Q68,"00"),TEXT($S68,"000")), TEXT($R68,"00"))),TEXT(500+$P68,"0000"),IF(Start.listina!$Y$8="","",TEXT($T68,"0")),TEXT(999999*RAND(),"000000")))</f>
        <v/>
      </c>
      <c r="X68" s="399">
        <f t="shared" ref="X68:X130" si="46">ROW()-2</f>
        <v>66</v>
      </c>
      <c r="Y68" s="397">
        <f t="shared" ca="1" si="36"/>
        <v>0</v>
      </c>
      <c r="Z68" s="318">
        <f t="shared" ref="Z68:Z130" ca="1" si="47">$AG68</f>
        <v>57</v>
      </c>
      <c r="AA68" s="318" t="str">
        <f t="shared" ref="AA68:AA130" ca="1" si="48">$AP68</f>
        <v/>
      </c>
      <c r="AB68" s="318" t="str">
        <f t="shared" ref="AB68:AB130" ca="1" si="49">$AY68</f>
        <v/>
      </c>
      <c r="AC68" s="318" t="str">
        <f t="shared" ref="AC68:AC130" ca="1" si="50">$BH68</f>
        <v/>
      </c>
      <c r="AD68" s="318" t="str">
        <f t="shared" ref="AD68:AD130" ca="1" si="51">$BQ68</f>
        <v/>
      </c>
      <c r="AE68" s="318" t="str">
        <f t="shared" ref="AE68:AE130" ca="1" si="52">$BZ68</f>
        <v/>
      </c>
      <c r="AG68" s="318">
        <f ca="1">IF(TYPE(VLOOKUP($A68,'1.kolo'!$L$3:$L$66,1,0))&gt;3,VLOOKUP($A68,'1.kolo'!$K$3:$L$66,2,0),VLOOKUP($A68,'1.kolo'!$L$3:$O$66,4,0))</f>
        <v>57</v>
      </c>
      <c r="AH68" s="318">
        <f ca="1">IF(TYPE(VLOOKUP($A68,'1.kolo'!$L$3:$L$66,1,0))&gt;3,VLOOKUP($A68,'1.kolo'!$O$3:$Q$66,2,0),VLOOKUP($A68,'1.kolo'!$L$3:$N$66,2,0))</f>
        <v>0</v>
      </c>
      <c r="AI68" s="318">
        <f ca="1">IF(TYPE(VLOOKUP($A68,'1.kolo'!$L$3:$L$66,1,0))&gt;3,VLOOKUP($A68,'1.kolo'!$O$3:$Q$66,3,0),VLOOKUP($A68,'1.kolo'!$L$3:$N$66,3,0))</f>
        <v>0</v>
      </c>
      <c r="AJ68" s="318">
        <f t="shared" ref="AJ68:AJ130" ca="1" si="53">IF(AND(VLOOKUP($AG68,$A$3:$B$130,2,0)=1,AH68=1),1,0)</f>
        <v>0</v>
      </c>
      <c r="AK68" s="318">
        <v>66</v>
      </c>
      <c r="AL68" s="424"/>
      <c r="AP68" s="318" t="str">
        <f ca="1">IF(TYPE(VLOOKUP($A68,'2.kolo'!$L$3:$L$66,1,0))&gt;3,IF(TYPE(VLOOKUP($A68,'2.kolo'!$K$3:$L$66,2,0))&gt;3,0,VLOOKUP($A68,'2.kolo'!$K$3:$L$66,2,0)),VLOOKUP($A68,'2.kolo'!$L$3:$O$66,4,0))</f>
        <v/>
      </c>
      <c r="AQ68" s="318">
        <f ca="1">IF(TYPE(VLOOKUP($A68,'2.kolo'!$L$3:$L$66,1,0))&gt;3,IF(TYPE(VLOOKUP($A68,'2.kolo'!$O$3:$Q$66,2,0))&gt;3,0,VLOOKUP($A68,'2.kolo'!$O$3:$Q$66,2,0)),VLOOKUP($A68,'2.kolo'!$L$3:$N$66,2,0))</f>
        <v>0</v>
      </c>
      <c r="AR68" s="318">
        <f ca="1">IF(TYPE(VLOOKUP($A68,'2.kolo'!$L$3:$L$66,1,0))&gt;3,IF(TYPE(VLOOKUP($A68,'2.kolo'!$O$3:$Q$66,3,0))&gt;3,0,VLOOKUP($A68,'2.kolo'!$O$3:$Q$66,3,0)),VLOOKUP($A68,'2.kolo'!$L$3:$N$66,3,0))</f>
        <v>0</v>
      </c>
      <c r="AS68" s="318">
        <f t="shared" ref="AS68:AS130" ca="1" si="54">IF(AND(VLOOKUP($AG68,$A$3:$B$130,2,0)=1,AQ68=1),1,0)</f>
        <v>0</v>
      </c>
      <c r="AT68" s="397" t="s">
        <v>1869</v>
      </c>
      <c r="AU68" s="424" t="str">
        <f ca="1">IF(AT68="","",CONCATENATE(TEXT($O68,"0"),IF(Start.listina!$Y$5="","",TEXT(500+$P68,"000")),TEXT(999999*RAND(),"000000")))</f>
        <v/>
      </c>
      <c r="AV68" s="318">
        <f t="shared" ca="1" si="37"/>
        <v>0</v>
      </c>
      <c r="AY68" s="318" t="str">
        <f ca="1">IF(TYPE(VLOOKUP($A68,'3.kolo'!$L$3:$L$66,1,0))&gt;3,IF(TYPE(VLOOKUP($A68,'3.kolo'!$K$3:$L$66,2,0))&gt;3,0,VLOOKUP($A68,'3.kolo'!$K$3:$L$66,2,0)),VLOOKUP($A68,'3.kolo'!$L$3:$O$66,4,0))</f>
        <v/>
      </c>
      <c r="AZ68" s="318">
        <f ca="1">IF(TYPE(VLOOKUP($A68,'3.kolo'!$L$3:$L$66,1,0))&gt;3,IF(TYPE(VLOOKUP($A68,'3.kolo'!$O$3:$Q$66,2,0))&gt;3,0,VLOOKUP($A68,'3.kolo'!$O$3:$Q$66,2,0)),VLOOKUP($A68,'3.kolo'!$L$3:$N$66,2,0))</f>
        <v>0</v>
      </c>
      <c r="BA68" s="318">
        <f ca="1">IF(TYPE(VLOOKUP($A68,'3.kolo'!$L$3:$L$66,1,0))&gt;3,IF(TYPE(VLOOKUP($A68,'3.kolo'!$O$3:$Q$66,3,0))&gt;3,0,VLOOKUP($A68,'3.kolo'!$O$3:$Q$66,3,0)),VLOOKUP($A68,'3.kolo'!$L$3:$N$66,3,0))</f>
        <v>0</v>
      </c>
      <c r="BB68" s="318">
        <f t="shared" ref="BB68:BB130" ca="1" si="55">IF(AND(VLOOKUP($AG68,$A$3:$B$130,2,0)=1,AZ68=1),1,0)</f>
        <v>0</v>
      </c>
      <c r="BC68" s="397" t="s">
        <v>1869</v>
      </c>
      <c r="BD68" s="424" t="str">
        <f ca="1">IF(BC68="","",CONCATENATE(TEXT($O68,"0"),IF(Start.listina!$Y$5="","",TEXT(500+$P68,"000")),TEXT(999999*RAND(),"000000")))</f>
        <v/>
      </c>
      <c r="BE68" s="318">
        <f t="shared" ca="1" si="38"/>
        <v>0</v>
      </c>
      <c r="BH68" s="318" t="str">
        <f ca="1">IF(TYPE(VLOOKUP($A68,'4.kolo'!$L$3:$L$66,1,0))&gt;3,IF(TYPE(VLOOKUP($A68,'4.kolo'!$K$3:$L$66,2,0))&gt;3,0,VLOOKUP($A68,'4.kolo'!$K$3:$L$66,2,0)),VLOOKUP($A68,'4.kolo'!$L$3:$O$66,4,0))</f>
        <v/>
      </c>
      <c r="BI68" s="318">
        <f ca="1">IF(TYPE(VLOOKUP($A68,'4.kolo'!$L$3:$L$66,1,0))&gt;3,IF(TYPE(VLOOKUP($A68,'4.kolo'!$O$3:$Q$66,2,0))&gt;3,0,VLOOKUP($A68,'4.kolo'!$O$3:$Q$66,2,0)),VLOOKUP($A68,'4.kolo'!$L$3:$N$66,2,0))</f>
        <v>0</v>
      </c>
      <c r="BJ68" s="318">
        <f ca="1">IF(TYPE(VLOOKUP($A68,'4.kolo'!$L$3:$L$66,1,0))&gt;3,IF(TYPE(VLOOKUP($A68,'4.kolo'!$O$3:$Q$66,3,0))&gt;3,0,VLOOKUP($A68,'4.kolo'!$O$3:$Q$66,3,0)),VLOOKUP($A68,'4.kolo'!$L$3:$N$66,3,0))</f>
        <v>0</v>
      </c>
      <c r="BK68" s="318">
        <f t="shared" ref="BK68:BK130" ca="1" si="56">IF(AND(VLOOKUP($AG68,$A$3:$B$130,2,0)=1,BI68=1),1,0)</f>
        <v>0</v>
      </c>
      <c r="BL68" s="397" t="s">
        <v>1869</v>
      </c>
      <c r="BM68" s="424" t="str">
        <f ca="1">IF(BL68="","",CONCATENATE(TEXT($O68,"0"),IF(Start.listina!$Y$5="","",TEXT(500+$P68,"000")),TEXT(999999*RAND(),"000000")))</f>
        <v/>
      </c>
      <c r="BN68" s="318">
        <f t="shared" ca="1" si="39"/>
        <v>0</v>
      </c>
      <c r="BQ68" s="318" t="str">
        <f ca="1">IF(TYPE(VLOOKUP($A68,'5.kolo'!$L$3:$L$66,1,0))&gt;3,IF(TYPE(VLOOKUP($A68,'5.kolo'!$K$3:$L$66,2,0))&gt;3,0,VLOOKUP($A68,'5.kolo'!$K$3:$L$66,2,0)),VLOOKUP($A68,'5.kolo'!$L$3:$O$66,4,0))</f>
        <v/>
      </c>
      <c r="BR68" s="318">
        <f ca="1">IF(TYPE(VLOOKUP($A68,'5.kolo'!$L$3:$L$66,1,0))&gt;3,IF(TYPE(VLOOKUP($A68,'5.kolo'!$O$3:$Q$66,2,0))&gt;3,0,VLOOKUP($A68,'5.kolo'!$O$3:$Q$66,2,0)),VLOOKUP($A68,'5.kolo'!$L$3:$N$66,2,0))</f>
        <v>0</v>
      </c>
      <c r="BS68" s="318">
        <f ca="1">IF(TYPE(VLOOKUP($A68,'5.kolo'!$L$3:$L$66,1,0))&gt;3,IF(TYPE(VLOOKUP($A68,'5.kolo'!$O$3:$Q$66,3,0))&gt;3,0,VLOOKUP($A68,'5.kolo'!$O$3:$Q$66,3,0)),VLOOKUP($A68,'5.kolo'!$L$3:$N$66,3,0))</f>
        <v>0</v>
      </c>
      <c r="BT68" s="318">
        <f t="shared" ref="BT68:BT130" ca="1" si="57">IF(AND(VLOOKUP($AG68,$A$3:$B$130,2,0)=1,BR68=1),1,0)</f>
        <v>0</v>
      </c>
      <c r="BU68" s="397"/>
      <c r="BV68" s="424" t="str">
        <f ca="1">IF(BU68="","",CONCATENATE(TEXT($O68,"0"),IF(Start.listina!$Y$5="","",TEXT(500+$P68,"000")),TEXT(999999*RAND(),"000000")))</f>
        <v/>
      </c>
      <c r="BW68" s="318">
        <f t="shared" ca="1" si="40"/>
        <v>0</v>
      </c>
      <c r="BZ68" s="318" t="str">
        <f ca="1">IF(TYPE(VLOOKUP($A68,'6.kolo'!$L$3:$L$66,1,0))&gt;3,IF(TYPE(VLOOKUP($A68,'6.kolo'!$K$3:$L$66,2,0))&gt;3,0,VLOOKUP($A68,'6.kolo'!$K$3:$L$66,2,0)),VLOOKUP($A68,'6.kolo'!$L$3:$O$66,4,0))</f>
        <v/>
      </c>
      <c r="CA68" s="318">
        <f ca="1">IF(TYPE(VLOOKUP($A68,'6.kolo'!$L$3:$L$66,1,0))&gt;3,IF(TYPE(VLOOKUP($A68,'6.kolo'!$O$3:$Q$66,2,0))&gt;3,0,VLOOKUP($A68,'6.kolo'!$O$3:$Q$66,2,0)),VLOOKUP($A68,'6.kolo'!$L$3:$N$66,2,0))</f>
        <v>0</v>
      </c>
      <c r="CB68" s="318">
        <f ca="1">IF(TYPE(VLOOKUP($A68,'6.kolo'!$L$3:$L$66,1,0))&gt;3,IF(TYPE(VLOOKUP($A68,'6.kolo'!$O$3:$Q$66,3,0))&gt;3,0,VLOOKUP($A68,'6.kolo'!$O$3:$Q$66,3,0)),VLOOKUP($A68,'6.kolo'!$L$3:$N$66,3,0))</f>
        <v>0</v>
      </c>
      <c r="CC68" s="318">
        <f t="shared" ref="CC68:CC130" ca="1" si="58">IF(AND(VLOOKUP($AG68,$A$3:$B$130,2,0)=1,CA68=1),1,0)</f>
        <v>0</v>
      </c>
      <c r="CD68" s="397"/>
      <c r="CE68" s="424" t="str">
        <f ca="1">IF(CD68="","",CONCATENATE(TEXT($O68,"0"),IF(Start.listina!$Y$5="","",TEXT(500+$P68,"000")),TEXT(999999*RAND(),"000000")))</f>
        <v/>
      </c>
      <c r="CF68" s="318">
        <f t="shared" ca="1" si="41"/>
        <v>0</v>
      </c>
    </row>
    <row r="69" spans="1:84" x14ac:dyDescent="0.4">
      <c r="A69" s="318" t="str">
        <f ca="1">IF(OR(Start.listina!H77&gt;Start.listina!$K$7,Start.listina!G77=TRUE),"",Start.listina!H77)</f>
        <v/>
      </c>
      <c r="B69" s="318" t="str">
        <f ca="1">IF($A69&gt;Start.listina!$K$7,"",INT(($A69-1)/Start.listina!$O$7)+1)</f>
        <v/>
      </c>
      <c r="C69" s="421" t="str">
        <f ca="1">IF(OR(Start.listina!H77&gt;Start.listina!$K$7,Start.listina!G77=TRUE)," - ",Start.listina!AL77)</f>
        <v xml:space="preserve"> - </v>
      </c>
      <c r="D69" s="318" t="str">
        <f ca="1">IF(OR(A69&gt;Start.listina!$K$7,TYPE(VLOOKUP(A69,$V$3:$X$130,3,0))&gt;3),"",VLOOKUP(A69,$V$3:$X$130,3,0))</f>
        <v/>
      </c>
      <c r="E69" s="422" t="str">
        <f ca="1">IF(A69&gt;Start.listina!$K$7,"",IF(MIN(F69:K69)&gt;Start.listina!$Y$4,D69,MIN(F69:K69)))</f>
        <v/>
      </c>
      <c r="F69" s="318">
        <f ca="1">IF(TYPE(VLOOKUP(C69,Konečné_pořadí_1_16!$B$2:$D$17,3,0))&lt;4,VLOOKUP(C69,Konečné_pořadí_1_16!$B$2:$D$17,3,0),999)</f>
        <v>999</v>
      </c>
      <c r="G69" s="318">
        <f ca="1">IF(TYPE(VLOOKUP(C69,'KO64'!$D$4:$D$129,1,0))&lt;4,64,999)</f>
        <v>64</v>
      </c>
      <c r="H69" s="318">
        <f ca="1">IF(TYPE(VLOOKUP(C69,'KO32'!$D$4:$D$65,1,0))&lt;4,32,999)</f>
        <v>32</v>
      </c>
      <c r="I69" s="318">
        <f ca="1">IF(TYPE(VLOOKUP(C69,'KO16'!$D$4:$D$33,1,0))&lt;4,16,999)</f>
        <v>999</v>
      </c>
      <c r="J69" s="318">
        <f ca="1">IF(TYPE(VLOOKUP(C69,'KO8'!$D$4:$D$17,1,0))&lt;4,8,999)</f>
        <v>999</v>
      </c>
      <c r="K69" s="318">
        <f ca="1">IF(TYPE(VLOOKUP(C69,'KO4'!$D$4:$D$9,1,0))&lt;4,4,999)</f>
        <v>999</v>
      </c>
      <c r="M69" s="319">
        <v>67</v>
      </c>
      <c r="O69" s="318">
        <f t="shared" ca="1" si="42"/>
        <v>0</v>
      </c>
      <c r="P69" s="318">
        <f t="shared" ca="1" si="43"/>
        <v>0</v>
      </c>
      <c r="Q69" s="318">
        <f t="shared" ca="1" si="34"/>
        <v>2</v>
      </c>
      <c r="R69" s="318">
        <f t="shared" ca="1" si="35"/>
        <v>0</v>
      </c>
      <c r="S69" s="318">
        <f t="shared" ca="1" si="44"/>
        <v>18</v>
      </c>
      <c r="T69" s="318">
        <f t="shared" ca="1" si="45"/>
        <v>0</v>
      </c>
      <c r="U69" s="397">
        <f t="shared" ref="U69:U130" si="59">ROW()-2</f>
        <v>67</v>
      </c>
      <c r="V69" s="397" t="s">
        <v>1869</v>
      </c>
      <c r="W69" s="423" t="str">
        <f ca="1">IF($V69="","",CONCATENATE(TEXT($O69,"0"),IF(Start.listina!$Y$5="","",TEXT(500+$P69,"0000")),IF(Start.listina!$Y$6="","",CHOOSE(Start.listina!$Y$7,TEXT($Q69,"00"),CONCATENATE(TEXT($Q69,"00"),TEXT($S69,"000")), TEXT($R69,"00"))),TEXT(500+$P69,"0000"),IF(Start.listina!$Y$8="","",TEXT($T69,"0")),TEXT(999999*RAND(),"000000")))</f>
        <v/>
      </c>
      <c r="X69" s="399">
        <f t="shared" si="46"/>
        <v>67</v>
      </c>
      <c r="Y69" s="397">
        <f t="shared" ca="1" si="36"/>
        <v>0</v>
      </c>
      <c r="Z69" s="318">
        <f t="shared" ca="1" si="47"/>
        <v>57</v>
      </c>
      <c r="AA69" s="318" t="str">
        <f t="shared" ca="1" si="48"/>
        <v/>
      </c>
      <c r="AB69" s="318" t="str">
        <f t="shared" ca="1" si="49"/>
        <v/>
      </c>
      <c r="AC69" s="318" t="str">
        <f t="shared" ca="1" si="50"/>
        <v/>
      </c>
      <c r="AD69" s="318" t="str">
        <f t="shared" ca="1" si="51"/>
        <v/>
      </c>
      <c r="AE69" s="318" t="str">
        <f t="shared" ca="1" si="52"/>
        <v/>
      </c>
      <c r="AG69" s="318">
        <f ca="1">IF(TYPE(VLOOKUP($A69,'1.kolo'!$L$3:$L$66,1,0))&gt;3,VLOOKUP($A69,'1.kolo'!$K$3:$L$66,2,0),VLOOKUP($A69,'1.kolo'!$L$3:$O$66,4,0))</f>
        <v>57</v>
      </c>
      <c r="AH69" s="318">
        <f ca="1">IF(TYPE(VLOOKUP($A69,'1.kolo'!$L$3:$L$66,1,0))&gt;3,VLOOKUP($A69,'1.kolo'!$O$3:$Q$66,2,0),VLOOKUP($A69,'1.kolo'!$L$3:$N$66,2,0))</f>
        <v>0</v>
      </c>
      <c r="AI69" s="318">
        <f ca="1">IF(TYPE(VLOOKUP($A69,'1.kolo'!$L$3:$L$66,1,0))&gt;3,VLOOKUP($A69,'1.kolo'!$O$3:$Q$66,3,0),VLOOKUP($A69,'1.kolo'!$L$3:$N$66,3,0))</f>
        <v>0</v>
      </c>
      <c r="AJ69" s="318">
        <f t="shared" ca="1" si="53"/>
        <v>0</v>
      </c>
      <c r="AK69" s="318">
        <v>67</v>
      </c>
      <c r="AL69" s="424"/>
      <c r="AP69" s="318" t="str">
        <f ca="1">IF(TYPE(VLOOKUP($A69,'2.kolo'!$L$3:$L$66,1,0))&gt;3,IF(TYPE(VLOOKUP($A69,'2.kolo'!$K$3:$L$66,2,0))&gt;3,0,VLOOKUP($A69,'2.kolo'!$K$3:$L$66,2,0)),VLOOKUP($A69,'2.kolo'!$L$3:$O$66,4,0))</f>
        <v/>
      </c>
      <c r="AQ69" s="318">
        <f ca="1">IF(TYPE(VLOOKUP($A69,'2.kolo'!$L$3:$L$66,1,0))&gt;3,IF(TYPE(VLOOKUP($A69,'2.kolo'!$O$3:$Q$66,2,0))&gt;3,0,VLOOKUP($A69,'2.kolo'!$O$3:$Q$66,2,0)),VLOOKUP($A69,'2.kolo'!$L$3:$N$66,2,0))</f>
        <v>0</v>
      </c>
      <c r="AR69" s="318">
        <f ca="1">IF(TYPE(VLOOKUP($A69,'2.kolo'!$L$3:$L$66,1,0))&gt;3,IF(TYPE(VLOOKUP($A69,'2.kolo'!$O$3:$Q$66,3,0))&gt;3,0,VLOOKUP($A69,'2.kolo'!$O$3:$Q$66,3,0)),VLOOKUP($A69,'2.kolo'!$L$3:$N$66,3,0))</f>
        <v>0</v>
      </c>
      <c r="AS69" s="318">
        <f t="shared" ca="1" si="54"/>
        <v>0</v>
      </c>
      <c r="AT69" s="397" t="s">
        <v>1869</v>
      </c>
      <c r="AU69" s="424" t="str">
        <f ca="1">IF(AT69="","",CONCATENATE(TEXT($O69,"0"),IF(Start.listina!$Y$5="","",TEXT(500+$P69,"000")),TEXT(999999*RAND(),"000000")))</f>
        <v/>
      </c>
      <c r="AV69" s="318">
        <f t="shared" ca="1" si="37"/>
        <v>0</v>
      </c>
      <c r="AY69" s="318" t="str">
        <f ca="1">IF(TYPE(VLOOKUP($A69,'3.kolo'!$L$3:$L$66,1,0))&gt;3,IF(TYPE(VLOOKUP($A69,'3.kolo'!$K$3:$L$66,2,0))&gt;3,0,VLOOKUP($A69,'3.kolo'!$K$3:$L$66,2,0)),VLOOKUP($A69,'3.kolo'!$L$3:$O$66,4,0))</f>
        <v/>
      </c>
      <c r="AZ69" s="318">
        <f ca="1">IF(TYPE(VLOOKUP($A69,'3.kolo'!$L$3:$L$66,1,0))&gt;3,IF(TYPE(VLOOKUP($A69,'3.kolo'!$O$3:$Q$66,2,0))&gt;3,0,VLOOKUP($A69,'3.kolo'!$O$3:$Q$66,2,0)),VLOOKUP($A69,'3.kolo'!$L$3:$N$66,2,0))</f>
        <v>0</v>
      </c>
      <c r="BA69" s="318">
        <f ca="1">IF(TYPE(VLOOKUP($A69,'3.kolo'!$L$3:$L$66,1,0))&gt;3,IF(TYPE(VLOOKUP($A69,'3.kolo'!$O$3:$Q$66,3,0))&gt;3,0,VLOOKUP($A69,'3.kolo'!$O$3:$Q$66,3,0)),VLOOKUP($A69,'3.kolo'!$L$3:$N$66,3,0))</f>
        <v>0</v>
      </c>
      <c r="BB69" s="318">
        <f t="shared" ca="1" si="55"/>
        <v>0</v>
      </c>
      <c r="BC69" s="397" t="s">
        <v>1869</v>
      </c>
      <c r="BD69" s="424" t="str">
        <f ca="1">IF(BC69="","",CONCATENATE(TEXT($O69,"0"),IF(Start.listina!$Y$5="","",TEXT(500+$P69,"000")),TEXT(999999*RAND(),"000000")))</f>
        <v/>
      </c>
      <c r="BE69" s="318">
        <f t="shared" ca="1" si="38"/>
        <v>0</v>
      </c>
      <c r="BH69" s="318" t="str">
        <f ca="1">IF(TYPE(VLOOKUP($A69,'4.kolo'!$L$3:$L$66,1,0))&gt;3,IF(TYPE(VLOOKUP($A69,'4.kolo'!$K$3:$L$66,2,0))&gt;3,0,VLOOKUP($A69,'4.kolo'!$K$3:$L$66,2,0)),VLOOKUP($A69,'4.kolo'!$L$3:$O$66,4,0))</f>
        <v/>
      </c>
      <c r="BI69" s="318">
        <f ca="1">IF(TYPE(VLOOKUP($A69,'4.kolo'!$L$3:$L$66,1,0))&gt;3,IF(TYPE(VLOOKUP($A69,'4.kolo'!$O$3:$Q$66,2,0))&gt;3,0,VLOOKUP($A69,'4.kolo'!$O$3:$Q$66,2,0)),VLOOKUP($A69,'4.kolo'!$L$3:$N$66,2,0))</f>
        <v>0</v>
      </c>
      <c r="BJ69" s="318">
        <f ca="1">IF(TYPE(VLOOKUP($A69,'4.kolo'!$L$3:$L$66,1,0))&gt;3,IF(TYPE(VLOOKUP($A69,'4.kolo'!$O$3:$Q$66,3,0))&gt;3,0,VLOOKUP($A69,'4.kolo'!$O$3:$Q$66,3,0)),VLOOKUP($A69,'4.kolo'!$L$3:$N$66,3,0))</f>
        <v>0</v>
      </c>
      <c r="BK69" s="318">
        <f t="shared" ca="1" si="56"/>
        <v>0</v>
      </c>
      <c r="BL69" s="397" t="s">
        <v>1869</v>
      </c>
      <c r="BM69" s="424" t="str">
        <f ca="1">IF(BL69="","",CONCATENATE(TEXT($O69,"0"),IF(Start.listina!$Y$5="","",TEXT(500+$P69,"000")),TEXT(999999*RAND(),"000000")))</f>
        <v/>
      </c>
      <c r="BN69" s="318">
        <f t="shared" ca="1" si="39"/>
        <v>0</v>
      </c>
      <c r="BQ69" s="318" t="str">
        <f ca="1">IF(TYPE(VLOOKUP($A69,'5.kolo'!$L$3:$L$66,1,0))&gt;3,IF(TYPE(VLOOKUP($A69,'5.kolo'!$K$3:$L$66,2,0))&gt;3,0,VLOOKUP($A69,'5.kolo'!$K$3:$L$66,2,0)),VLOOKUP($A69,'5.kolo'!$L$3:$O$66,4,0))</f>
        <v/>
      </c>
      <c r="BR69" s="318">
        <f ca="1">IF(TYPE(VLOOKUP($A69,'5.kolo'!$L$3:$L$66,1,0))&gt;3,IF(TYPE(VLOOKUP($A69,'5.kolo'!$O$3:$Q$66,2,0))&gt;3,0,VLOOKUP($A69,'5.kolo'!$O$3:$Q$66,2,0)),VLOOKUP($A69,'5.kolo'!$L$3:$N$66,2,0))</f>
        <v>0</v>
      </c>
      <c r="BS69" s="318">
        <f ca="1">IF(TYPE(VLOOKUP($A69,'5.kolo'!$L$3:$L$66,1,0))&gt;3,IF(TYPE(VLOOKUP($A69,'5.kolo'!$O$3:$Q$66,3,0))&gt;3,0,VLOOKUP($A69,'5.kolo'!$O$3:$Q$66,3,0)),VLOOKUP($A69,'5.kolo'!$L$3:$N$66,3,0))</f>
        <v>0</v>
      </c>
      <c r="BT69" s="318">
        <f t="shared" ca="1" si="57"/>
        <v>0</v>
      </c>
      <c r="BU69" s="397"/>
      <c r="BV69" s="424" t="str">
        <f ca="1">IF(BU69="","",CONCATENATE(TEXT($O69,"0"),IF(Start.listina!$Y$5="","",TEXT(500+$P69,"000")),TEXT(999999*RAND(),"000000")))</f>
        <v/>
      </c>
      <c r="BW69" s="318">
        <f t="shared" ca="1" si="40"/>
        <v>0</v>
      </c>
      <c r="BZ69" s="318" t="str">
        <f ca="1">IF(TYPE(VLOOKUP($A69,'6.kolo'!$L$3:$L$66,1,0))&gt;3,IF(TYPE(VLOOKUP($A69,'6.kolo'!$K$3:$L$66,2,0))&gt;3,0,VLOOKUP($A69,'6.kolo'!$K$3:$L$66,2,0)),VLOOKUP($A69,'6.kolo'!$L$3:$O$66,4,0))</f>
        <v/>
      </c>
      <c r="CA69" s="318">
        <f ca="1">IF(TYPE(VLOOKUP($A69,'6.kolo'!$L$3:$L$66,1,0))&gt;3,IF(TYPE(VLOOKUP($A69,'6.kolo'!$O$3:$Q$66,2,0))&gt;3,0,VLOOKUP($A69,'6.kolo'!$O$3:$Q$66,2,0)),VLOOKUP($A69,'6.kolo'!$L$3:$N$66,2,0))</f>
        <v>0</v>
      </c>
      <c r="CB69" s="318">
        <f ca="1">IF(TYPE(VLOOKUP($A69,'6.kolo'!$L$3:$L$66,1,0))&gt;3,IF(TYPE(VLOOKUP($A69,'6.kolo'!$O$3:$Q$66,3,0))&gt;3,0,VLOOKUP($A69,'6.kolo'!$O$3:$Q$66,3,0)),VLOOKUP($A69,'6.kolo'!$L$3:$N$66,3,0))</f>
        <v>0</v>
      </c>
      <c r="CC69" s="318">
        <f t="shared" ca="1" si="58"/>
        <v>0</v>
      </c>
      <c r="CD69" s="397"/>
      <c r="CE69" s="424" t="str">
        <f ca="1">IF(CD69="","",CONCATENATE(TEXT($O69,"0"),IF(Start.listina!$Y$5="","",TEXT(500+$P69,"000")),TEXT(999999*RAND(),"000000")))</f>
        <v/>
      </c>
      <c r="CF69" s="318">
        <f t="shared" ca="1" si="41"/>
        <v>0</v>
      </c>
    </row>
    <row r="70" spans="1:84" x14ac:dyDescent="0.4">
      <c r="A70" s="318" t="str">
        <f ca="1">IF(OR(Start.listina!H78&gt;Start.listina!$K$7,Start.listina!G78=TRUE),"",Start.listina!H78)</f>
        <v/>
      </c>
      <c r="B70" s="318" t="str">
        <f ca="1">IF($A70&gt;Start.listina!$K$7,"",INT(($A70-1)/Start.listina!$O$7)+1)</f>
        <v/>
      </c>
      <c r="C70" s="421" t="str">
        <f ca="1">IF(OR(Start.listina!H78&gt;Start.listina!$K$7,Start.listina!G78=TRUE)," - ",Start.listina!AL78)</f>
        <v xml:space="preserve"> - </v>
      </c>
      <c r="D70" s="318" t="str">
        <f ca="1">IF(OR(A70&gt;Start.listina!$K$7,TYPE(VLOOKUP(A70,$V$3:$X$130,3,0))&gt;3),"",VLOOKUP(A70,$V$3:$X$130,3,0))</f>
        <v/>
      </c>
      <c r="E70" s="422" t="str">
        <f ca="1">IF(A70&gt;Start.listina!$K$7,"",IF(MIN(F70:K70)&gt;Start.listina!$Y$4,D70,MIN(F70:K70)))</f>
        <v/>
      </c>
      <c r="F70" s="318">
        <f ca="1">IF(TYPE(VLOOKUP(C70,Konečné_pořadí_1_16!$B$2:$D$17,3,0))&lt;4,VLOOKUP(C70,Konečné_pořadí_1_16!$B$2:$D$17,3,0),999)</f>
        <v>999</v>
      </c>
      <c r="G70" s="318">
        <f ca="1">IF(TYPE(VLOOKUP(C70,'KO64'!$D$4:$D$129,1,0))&lt;4,64,999)</f>
        <v>64</v>
      </c>
      <c r="H70" s="318">
        <f ca="1">IF(TYPE(VLOOKUP(C70,'KO32'!$D$4:$D$65,1,0))&lt;4,32,999)</f>
        <v>32</v>
      </c>
      <c r="I70" s="318">
        <f ca="1">IF(TYPE(VLOOKUP(C70,'KO16'!$D$4:$D$33,1,0))&lt;4,16,999)</f>
        <v>999</v>
      </c>
      <c r="J70" s="318">
        <f ca="1">IF(TYPE(VLOOKUP(C70,'KO8'!$D$4:$D$17,1,0))&lt;4,8,999)</f>
        <v>999</v>
      </c>
      <c r="K70" s="318">
        <f ca="1">IF(TYPE(VLOOKUP(C70,'KO4'!$D$4:$D$9,1,0))&lt;4,4,999)</f>
        <v>999</v>
      </c>
      <c r="M70" s="319">
        <v>68</v>
      </c>
      <c r="O70" s="318">
        <f t="shared" ca="1" si="42"/>
        <v>0</v>
      </c>
      <c r="P70" s="318">
        <f t="shared" ca="1" si="43"/>
        <v>0</v>
      </c>
      <c r="Q70" s="318">
        <f t="shared" ca="1" si="34"/>
        <v>2</v>
      </c>
      <c r="R70" s="318">
        <f t="shared" ca="1" si="35"/>
        <v>0</v>
      </c>
      <c r="S70" s="318">
        <f t="shared" ca="1" si="44"/>
        <v>18</v>
      </c>
      <c r="T70" s="318">
        <f t="shared" ca="1" si="45"/>
        <v>0</v>
      </c>
      <c r="U70" s="397">
        <f t="shared" si="59"/>
        <v>68</v>
      </c>
      <c r="V70" s="397" t="s">
        <v>1869</v>
      </c>
      <c r="W70" s="423" t="str">
        <f ca="1">IF($V70="","",CONCATENATE(TEXT($O70,"0"),IF(Start.listina!$Y$5="","",TEXT(500+$P70,"0000")),IF(Start.listina!$Y$6="","",CHOOSE(Start.listina!$Y$7,TEXT($Q70,"00"),CONCATENATE(TEXT($Q70,"00"),TEXT($S70,"000")), TEXT($R70,"00"))),TEXT(500+$P70,"0000"),IF(Start.listina!$Y$8="","",TEXT($T70,"0")),TEXT(999999*RAND(),"000000")))</f>
        <v/>
      </c>
      <c r="X70" s="399">
        <f t="shared" si="46"/>
        <v>68</v>
      </c>
      <c r="Y70" s="397">
        <f t="shared" ca="1" si="36"/>
        <v>0</v>
      </c>
      <c r="Z70" s="318">
        <f t="shared" ca="1" si="47"/>
        <v>57</v>
      </c>
      <c r="AA70" s="318" t="str">
        <f t="shared" ca="1" si="48"/>
        <v/>
      </c>
      <c r="AB70" s="318" t="str">
        <f t="shared" ca="1" si="49"/>
        <v/>
      </c>
      <c r="AC70" s="318" t="str">
        <f t="shared" ca="1" si="50"/>
        <v/>
      </c>
      <c r="AD70" s="318" t="str">
        <f t="shared" ca="1" si="51"/>
        <v/>
      </c>
      <c r="AE70" s="318" t="str">
        <f t="shared" ca="1" si="52"/>
        <v/>
      </c>
      <c r="AG70" s="318">
        <f ca="1">IF(TYPE(VLOOKUP($A70,'1.kolo'!$L$3:$L$66,1,0))&gt;3,VLOOKUP($A70,'1.kolo'!$K$3:$L$66,2,0),VLOOKUP($A70,'1.kolo'!$L$3:$O$66,4,0))</f>
        <v>57</v>
      </c>
      <c r="AH70" s="318">
        <f ca="1">IF(TYPE(VLOOKUP($A70,'1.kolo'!$L$3:$L$66,1,0))&gt;3,VLOOKUP($A70,'1.kolo'!$O$3:$Q$66,2,0),VLOOKUP($A70,'1.kolo'!$L$3:$N$66,2,0))</f>
        <v>0</v>
      </c>
      <c r="AI70" s="318">
        <f ca="1">IF(TYPE(VLOOKUP($A70,'1.kolo'!$L$3:$L$66,1,0))&gt;3,VLOOKUP($A70,'1.kolo'!$O$3:$Q$66,3,0),VLOOKUP($A70,'1.kolo'!$L$3:$N$66,3,0))</f>
        <v>0</v>
      </c>
      <c r="AJ70" s="318">
        <f t="shared" ca="1" si="53"/>
        <v>0</v>
      </c>
      <c r="AK70" s="318">
        <v>68</v>
      </c>
      <c r="AL70" s="424"/>
      <c r="AP70" s="318" t="str">
        <f ca="1">IF(TYPE(VLOOKUP($A70,'2.kolo'!$L$3:$L$66,1,0))&gt;3,IF(TYPE(VLOOKUP($A70,'2.kolo'!$K$3:$L$66,2,0))&gt;3,0,VLOOKUP($A70,'2.kolo'!$K$3:$L$66,2,0)),VLOOKUP($A70,'2.kolo'!$L$3:$O$66,4,0))</f>
        <v/>
      </c>
      <c r="AQ70" s="318">
        <f ca="1">IF(TYPE(VLOOKUP($A70,'2.kolo'!$L$3:$L$66,1,0))&gt;3,IF(TYPE(VLOOKUP($A70,'2.kolo'!$O$3:$Q$66,2,0))&gt;3,0,VLOOKUP($A70,'2.kolo'!$O$3:$Q$66,2,0)),VLOOKUP($A70,'2.kolo'!$L$3:$N$66,2,0))</f>
        <v>0</v>
      </c>
      <c r="AR70" s="318">
        <f ca="1">IF(TYPE(VLOOKUP($A70,'2.kolo'!$L$3:$L$66,1,0))&gt;3,IF(TYPE(VLOOKUP($A70,'2.kolo'!$O$3:$Q$66,3,0))&gt;3,0,VLOOKUP($A70,'2.kolo'!$O$3:$Q$66,3,0)),VLOOKUP($A70,'2.kolo'!$L$3:$N$66,3,0))</f>
        <v>0</v>
      </c>
      <c r="AS70" s="318">
        <f t="shared" ca="1" si="54"/>
        <v>0</v>
      </c>
      <c r="AT70" s="397" t="s">
        <v>1869</v>
      </c>
      <c r="AU70" s="424" t="str">
        <f ca="1">IF(AT70="","",CONCATENATE(TEXT($O70,"0"),IF(Start.listina!$Y$5="","",TEXT(500+$P70,"000")),TEXT(999999*RAND(),"000000")))</f>
        <v/>
      </c>
      <c r="AV70" s="318">
        <f t="shared" ca="1" si="37"/>
        <v>0</v>
      </c>
      <c r="AY70" s="318" t="str">
        <f ca="1">IF(TYPE(VLOOKUP($A70,'3.kolo'!$L$3:$L$66,1,0))&gt;3,IF(TYPE(VLOOKUP($A70,'3.kolo'!$K$3:$L$66,2,0))&gt;3,0,VLOOKUP($A70,'3.kolo'!$K$3:$L$66,2,0)),VLOOKUP($A70,'3.kolo'!$L$3:$O$66,4,0))</f>
        <v/>
      </c>
      <c r="AZ70" s="318">
        <f ca="1">IF(TYPE(VLOOKUP($A70,'3.kolo'!$L$3:$L$66,1,0))&gt;3,IF(TYPE(VLOOKUP($A70,'3.kolo'!$O$3:$Q$66,2,0))&gt;3,0,VLOOKUP($A70,'3.kolo'!$O$3:$Q$66,2,0)),VLOOKUP($A70,'3.kolo'!$L$3:$N$66,2,0))</f>
        <v>0</v>
      </c>
      <c r="BA70" s="318">
        <f ca="1">IF(TYPE(VLOOKUP($A70,'3.kolo'!$L$3:$L$66,1,0))&gt;3,IF(TYPE(VLOOKUP($A70,'3.kolo'!$O$3:$Q$66,3,0))&gt;3,0,VLOOKUP($A70,'3.kolo'!$O$3:$Q$66,3,0)),VLOOKUP($A70,'3.kolo'!$L$3:$N$66,3,0))</f>
        <v>0</v>
      </c>
      <c r="BB70" s="318">
        <f t="shared" ca="1" si="55"/>
        <v>0</v>
      </c>
      <c r="BC70" s="397" t="s">
        <v>1869</v>
      </c>
      <c r="BD70" s="424" t="str">
        <f ca="1">IF(BC70="","",CONCATENATE(TEXT($O70,"0"),IF(Start.listina!$Y$5="","",TEXT(500+$P70,"000")),TEXT(999999*RAND(),"000000")))</f>
        <v/>
      </c>
      <c r="BE70" s="318">
        <f t="shared" ca="1" si="38"/>
        <v>0</v>
      </c>
      <c r="BH70" s="318" t="str">
        <f ca="1">IF(TYPE(VLOOKUP($A70,'4.kolo'!$L$3:$L$66,1,0))&gt;3,IF(TYPE(VLOOKUP($A70,'4.kolo'!$K$3:$L$66,2,0))&gt;3,0,VLOOKUP($A70,'4.kolo'!$K$3:$L$66,2,0)),VLOOKUP($A70,'4.kolo'!$L$3:$O$66,4,0))</f>
        <v/>
      </c>
      <c r="BI70" s="318">
        <f ca="1">IF(TYPE(VLOOKUP($A70,'4.kolo'!$L$3:$L$66,1,0))&gt;3,IF(TYPE(VLOOKUP($A70,'4.kolo'!$O$3:$Q$66,2,0))&gt;3,0,VLOOKUP($A70,'4.kolo'!$O$3:$Q$66,2,0)),VLOOKUP($A70,'4.kolo'!$L$3:$N$66,2,0))</f>
        <v>0</v>
      </c>
      <c r="BJ70" s="318">
        <f ca="1">IF(TYPE(VLOOKUP($A70,'4.kolo'!$L$3:$L$66,1,0))&gt;3,IF(TYPE(VLOOKUP($A70,'4.kolo'!$O$3:$Q$66,3,0))&gt;3,0,VLOOKUP($A70,'4.kolo'!$O$3:$Q$66,3,0)),VLOOKUP($A70,'4.kolo'!$L$3:$N$66,3,0))</f>
        <v>0</v>
      </c>
      <c r="BK70" s="318">
        <f t="shared" ca="1" si="56"/>
        <v>0</v>
      </c>
      <c r="BL70" s="397" t="s">
        <v>1869</v>
      </c>
      <c r="BM70" s="424" t="str">
        <f ca="1">IF(BL70="","",CONCATENATE(TEXT($O70,"0"),IF(Start.listina!$Y$5="","",TEXT(500+$P70,"000")),TEXT(999999*RAND(),"000000")))</f>
        <v/>
      </c>
      <c r="BN70" s="318">
        <f t="shared" ca="1" si="39"/>
        <v>0</v>
      </c>
      <c r="BQ70" s="318" t="str">
        <f ca="1">IF(TYPE(VLOOKUP($A70,'5.kolo'!$L$3:$L$66,1,0))&gt;3,IF(TYPE(VLOOKUP($A70,'5.kolo'!$K$3:$L$66,2,0))&gt;3,0,VLOOKUP($A70,'5.kolo'!$K$3:$L$66,2,0)),VLOOKUP($A70,'5.kolo'!$L$3:$O$66,4,0))</f>
        <v/>
      </c>
      <c r="BR70" s="318">
        <f ca="1">IF(TYPE(VLOOKUP($A70,'5.kolo'!$L$3:$L$66,1,0))&gt;3,IF(TYPE(VLOOKUP($A70,'5.kolo'!$O$3:$Q$66,2,0))&gt;3,0,VLOOKUP($A70,'5.kolo'!$O$3:$Q$66,2,0)),VLOOKUP($A70,'5.kolo'!$L$3:$N$66,2,0))</f>
        <v>0</v>
      </c>
      <c r="BS70" s="318">
        <f ca="1">IF(TYPE(VLOOKUP($A70,'5.kolo'!$L$3:$L$66,1,0))&gt;3,IF(TYPE(VLOOKUP($A70,'5.kolo'!$O$3:$Q$66,3,0))&gt;3,0,VLOOKUP($A70,'5.kolo'!$O$3:$Q$66,3,0)),VLOOKUP($A70,'5.kolo'!$L$3:$N$66,3,0))</f>
        <v>0</v>
      </c>
      <c r="BT70" s="318">
        <f t="shared" ca="1" si="57"/>
        <v>0</v>
      </c>
      <c r="BU70" s="397"/>
      <c r="BV70" s="424" t="str">
        <f ca="1">IF(BU70="","",CONCATENATE(TEXT($O70,"0"),IF(Start.listina!$Y$5="","",TEXT(500+$P70,"000")),TEXT(999999*RAND(),"000000")))</f>
        <v/>
      </c>
      <c r="BW70" s="318">
        <f t="shared" ca="1" si="40"/>
        <v>0</v>
      </c>
      <c r="BZ70" s="318" t="str">
        <f ca="1">IF(TYPE(VLOOKUP($A70,'6.kolo'!$L$3:$L$66,1,0))&gt;3,IF(TYPE(VLOOKUP($A70,'6.kolo'!$K$3:$L$66,2,0))&gt;3,0,VLOOKUP($A70,'6.kolo'!$K$3:$L$66,2,0)),VLOOKUP($A70,'6.kolo'!$L$3:$O$66,4,0))</f>
        <v/>
      </c>
      <c r="CA70" s="318">
        <f ca="1">IF(TYPE(VLOOKUP($A70,'6.kolo'!$L$3:$L$66,1,0))&gt;3,IF(TYPE(VLOOKUP($A70,'6.kolo'!$O$3:$Q$66,2,0))&gt;3,0,VLOOKUP($A70,'6.kolo'!$O$3:$Q$66,2,0)),VLOOKUP($A70,'6.kolo'!$L$3:$N$66,2,0))</f>
        <v>0</v>
      </c>
      <c r="CB70" s="318">
        <f ca="1">IF(TYPE(VLOOKUP($A70,'6.kolo'!$L$3:$L$66,1,0))&gt;3,IF(TYPE(VLOOKUP($A70,'6.kolo'!$O$3:$Q$66,3,0))&gt;3,0,VLOOKUP($A70,'6.kolo'!$O$3:$Q$66,3,0)),VLOOKUP($A70,'6.kolo'!$L$3:$N$66,3,0))</f>
        <v>0</v>
      </c>
      <c r="CC70" s="318">
        <f t="shared" ca="1" si="58"/>
        <v>0</v>
      </c>
      <c r="CD70" s="397"/>
      <c r="CE70" s="424" t="str">
        <f ca="1">IF(CD70="","",CONCATENATE(TEXT($O70,"0"),IF(Start.listina!$Y$5="","",TEXT(500+$P70,"000")),TEXT(999999*RAND(),"000000")))</f>
        <v/>
      </c>
      <c r="CF70" s="318">
        <f t="shared" ca="1" si="41"/>
        <v>0</v>
      </c>
    </row>
    <row r="71" spans="1:84" x14ac:dyDescent="0.4">
      <c r="A71" s="318" t="str">
        <f ca="1">IF(OR(Start.listina!H79&gt;Start.listina!$K$7,Start.listina!G79=TRUE),"",Start.listina!H79)</f>
        <v/>
      </c>
      <c r="B71" s="318" t="str">
        <f ca="1">IF($A71&gt;Start.listina!$K$7,"",INT(($A71-1)/Start.listina!$O$7)+1)</f>
        <v/>
      </c>
      <c r="C71" s="421" t="str">
        <f ca="1">IF(OR(Start.listina!H79&gt;Start.listina!$K$7,Start.listina!G79=TRUE)," - ",Start.listina!AL79)</f>
        <v xml:space="preserve"> - </v>
      </c>
      <c r="D71" s="318" t="str">
        <f ca="1">IF(OR(A71&gt;Start.listina!$K$7,TYPE(VLOOKUP(A71,$V$3:$X$130,3,0))&gt;3),"",VLOOKUP(A71,$V$3:$X$130,3,0))</f>
        <v/>
      </c>
      <c r="E71" s="422" t="str">
        <f ca="1">IF(A71&gt;Start.listina!$K$7,"",IF(MIN(F71:K71)&gt;Start.listina!$Y$4,D71,MIN(F71:K71)))</f>
        <v/>
      </c>
      <c r="F71" s="318">
        <f ca="1">IF(TYPE(VLOOKUP(C71,Konečné_pořadí_1_16!$B$2:$D$17,3,0))&lt;4,VLOOKUP(C71,Konečné_pořadí_1_16!$B$2:$D$17,3,0),999)</f>
        <v>999</v>
      </c>
      <c r="G71" s="318">
        <f ca="1">IF(TYPE(VLOOKUP(C71,'KO64'!$D$4:$D$129,1,0))&lt;4,64,999)</f>
        <v>64</v>
      </c>
      <c r="H71" s="318">
        <f ca="1">IF(TYPE(VLOOKUP(C71,'KO32'!$D$4:$D$65,1,0))&lt;4,32,999)</f>
        <v>32</v>
      </c>
      <c r="I71" s="318">
        <f ca="1">IF(TYPE(VLOOKUP(C71,'KO16'!$D$4:$D$33,1,0))&lt;4,16,999)</f>
        <v>999</v>
      </c>
      <c r="J71" s="318">
        <f ca="1">IF(TYPE(VLOOKUP(C71,'KO8'!$D$4:$D$17,1,0))&lt;4,8,999)</f>
        <v>999</v>
      </c>
      <c r="K71" s="318">
        <f ca="1">IF(TYPE(VLOOKUP(C71,'KO4'!$D$4:$D$9,1,0))&lt;4,4,999)</f>
        <v>999</v>
      </c>
      <c r="M71" s="319">
        <v>69</v>
      </c>
      <c r="O71" s="318">
        <f t="shared" ca="1" si="42"/>
        <v>0</v>
      </c>
      <c r="P71" s="318">
        <f t="shared" ca="1" si="43"/>
        <v>0</v>
      </c>
      <c r="Q71" s="318">
        <f t="shared" ca="1" si="34"/>
        <v>2</v>
      </c>
      <c r="R71" s="318">
        <f t="shared" ca="1" si="35"/>
        <v>0</v>
      </c>
      <c r="S71" s="318">
        <f t="shared" ca="1" si="44"/>
        <v>18</v>
      </c>
      <c r="T71" s="318">
        <f t="shared" ca="1" si="45"/>
        <v>0</v>
      </c>
      <c r="U71" s="397">
        <f t="shared" si="59"/>
        <v>69</v>
      </c>
      <c r="V71" s="397" t="s">
        <v>1869</v>
      </c>
      <c r="W71" s="423" t="str">
        <f ca="1">IF($V71="","",CONCATENATE(TEXT($O71,"0"),IF(Start.listina!$Y$5="","",TEXT(500+$P71,"0000")),IF(Start.listina!$Y$6="","",CHOOSE(Start.listina!$Y$7,TEXT($Q71,"00"),CONCATENATE(TEXT($Q71,"00"),TEXT($S71,"000")), TEXT($R71,"00"))),TEXT(500+$P71,"0000"),IF(Start.listina!$Y$8="","",TEXT($T71,"0")),TEXT(999999*RAND(),"000000")))</f>
        <v/>
      </c>
      <c r="X71" s="399">
        <f t="shared" si="46"/>
        <v>69</v>
      </c>
      <c r="Y71" s="397">
        <f t="shared" ca="1" si="36"/>
        <v>0</v>
      </c>
      <c r="Z71" s="318">
        <f t="shared" ca="1" si="47"/>
        <v>57</v>
      </c>
      <c r="AA71" s="318" t="str">
        <f t="shared" ca="1" si="48"/>
        <v/>
      </c>
      <c r="AB71" s="318" t="str">
        <f t="shared" ca="1" si="49"/>
        <v/>
      </c>
      <c r="AC71" s="318" t="str">
        <f t="shared" ca="1" si="50"/>
        <v/>
      </c>
      <c r="AD71" s="318" t="str">
        <f t="shared" ca="1" si="51"/>
        <v/>
      </c>
      <c r="AE71" s="318" t="str">
        <f t="shared" ca="1" si="52"/>
        <v/>
      </c>
      <c r="AG71" s="318">
        <f ca="1">IF(TYPE(VLOOKUP($A71,'1.kolo'!$L$3:$L$66,1,0))&gt;3,VLOOKUP($A71,'1.kolo'!$K$3:$L$66,2,0),VLOOKUP($A71,'1.kolo'!$L$3:$O$66,4,0))</f>
        <v>57</v>
      </c>
      <c r="AH71" s="318">
        <f ca="1">IF(TYPE(VLOOKUP($A71,'1.kolo'!$L$3:$L$66,1,0))&gt;3,VLOOKUP($A71,'1.kolo'!$O$3:$Q$66,2,0),VLOOKUP($A71,'1.kolo'!$L$3:$N$66,2,0))</f>
        <v>0</v>
      </c>
      <c r="AI71" s="318">
        <f ca="1">IF(TYPE(VLOOKUP($A71,'1.kolo'!$L$3:$L$66,1,0))&gt;3,VLOOKUP($A71,'1.kolo'!$O$3:$Q$66,3,0),VLOOKUP($A71,'1.kolo'!$L$3:$N$66,3,0))</f>
        <v>0</v>
      </c>
      <c r="AJ71" s="318">
        <f t="shared" ca="1" si="53"/>
        <v>0</v>
      </c>
      <c r="AK71" s="318">
        <v>69</v>
      </c>
      <c r="AL71" s="424"/>
      <c r="AP71" s="318" t="str">
        <f ca="1">IF(TYPE(VLOOKUP($A71,'2.kolo'!$L$3:$L$66,1,0))&gt;3,IF(TYPE(VLOOKUP($A71,'2.kolo'!$K$3:$L$66,2,0))&gt;3,0,VLOOKUP($A71,'2.kolo'!$K$3:$L$66,2,0)),VLOOKUP($A71,'2.kolo'!$L$3:$O$66,4,0))</f>
        <v/>
      </c>
      <c r="AQ71" s="318">
        <f ca="1">IF(TYPE(VLOOKUP($A71,'2.kolo'!$L$3:$L$66,1,0))&gt;3,IF(TYPE(VLOOKUP($A71,'2.kolo'!$O$3:$Q$66,2,0))&gt;3,0,VLOOKUP($A71,'2.kolo'!$O$3:$Q$66,2,0)),VLOOKUP($A71,'2.kolo'!$L$3:$N$66,2,0))</f>
        <v>0</v>
      </c>
      <c r="AR71" s="318">
        <f ca="1">IF(TYPE(VLOOKUP($A71,'2.kolo'!$L$3:$L$66,1,0))&gt;3,IF(TYPE(VLOOKUP($A71,'2.kolo'!$O$3:$Q$66,3,0))&gt;3,0,VLOOKUP($A71,'2.kolo'!$O$3:$Q$66,3,0)),VLOOKUP($A71,'2.kolo'!$L$3:$N$66,3,0))</f>
        <v>0</v>
      </c>
      <c r="AS71" s="318">
        <f t="shared" ca="1" si="54"/>
        <v>0</v>
      </c>
      <c r="AT71" s="397" t="s">
        <v>1869</v>
      </c>
      <c r="AU71" s="424" t="str">
        <f ca="1">IF(AT71="","",CONCATENATE(TEXT($O71,"0"),IF(Start.listina!$Y$5="","",TEXT(500+$P71,"000")),TEXT(999999*RAND(),"000000")))</f>
        <v/>
      </c>
      <c r="AV71" s="318">
        <f t="shared" ca="1" si="37"/>
        <v>0</v>
      </c>
      <c r="AY71" s="318" t="str">
        <f ca="1">IF(TYPE(VLOOKUP($A71,'3.kolo'!$L$3:$L$66,1,0))&gt;3,IF(TYPE(VLOOKUP($A71,'3.kolo'!$K$3:$L$66,2,0))&gt;3,0,VLOOKUP($A71,'3.kolo'!$K$3:$L$66,2,0)),VLOOKUP($A71,'3.kolo'!$L$3:$O$66,4,0))</f>
        <v/>
      </c>
      <c r="AZ71" s="318">
        <f ca="1">IF(TYPE(VLOOKUP($A71,'3.kolo'!$L$3:$L$66,1,0))&gt;3,IF(TYPE(VLOOKUP($A71,'3.kolo'!$O$3:$Q$66,2,0))&gt;3,0,VLOOKUP($A71,'3.kolo'!$O$3:$Q$66,2,0)),VLOOKUP($A71,'3.kolo'!$L$3:$N$66,2,0))</f>
        <v>0</v>
      </c>
      <c r="BA71" s="318">
        <f ca="1">IF(TYPE(VLOOKUP($A71,'3.kolo'!$L$3:$L$66,1,0))&gt;3,IF(TYPE(VLOOKUP($A71,'3.kolo'!$O$3:$Q$66,3,0))&gt;3,0,VLOOKUP($A71,'3.kolo'!$O$3:$Q$66,3,0)),VLOOKUP($A71,'3.kolo'!$L$3:$N$66,3,0))</f>
        <v>0</v>
      </c>
      <c r="BB71" s="318">
        <f t="shared" ca="1" si="55"/>
        <v>0</v>
      </c>
      <c r="BC71" s="397" t="s">
        <v>1869</v>
      </c>
      <c r="BD71" s="424" t="str">
        <f ca="1">IF(BC71="","",CONCATENATE(TEXT($O71,"0"),IF(Start.listina!$Y$5="","",TEXT(500+$P71,"000")),TEXT(999999*RAND(),"000000")))</f>
        <v/>
      </c>
      <c r="BE71" s="318">
        <f t="shared" ca="1" si="38"/>
        <v>0</v>
      </c>
      <c r="BH71" s="318" t="str">
        <f ca="1">IF(TYPE(VLOOKUP($A71,'4.kolo'!$L$3:$L$66,1,0))&gt;3,IF(TYPE(VLOOKUP($A71,'4.kolo'!$K$3:$L$66,2,0))&gt;3,0,VLOOKUP($A71,'4.kolo'!$K$3:$L$66,2,0)),VLOOKUP($A71,'4.kolo'!$L$3:$O$66,4,0))</f>
        <v/>
      </c>
      <c r="BI71" s="318">
        <f ca="1">IF(TYPE(VLOOKUP($A71,'4.kolo'!$L$3:$L$66,1,0))&gt;3,IF(TYPE(VLOOKUP($A71,'4.kolo'!$O$3:$Q$66,2,0))&gt;3,0,VLOOKUP($A71,'4.kolo'!$O$3:$Q$66,2,0)),VLOOKUP($A71,'4.kolo'!$L$3:$N$66,2,0))</f>
        <v>0</v>
      </c>
      <c r="BJ71" s="318">
        <f ca="1">IF(TYPE(VLOOKUP($A71,'4.kolo'!$L$3:$L$66,1,0))&gt;3,IF(TYPE(VLOOKUP($A71,'4.kolo'!$O$3:$Q$66,3,0))&gt;3,0,VLOOKUP($A71,'4.kolo'!$O$3:$Q$66,3,0)),VLOOKUP($A71,'4.kolo'!$L$3:$N$66,3,0))</f>
        <v>0</v>
      </c>
      <c r="BK71" s="318">
        <f t="shared" ca="1" si="56"/>
        <v>0</v>
      </c>
      <c r="BL71" s="397" t="s">
        <v>1869</v>
      </c>
      <c r="BM71" s="424" t="str">
        <f ca="1">IF(BL71="","",CONCATENATE(TEXT($O71,"0"),IF(Start.listina!$Y$5="","",TEXT(500+$P71,"000")),TEXT(999999*RAND(),"000000")))</f>
        <v/>
      </c>
      <c r="BN71" s="318">
        <f t="shared" ca="1" si="39"/>
        <v>0</v>
      </c>
      <c r="BQ71" s="318" t="str">
        <f ca="1">IF(TYPE(VLOOKUP($A71,'5.kolo'!$L$3:$L$66,1,0))&gt;3,IF(TYPE(VLOOKUP($A71,'5.kolo'!$K$3:$L$66,2,0))&gt;3,0,VLOOKUP($A71,'5.kolo'!$K$3:$L$66,2,0)),VLOOKUP($A71,'5.kolo'!$L$3:$O$66,4,0))</f>
        <v/>
      </c>
      <c r="BR71" s="318">
        <f ca="1">IF(TYPE(VLOOKUP($A71,'5.kolo'!$L$3:$L$66,1,0))&gt;3,IF(TYPE(VLOOKUP($A71,'5.kolo'!$O$3:$Q$66,2,0))&gt;3,0,VLOOKUP($A71,'5.kolo'!$O$3:$Q$66,2,0)),VLOOKUP($A71,'5.kolo'!$L$3:$N$66,2,0))</f>
        <v>0</v>
      </c>
      <c r="BS71" s="318">
        <f ca="1">IF(TYPE(VLOOKUP($A71,'5.kolo'!$L$3:$L$66,1,0))&gt;3,IF(TYPE(VLOOKUP($A71,'5.kolo'!$O$3:$Q$66,3,0))&gt;3,0,VLOOKUP($A71,'5.kolo'!$O$3:$Q$66,3,0)),VLOOKUP($A71,'5.kolo'!$L$3:$N$66,3,0))</f>
        <v>0</v>
      </c>
      <c r="BT71" s="318">
        <f t="shared" ca="1" si="57"/>
        <v>0</v>
      </c>
      <c r="BU71" s="397"/>
      <c r="BV71" s="424" t="str">
        <f ca="1">IF(BU71="","",CONCATENATE(TEXT($O71,"0"),IF(Start.listina!$Y$5="","",TEXT(500+$P71,"000")),TEXT(999999*RAND(),"000000")))</f>
        <v/>
      </c>
      <c r="BW71" s="318">
        <f t="shared" ca="1" si="40"/>
        <v>0</v>
      </c>
      <c r="BZ71" s="318" t="str">
        <f ca="1">IF(TYPE(VLOOKUP($A71,'6.kolo'!$L$3:$L$66,1,0))&gt;3,IF(TYPE(VLOOKUP($A71,'6.kolo'!$K$3:$L$66,2,0))&gt;3,0,VLOOKUP($A71,'6.kolo'!$K$3:$L$66,2,0)),VLOOKUP($A71,'6.kolo'!$L$3:$O$66,4,0))</f>
        <v/>
      </c>
      <c r="CA71" s="318">
        <f ca="1">IF(TYPE(VLOOKUP($A71,'6.kolo'!$L$3:$L$66,1,0))&gt;3,IF(TYPE(VLOOKUP($A71,'6.kolo'!$O$3:$Q$66,2,0))&gt;3,0,VLOOKUP($A71,'6.kolo'!$O$3:$Q$66,2,0)),VLOOKUP($A71,'6.kolo'!$L$3:$N$66,2,0))</f>
        <v>0</v>
      </c>
      <c r="CB71" s="318">
        <f ca="1">IF(TYPE(VLOOKUP($A71,'6.kolo'!$L$3:$L$66,1,0))&gt;3,IF(TYPE(VLOOKUP($A71,'6.kolo'!$O$3:$Q$66,3,0))&gt;3,0,VLOOKUP($A71,'6.kolo'!$O$3:$Q$66,3,0)),VLOOKUP($A71,'6.kolo'!$L$3:$N$66,3,0))</f>
        <v>0</v>
      </c>
      <c r="CC71" s="318">
        <f t="shared" ca="1" si="58"/>
        <v>0</v>
      </c>
      <c r="CD71" s="397"/>
      <c r="CE71" s="424" t="str">
        <f ca="1">IF(CD71="","",CONCATENATE(TEXT($O71,"0"),IF(Start.listina!$Y$5="","",TEXT(500+$P71,"000")),TEXT(999999*RAND(),"000000")))</f>
        <v/>
      </c>
      <c r="CF71" s="318">
        <f t="shared" ca="1" si="41"/>
        <v>0</v>
      </c>
    </row>
    <row r="72" spans="1:84" x14ac:dyDescent="0.4">
      <c r="A72" s="318" t="str">
        <f ca="1">IF(OR(Start.listina!H80&gt;Start.listina!$K$7,Start.listina!G80=TRUE),"",Start.listina!H80)</f>
        <v/>
      </c>
      <c r="B72" s="318" t="str">
        <f ca="1">IF($A72&gt;Start.listina!$K$7,"",INT(($A72-1)/Start.listina!$O$7)+1)</f>
        <v/>
      </c>
      <c r="C72" s="421" t="str">
        <f ca="1">IF(OR(Start.listina!H80&gt;Start.listina!$K$7,Start.listina!G80=TRUE)," - ",Start.listina!AL80)</f>
        <v xml:space="preserve"> - </v>
      </c>
      <c r="D72" s="318" t="str">
        <f ca="1">IF(OR(A72&gt;Start.listina!$K$7,TYPE(VLOOKUP(A72,$V$3:$X$130,3,0))&gt;3),"",VLOOKUP(A72,$V$3:$X$130,3,0))</f>
        <v/>
      </c>
      <c r="E72" s="422" t="str">
        <f ca="1">IF(A72&gt;Start.listina!$K$7,"",IF(MIN(F72:K72)&gt;Start.listina!$Y$4,D72,MIN(F72:K72)))</f>
        <v/>
      </c>
      <c r="F72" s="318">
        <f ca="1">IF(TYPE(VLOOKUP(C72,Konečné_pořadí_1_16!$B$2:$D$17,3,0))&lt;4,VLOOKUP(C72,Konečné_pořadí_1_16!$B$2:$D$17,3,0),999)</f>
        <v>999</v>
      </c>
      <c r="G72" s="318">
        <f ca="1">IF(TYPE(VLOOKUP(C72,'KO64'!$D$4:$D$129,1,0))&lt;4,64,999)</f>
        <v>64</v>
      </c>
      <c r="H72" s="318">
        <f ca="1">IF(TYPE(VLOOKUP(C72,'KO32'!$D$4:$D$65,1,0))&lt;4,32,999)</f>
        <v>32</v>
      </c>
      <c r="I72" s="318">
        <f ca="1">IF(TYPE(VLOOKUP(C72,'KO16'!$D$4:$D$33,1,0))&lt;4,16,999)</f>
        <v>999</v>
      </c>
      <c r="J72" s="318">
        <f ca="1">IF(TYPE(VLOOKUP(C72,'KO8'!$D$4:$D$17,1,0))&lt;4,8,999)</f>
        <v>999</v>
      </c>
      <c r="K72" s="318">
        <f ca="1">IF(TYPE(VLOOKUP(C72,'KO4'!$D$4:$D$9,1,0))&lt;4,4,999)</f>
        <v>999</v>
      </c>
      <c r="M72" s="319">
        <v>70</v>
      </c>
      <c r="O72" s="318">
        <f t="shared" ca="1" si="42"/>
        <v>0</v>
      </c>
      <c r="P72" s="318">
        <f t="shared" ca="1" si="43"/>
        <v>0</v>
      </c>
      <c r="Q72" s="318">
        <f t="shared" ca="1" si="34"/>
        <v>2</v>
      </c>
      <c r="R72" s="318">
        <f t="shared" ca="1" si="35"/>
        <v>0</v>
      </c>
      <c r="S72" s="318">
        <f t="shared" ca="1" si="44"/>
        <v>18</v>
      </c>
      <c r="T72" s="318">
        <f t="shared" ca="1" si="45"/>
        <v>0</v>
      </c>
      <c r="U72" s="397">
        <f t="shared" si="59"/>
        <v>70</v>
      </c>
      <c r="V72" s="397" t="s">
        <v>1869</v>
      </c>
      <c r="W72" s="423" t="str">
        <f ca="1">IF($V72="","",CONCATENATE(TEXT($O72,"0"),IF(Start.listina!$Y$5="","",TEXT(500+$P72,"0000")),IF(Start.listina!$Y$6="","",CHOOSE(Start.listina!$Y$7,TEXT($Q72,"00"),CONCATENATE(TEXT($Q72,"00"),TEXT($S72,"000")), TEXT($R72,"00"))),TEXT(500+$P72,"0000"),IF(Start.listina!$Y$8="","",TEXT($T72,"0")),TEXT(999999*RAND(),"000000")))</f>
        <v/>
      </c>
      <c r="X72" s="399">
        <f t="shared" si="46"/>
        <v>70</v>
      </c>
      <c r="Y72" s="397">
        <f t="shared" ca="1" si="36"/>
        <v>0</v>
      </c>
      <c r="Z72" s="318">
        <f t="shared" ca="1" si="47"/>
        <v>57</v>
      </c>
      <c r="AA72" s="318" t="str">
        <f t="shared" ca="1" si="48"/>
        <v/>
      </c>
      <c r="AB72" s="318" t="str">
        <f t="shared" ca="1" si="49"/>
        <v/>
      </c>
      <c r="AC72" s="318" t="str">
        <f t="shared" ca="1" si="50"/>
        <v/>
      </c>
      <c r="AD72" s="318" t="str">
        <f t="shared" ca="1" si="51"/>
        <v/>
      </c>
      <c r="AE72" s="318" t="str">
        <f t="shared" ca="1" si="52"/>
        <v/>
      </c>
      <c r="AG72" s="318">
        <f ca="1">IF(TYPE(VLOOKUP($A72,'1.kolo'!$L$3:$L$66,1,0))&gt;3,VLOOKUP($A72,'1.kolo'!$K$3:$L$66,2,0),VLOOKUP($A72,'1.kolo'!$L$3:$O$66,4,0))</f>
        <v>57</v>
      </c>
      <c r="AH72" s="318">
        <f ca="1">IF(TYPE(VLOOKUP($A72,'1.kolo'!$L$3:$L$66,1,0))&gt;3,VLOOKUP($A72,'1.kolo'!$O$3:$Q$66,2,0),VLOOKUP($A72,'1.kolo'!$L$3:$N$66,2,0))</f>
        <v>0</v>
      </c>
      <c r="AI72" s="318">
        <f ca="1">IF(TYPE(VLOOKUP($A72,'1.kolo'!$L$3:$L$66,1,0))&gt;3,VLOOKUP($A72,'1.kolo'!$O$3:$Q$66,3,0),VLOOKUP($A72,'1.kolo'!$L$3:$N$66,3,0))</f>
        <v>0</v>
      </c>
      <c r="AJ72" s="318">
        <f t="shared" ca="1" si="53"/>
        <v>0</v>
      </c>
      <c r="AK72" s="318">
        <v>70</v>
      </c>
      <c r="AL72" s="424"/>
      <c r="AP72" s="318" t="str">
        <f ca="1">IF(TYPE(VLOOKUP($A72,'2.kolo'!$L$3:$L$66,1,0))&gt;3,IF(TYPE(VLOOKUP($A72,'2.kolo'!$K$3:$L$66,2,0))&gt;3,0,VLOOKUP($A72,'2.kolo'!$K$3:$L$66,2,0)),VLOOKUP($A72,'2.kolo'!$L$3:$O$66,4,0))</f>
        <v/>
      </c>
      <c r="AQ72" s="318">
        <f ca="1">IF(TYPE(VLOOKUP($A72,'2.kolo'!$L$3:$L$66,1,0))&gt;3,IF(TYPE(VLOOKUP($A72,'2.kolo'!$O$3:$Q$66,2,0))&gt;3,0,VLOOKUP($A72,'2.kolo'!$O$3:$Q$66,2,0)),VLOOKUP($A72,'2.kolo'!$L$3:$N$66,2,0))</f>
        <v>0</v>
      </c>
      <c r="AR72" s="318">
        <f ca="1">IF(TYPE(VLOOKUP($A72,'2.kolo'!$L$3:$L$66,1,0))&gt;3,IF(TYPE(VLOOKUP($A72,'2.kolo'!$O$3:$Q$66,3,0))&gt;3,0,VLOOKUP($A72,'2.kolo'!$O$3:$Q$66,3,0)),VLOOKUP($A72,'2.kolo'!$L$3:$N$66,3,0))</f>
        <v>0</v>
      </c>
      <c r="AS72" s="318">
        <f t="shared" ca="1" si="54"/>
        <v>0</v>
      </c>
      <c r="AT72" s="397" t="s">
        <v>1869</v>
      </c>
      <c r="AU72" s="424" t="str">
        <f ca="1">IF(AT72="","",CONCATENATE(TEXT($O72,"0"),IF(Start.listina!$Y$5="","",TEXT(500+$P72,"000")),TEXT(999999*RAND(),"000000")))</f>
        <v/>
      </c>
      <c r="AV72" s="318">
        <f t="shared" ca="1" si="37"/>
        <v>0</v>
      </c>
      <c r="AY72" s="318" t="str">
        <f ca="1">IF(TYPE(VLOOKUP($A72,'3.kolo'!$L$3:$L$66,1,0))&gt;3,IF(TYPE(VLOOKUP($A72,'3.kolo'!$K$3:$L$66,2,0))&gt;3,0,VLOOKUP($A72,'3.kolo'!$K$3:$L$66,2,0)),VLOOKUP($A72,'3.kolo'!$L$3:$O$66,4,0))</f>
        <v/>
      </c>
      <c r="AZ72" s="318">
        <f ca="1">IF(TYPE(VLOOKUP($A72,'3.kolo'!$L$3:$L$66,1,0))&gt;3,IF(TYPE(VLOOKUP($A72,'3.kolo'!$O$3:$Q$66,2,0))&gt;3,0,VLOOKUP($A72,'3.kolo'!$O$3:$Q$66,2,0)),VLOOKUP($A72,'3.kolo'!$L$3:$N$66,2,0))</f>
        <v>0</v>
      </c>
      <c r="BA72" s="318">
        <f ca="1">IF(TYPE(VLOOKUP($A72,'3.kolo'!$L$3:$L$66,1,0))&gt;3,IF(TYPE(VLOOKUP($A72,'3.kolo'!$O$3:$Q$66,3,0))&gt;3,0,VLOOKUP($A72,'3.kolo'!$O$3:$Q$66,3,0)),VLOOKUP($A72,'3.kolo'!$L$3:$N$66,3,0))</f>
        <v>0</v>
      </c>
      <c r="BB72" s="318">
        <f t="shared" ca="1" si="55"/>
        <v>0</v>
      </c>
      <c r="BC72" s="397" t="s">
        <v>1869</v>
      </c>
      <c r="BD72" s="424" t="str">
        <f ca="1">IF(BC72="","",CONCATENATE(TEXT($O72,"0"),IF(Start.listina!$Y$5="","",TEXT(500+$P72,"000")),TEXT(999999*RAND(),"000000")))</f>
        <v/>
      </c>
      <c r="BE72" s="318">
        <f t="shared" ca="1" si="38"/>
        <v>0</v>
      </c>
      <c r="BH72" s="318" t="str">
        <f ca="1">IF(TYPE(VLOOKUP($A72,'4.kolo'!$L$3:$L$66,1,0))&gt;3,IF(TYPE(VLOOKUP($A72,'4.kolo'!$K$3:$L$66,2,0))&gt;3,0,VLOOKUP($A72,'4.kolo'!$K$3:$L$66,2,0)),VLOOKUP($A72,'4.kolo'!$L$3:$O$66,4,0))</f>
        <v/>
      </c>
      <c r="BI72" s="318">
        <f ca="1">IF(TYPE(VLOOKUP($A72,'4.kolo'!$L$3:$L$66,1,0))&gt;3,IF(TYPE(VLOOKUP($A72,'4.kolo'!$O$3:$Q$66,2,0))&gt;3,0,VLOOKUP($A72,'4.kolo'!$O$3:$Q$66,2,0)),VLOOKUP($A72,'4.kolo'!$L$3:$N$66,2,0))</f>
        <v>0</v>
      </c>
      <c r="BJ72" s="318">
        <f ca="1">IF(TYPE(VLOOKUP($A72,'4.kolo'!$L$3:$L$66,1,0))&gt;3,IF(TYPE(VLOOKUP($A72,'4.kolo'!$O$3:$Q$66,3,0))&gt;3,0,VLOOKUP($A72,'4.kolo'!$O$3:$Q$66,3,0)),VLOOKUP($A72,'4.kolo'!$L$3:$N$66,3,0))</f>
        <v>0</v>
      </c>
      <c r="BK72" s="318">
        <f t="shared" ca="1" si="56"/>
        <v>0</v>
      </c>
      <c r="BL72" s="397" t="s">
        <v>1869</v>
      </c>
      <c r="BM72" s="424" t="str">
        <f ca="1">IF(BL72="","",CONCATENATE(TEXT($O72,"0"),IF(Start.listina!$Y$5="","",TEXT(500+$P72,"000")),TEXT(999999*RAND(),"000000")))</f>
        <v/>
      </c>
      <c r="BN72" s="318">
        <f t="shared" ca="1" si="39"/>
        <v>0</v>
      </c>
      <c r="BQ72" s="318" t="str">
        <f ca="1">IF(TYPE(VLOOKUP($A72,'5.kolo'!$L$3:$L$66,1,0))&gt;3,IF(TYPE(VLOOKUP($A72,'5.kolo'!$K$3:$L$66,2,0))&gt;3,0,VLOOKUP($A72,'5.kolo'!$K$3:$L$66,2,0)),VLOOKUP($A72,'5.kolo'!$L$3:$O$66,4,0))</f>
        <v/>
      </c>
      <c r="BR72" s="318">
        <f ca="1">IF(TYPE(VLOOKUP($A72,'5.kolo'!$L$3:$L$66,1,0))&gt;3,IF(TYPE(VLOOKUP($A72,'5.kolo'!$O$3:$Q$66,2,0))&gt;3,0,VLOOKUP($A72,'5.kolo'!$O$3:$Q$66,2,0)),VLOOKUP($A72,'5.kolo'!$L$3:$N$66,2,0))</f>
        <v>0</v>
      </c>
      <c r="BS72" s="318">
        <f ca="1">IF(TYPE(VLOOKUP($A72,'5.kolo'!$L$3:$L$66,1,0))&gt;3,IF(TYPE(VLOOKUP($A72,'5.kolo'!$O$3:$Q$66,3,0))&gt;3,0,VLOOKUP($A72,'5.kolo'!$O$3:$Q$66,3,0)),VLOOKUP($A72,'5.kolo'!$L$3:$N$66,3,0))</f>
        <v>0</v>
      </c>
      <c r="BT72" s="318">
        <f t="shared" ca="1" si="57"/>
        <v>0</v>
      </c>
      <c r="BU72" s="397"/>
      <c r="BV72" s="424" t="str">
        <f ca="1">IF(BU72="","",CONCATENATE(TEXT($O72,"0"),IF(Start.listina!$Y$5="","",TEXT(500+$P72,"000")),TEXT(999999*RAND(),"000000")))</f>
        <v/>
      </c>
      <c r="BW72" s="318">
        <f t="shared" ca="1" si="40"/>
        <v>0</v>
      </c>
      <c r="BZ72" s="318" t="str">
        <f ca="1">IF(TYPE(VLOOKUP($A72,'6.kolo'!$L$3:$L$66,1,0))&gt;3,IF(TYPE(VLOOKUP($A72,'6.kolo'!$K$3:$L$66,2,0))&gt;3,0,VLOOKUP($A72,'6.kolo'!$K$3:$L$66,2,0)),VLOOKUP($A72,'6.kolo'!$L$3:$O$66,4,0))</f>
        <v/>
      </c>
      <c r="CA72" s="318">
        <f ca="1">IF(TYPE(VLOOKUP($A72,'6.kolo'!$L$3:$L$66,1,0))&gt;3,IF(TYPE(VLOOKUP($A72,'6.kolo'!$O$3:$Q$66,2,0))&gt;3,0,VLOOKUP($A72,'6.kolo'!$O$3:$Q$66,2,0)),VLOOKUP($A72,'6.kolo'!$L$3:$N$66,2,0))</f>
        <v>0</v>
      </c>
      <c r="CB72" s="318">
        <f ca="1">IF(TYPE(VLOOKUP($A72,'6.kolo'!$L$3:$L$66,1,0))&gt;3,IF(TYPE(VLOOKUP($A72,'6.kolo'!$O$3:$Q$66,3,0))&gt;3,0,VLOOKUP($A72,'6.kolo'!$O$3:$Q$66,3,0)),VLOOKUP($A72,'6.kolo'!$L$3:$N$66,3,0))</f>
        <v>0</v>
      </c>
      <c r="CC72" s="318">
        <f t="shared" ca="1" si="58"/>
        <v>0</v>
      </c>
      <c r="CD72" s="397"/>
      <c r="CE72" s="424" t="str">
        <f ca="1">IF(CD72="","",CONCATENATE(TEXT($O72,"0"),IF(Start.listina!$Y$5="","",TEXT(500+$P72,"000")),TEXT(999999*RAND(),"000000")))</f>
        <v/>
      </c>
      <c r="CF72" s="318">
        <f t="shared" ca="1" si="41"/>
        <v>0</v>
      </c>
    </row>
    <row r="73" spans="1:84" x14ac:dyDescent="0.4">
      <c r="A73" s="318" t="str">
        <f ca="1">IF(OR(Start.listina!H81&gt;Start.listina!$K$7,Start.listina!G81=TRUE),"",Start.listina!H81)</f>
        <v/>
      </c>
      <c r="B73" s="318" t="str">
        <f ca="1">IF($A73&gt;Start.listina!$K$7,"",INT(($A73-1)/Start.listina!$O$7)+1)</f>
        <v/>
      </c>
      <c r="C73" s="421" t="str">
        <f ca="1">IF(OR(Start.listina!H81&gt;Start.listina!$K$7,Start.listina!G81=TRUE)," - ",Start.listina!AL81)</f>
        <v xml:space="preserve"> - </v>
      </c>
      <c r="D73" s="318" t="str">
        <f ca="1">IF(OR(A73&gt;Start.listina!$K$7,TYPE(VLOOKUP(A73,$V$3:$X$130,3,0))&gt;3),"",VLOOKUP(A73,$V$3:$X$130,3,0))</f>
        <v/>
      </c>
      <c r="E73" s="422" t="str">
        <f ca="1">IF(A73&gt;Start.listina!$K$7,"",IF(MIN(F73:K73)&gt;Start.listina!$Y$4,D73,MIN(F73:K73)))</f>
        <v/>
      </c>
      <c r="F73" s="318">
        <f ca="1">IF(TYPE(VLOOKUP(C73,Konečné_pořadí_1_16!$B$2:$D$17,3,0))&lt;4,VLOOKUP(C73,Konečné_pořadí_1_16!$B$2:$D$17,3,0),999)</f>
        <v>999</v>
      </c>
      <c r="G73" s="318">
        <f ca="1">IF(TYPE(VLOOKUP(C73,'KO64'!$D$4:$D$129,1,0))&lt;4,64,999)</f>
        <v>64</v>
      </c>
      <c r="H73" s="318">
        <f ca="1">IF(TYPE(VLOOKUP(C73,'KO32'!$D$4:$D$65,1,0))&lt;4,32,999)</f>
        <v>32</v>
      </c>
      <c r="I73" s="318">
        <f ca="1">IF(TYPE(VLOOKUP(C73,'KO16'!$D$4:$D$33,1,0))&lt;4,16,999)</f>
        <v>999</v>
      </c>
      <c r="J73" s="318">
        <f ca="1">IF(TYPE(VLOOKUP(C73,'KO8'!$D$4:$D$17,1,0))&lt;4,8,999)</f>
        <v>999</v>
      </c>
      <c r="K73" s="318">
        <f ca="1">IF(TYPE(VLOOKUP(C73,'KO4'!$D$4:$D$9,1,0))&lt;4,4,999)</f>
        <v>999</v>
      </c>
      <c r="M73" s="319">
        <v>71</v>
      </c>
      <c r="O73" s="318">
        <f t="shared" ca="1" si="42"/>
        <v>0</v>
      </c>
      <c r="P73" s="318">
        <f t="shared" ca="1" si="43"/>
        <v>0</v>
      </c>
      <c r="Q73" s="318">
        <f t="shared" ca="1" si="34"/>
        <v>2</v>
      </c>
      <c r="R73" s="318">
        <f t="shared" ca="1" si="35"/>
        <v>0</v>
      </c>
      <c r="S73" s="318">
        <f t="shared" ca="1" si="44"/>
        <v>18</v>
      </c>
      <c r="T73" s="318">
        <f t="shared" ca="1" si="45"/>
        <v>0</v>
      </c>
      <c r="U73" s="397">
        <f t="shared" si="59"/>
        <v>71</v>
      </c>
      <c r="V73" s="397" t="s">
        <v>1869</v>
      </c>
      <c r="W73" s="423" t="str">
        <f ca="1">IF($V73="","",CONCATENATE(TEXT($O73,"0"),IF(Start.listina!$Y$5="","",TEXT(500+$P73,"0000")),IF(Start.listina!$Y$6="","",CHOOSE(Start.listina!$Y$7,TEXT($Q73,"00"),CONCATENATE(TEXT($Q73,"00"),TEXT($S73,"000")), TEXT($R73,"00"))),TEXT(500+$P73,"0000"),IF(Start.listina!$Y$8="","",TEXT($T73,"0")),TEXT(999999*RAND(),"000000")))</f>
        <v/>
      </c>
      <c r="X73" s="399">
        <f t="shared" si="46"/>
        <v>71</v>
      </c>
      <c r="Y73" s="397">
        <f t="shared" ca="1" si="36"/>
        <v>0</v>
      </c>
      <c r="Z73" s="318">
        <f t="shared" ca="1" si="47"/>
        <v>57</v>
      </c>
      <c r="AA73" s="318" t="str">
        <f t="shared" ca="1" si="48"/>
        <v/>
      </c>
      <c r="AB73" s="318" t="str">
        <f t="shared" ca="1" si="49"/>
        <v/>
      </c>
      <c r="AC73" s="318" t="str">
        <f t="shared" ca="1" si="50"/>
        <v/>
      </c>
      <c r="AD73" s="318" t="str">
        <f t="shared" ca="1" si="51"/>
        <v/>
      </c>
      <c r="AE73" s="318" t="str">
        <f t="shared" ca="1" si="52"/>
        <v/>
      </c>
      <c r="AG73" s="318">
        <f ca="1">IF(TYPE(VLOOKUP($A73,'1.kolo'!$L$3:$L$66,1,0))&gt;3,VLOOKUP($A73,'1.kolo'!$K$3:$L$66,2,0),VLOOKUP($A73,'1.kolo'!$L$3:$O$66,4,0))</f>
        <v>57</v>
      </c>
      <c r="AH73" s="318">
        <f ca="1">IF(TYPE(VLOOKUP($A73,'1.kolo'!$L$3:$L$66,1,0))&gt;3,VLOOKUP($A73,'1.kolo'!$O$3:$Q$66,2,0),VLOOKUP($A73,'1.kolo'!$L$3:$N$66,2,0))</f>
        <v>0</v>
      </c>
      <c r="AI73" s="318">
        <f ca="1">IF(TYPE(VLOOKUP($A73,'1.kolo'!$L$3:$L$66,1,0))&gt;3,VLOOKUP($A73,'1.kolo'!$O$3:$Q$66,3,0),VLOOKUP($A73,'1.kolo'!$L$3:$N$66,3,0))</f>
        <v>0</v>
      </c>
      <c r="AJ73" s="318">
        <f t="shared" ca="1" si="53"/>
        <v>0</v>
      </c>
      <c r="AK73" s="318">
        <v>71</v>
      </c>
      <c r="AL73" s="424"/>
      <c r="AP73" s="318" t="str">
        <f ca="1">IF(TYPE(VLOOKUP($A73,'2.kolo'!$L$3:$L$66,1,0))&gt;3,IF(TYPE(VLOOKUP($A73,'2.kolo'!$K$3:$L$66,2,0))&gt;3,0,VLOOKUP($A73,'2.kolo'!$K$3:$L$66,2,0)),VLOOKUP($A73,'2.kolo'!$L$3:$O$66,4,0))</f>
        <v/>
      </c>
      <c r="AQ73" s="318">
        <f ca="1">IF(TYPE(VLOOKUP($A73,'2.kolo'!$L$3:$L$66,1,0))&gt;3,IF(TYPE(VLOOKUP($A73,'2.kolo'!$O$3:$Q$66,2,0))&gt;3,0,VLOOKUP($A73,'2.kolo'!$O$3:$Q$66,2,0)),VLOOKUP($A73,'2.kolo'!$L$3:$N$66,2,0))</f>
        <v>0</v>
      </c>
      <c r="AR73" s="318">
        <f ca="1">IF(TYPE(VLOOKUP($A73,'2.kolo'!$L$3:$L$66,1,0))&gt;3,IF(TYPE(VLOOKUP($A73,'2.kolo'!$O$3:$Q$66,3,0))&gt;3,0,VLOOKUP($A73,'2.kolo'!$O$3:$Q$66,3,0)),VLOOKUP($A73,'2.kolo'!$L$3:$N$66,3,0))</f>
        <v>0</v>
      </c>
      <c r="AS73" s="318">
        <f t="shared" ca="1" si="54"/>
        <v>0</v>
      </c>
      <c r="AT73" s="397" t="s">
        <v>1869</v>
      </c>
      <c r="AU73" s="424" t="str">
        <f ca="1">IF(AT73="","",CONCATENATE(TEXT($O73,"0"),IF(Start.listina!$Y$5="","",TEXT(500+$P73,"000")),TEXT(999999*RAND(),"000000")))</f>
        <v/>
      </c>
      <c r="AV73" s="318">
        <f t="shared" ca="1" si="37"/>
        <v>0</v>
      </c>
      <c r="AY73" s="318" t="str">
        <f ca="1">IF(TYPE(VLOOKUP($A73,'3.kolo'!$L$3:$L$66,1,0))&gt;3,IF(TYPE(VLOOKUP($A73,'3.kolo'!$K$3:$L$66,2,0))&gt;3,0,VLOOKUP($A73,'3.kolo'!$K$3:$L$66,2,0)),VLOOKUP($A73,'3.kolo'!$L$3:$O$66,4,0))</f>
        <v/>
      </c>
      <c r="AZ73" s="318">
        <f ca="1">IF(TYPE(VLOOKUP($A73,'3.kolo'!$L$3:$L$66,1,0))&gt;3,IF(TYPE(VLOOKUP($A73,'3.kolo'!$O$3:$Q$66,2,0))&gt;3,0,VLOOKUP($A73,'3.kolo'!$O$3:$Q$66,2,0)),VLOOKUP($A73,'3.kolo'!$L$3:$N$66,2,0))</f>
        <v>0</v>
      </c>
      <c r="BA73" s="318">
        <f ca="1">IF(TYPE(VLOOKUP($A73,'3.kolo'!$L$3:$L$66,1,0))&gt;3,IF(TYPE(VLOOKUP($A73,'3.kolo'!$O$3:$Q$66,3,0))&gt;3,0,VLOOKUP($A73,'3.kolo'!$O$3:$Q$66,3,0)),VLOOKUP($A73,'3.kolo'!$L$3:$N$66,3,0))</f>
        <v>0</v>
      </c>
      <c r="BB73" s="318">
        <f t="shared" ca="1" si="55"/>
        <v>0</v>
      </c>
      <c r="BC73" s="397" t="s">
        <v>1869</v>
      </c>
      <c r="BD73" s="424" t="str">
        <f ca="1">IF(BC73="","",CONCATENATE(TEXT($O73,"0"),IF(Start.listina!$Y$5="","",TEXT(500+$P73,"000")),TEXT(999999*RAND(),"000000")))</f>
        <v/>
      </c>
      <c r="BE73" s="318">
        <f t="shared" ca="1" si="38"/>
        <v>0</v>
      </c>
      <c r="BH73" s="318" t="str">
        <f ca="1">IF(TYPE(VLOOKUP($A73,'4.kolo'!$L$3:$L$66,1,0))&gt;3,IF(TYPE(VLOOKUP($A73,'4.kolo'!$K$3:$L$66,2,0))&gt;3,0,VLOOKUP($A73,'4.kolo'!$K$3:$L$66,2,0)),VLOOKUP($A73,'4.kolo'!$L$3:$O$66,4,0))</f>
        <v/>
      </c>
      <c r="BI73" s="318">
        <f ca="1">IF(TYPE(VLOOKUP($A73,'4.kolo'!$L$3:$L$66,1,0))&gt;3,IF(TYPE(VLOOKUP($A73,'4.kolo'!$O$3:$Q$66,2,0))&gt;3,0,VLOOKUP($A73,'4.kolo'!$O$3:$Q$66,2,0)),VLOOKUP($A73,'4.kolo'!$L$3:$N$66,2,0))</f>
        <v>0</v>
      </c>
      <c r="BJ73" s="318">
        <f ca="1">IF(TYPE(VLOOKUP($A73,'4.kolo'!$L$3:$L$66,1,0))&gt;3,IF(TYPE(VLOOKUP($A73,'4.kolo'!$O$3:$Q$66,3,0))&gt;3,0,VLOOKUP($A73,'4.kolo'!$O$3:$Q$66,3,0)),VLOOKUP($A73,'4.kolo'!$L$3:$N$66,3,0))</f>
        <v>0</v>
      </c>
      <c r="BK73" s="318">
        <f t="shared" ca="1" si="56"/>
        <v>0</v>
      </c>
      <c r="BL73" s="397" t="s">
        <v>1869</v>
      </c>
      <c r="BM73" s="424" t="str">
        <f ca="1">IF(BL73="","",CONCATENATE(TEXT($O73,"0"),IF(Start.listina!$Y$5="","",TEXT(500+$P73,"000")),TEXT(999999*RAND(),"000000")))</f>
        <v/>
      </c>
      <c r="BN73" s="318">
        <f t="shared" ca="1" si="39"/>
        <v>0</v>
      </c>
      <c r="BQ73" s="318" t="str">
        <f ca="1">IF(TYPE(VLOOKUP($A73,'5.kolo'!$L$3:$L$66,1,0))&gt;3,IF(TYPE(VLOOKUP($A73,'5.kolo'!$K$3:$L$66,2,0))&gt;3,0,VLOOKUP($A73,'5.kolo'!$K$3:$L$66,2,0)),VLOOKUP($A73,'5.kolo'!$L$3:$O$66,4,0))</f>
        <v/>
      </c>
      <c r="BR73" s="318">
        <f ca="1">IF(TYPE(VLOOKUP($A73,'5.kolo'!$L$3:$L$66,1,0))&gt;3,IF(TYPE(VLOOKUP($A73,'5.kolo'!$O$3:$Q$66,2,0))&gt;3,0,VLOOKUP($A73,'5.kolo'!$O$3:$Q$66,2,0)),VLOOKUP($A73,'5.kolo'!$L$3:$N$66,2,0))</f>
        <v>0</v>
      </c>
      <c r="BS73" s="318">
        <f ca="1">IF(TYPE(VLOOKUP($A73,'5.kolo'!$L$3:$L$66,1,0))&gt;3,IF(TYPE(VLOOKUP($A73,'5.kolo'!$O$3:$Q$66,3,0))&gt;3,0,VLOOKUP($A73,'5.kolo'!$O$3:$Q$66,3,0)),VLOOKUP($A73,'5.kolo'!$L$3:$N$66,3,0))</f>
        <v>0</v>
      </c>
      <c r="BT73" s="318">
        <f t="shared" ca="1" si="57"/>
        <v>0</v>
      </c>
      <c r="BU73" s="397"/>
      <c r="BV73" s="424" t="str">
        <f ca="1">IF(BU73="","",CONCATENATE(TEXT($O73,"0"),IF(Start.listina!$Y$5="","",TEXT(500+$P73,"000")),TEXT(999999*RAND(),"000000")))</f>
        <v/>
      </c>
      <c r="BW73" s="318">
        <f t="shared" ca="1" si="40"/>
        <v>0</v>
      </c>
      <c r="BZ73" s="318" t="str">
        <f ca="1">IF(TYPE(VLOOKUP($A73,'6.kolo'!$L$3:$L$66,1,0))&gt;3,IF(TYPE(VLOOKUP($A73,'6.kolo'!$K$3:$L$66,2,0))&gt;3,0,VLOOKUP($A73,'6.kolo'!$K$3:$L$66,2,0)),VLOOKUP($A73,'6.kolo'!$L$3:$O$66,4,0))</f>
        <v/>
      </c>
      <c r="CA73" s="318">
        <f ca="1">IF(TYPE(VLOOKUP($A73,'6.kolo'!$L$3:$L$66,1,0))&gt;3,IF(TYPE(VLOOKUP($A73,'6.kolo'!$O$3:$Q$66,2,0))&gt;3,0,VLOOKUP($A73,'6.kolo'!$O$3:$Q$66,2,0)),VLOOKUP($A73,'6.kolo'!$L$3:$N$66,2,0))</f>
        <v>0</v>
      </c>
      <c r="CB73" s="318">
        <f ca="1">IF(TYPE(VLOOKUP($A73,'6.kolo'!$L$3:$L$66,1,0))&gt;3,IF(TYPE(VLOOKUP($A73,'6.kolo'!$O$3:$Q$66,3,0))&gt;3,0,VLOOKUP($A73,'6.kolo'!$O$3:$Q$66,3,0)),VLOOKUP($A73,'6.kolo'!$L$3:$N$66,3,0))</f>
        <v>0</v>
      </c>
      <c r="CC73" s="318">
        <f t="shared" ca="1" si="58"/>
        <v>0</v>
      </c>
      <c r="CD73" s="397"/>
      <c r="CE73" s="424" t="str">
        <f ca="1">IF(CD73="","",CONCATENATE(TEXT($O73,"0"),IF(Start.listina!$Y$5="","",TEXT(500+$P73,"000")),TEXT(999999*RAND(),"000000")))</f>
        <v/>
      </c>
      <c r="CF73" s="318">
        <f t="shared" ca="1" si="41"/>
        <v>0</v>
      </c>
    </row>
    <row r="74" spans="1:84" x14ac:dyDescent="0.4">
      <c r="A74" s="318" t="str">
        <f ca="1">IF(OR(Start.listina!H82&gt;Start.listina!$K$7,Start.listina!G82=TRUE),"",Start.listina!H82)</f>
        <v/>
      </c>
      <c r="B74" s="318" t="str">
        <f ca="1">IF($A74&gt;Start.listina!$K$7,"",INT(($A74-1)/Start.listina!$O$7)+1)</f>
        <v/>
      </c>
      <c r="C74" s="421" t="str">
        <f ca="1">IF(OR(Start.listina!H82&gt;Start.listina!$K$7,Start.listina!G82=TRUE)," - ",Start.listina!AL82)</f>
        <v xml:space="preserve"> - </v>
      </c>
      <c r="D74" s="318" t="str">
        <f ca="1">IF(OR(A74&gt;Start.listina!$K$7,TYPE(VLOOKUP(A74,$V$3:$X$130,3,0))&gt;3),"",VLOOKUP(A74,$V$3:$X$130,3,0))</f>
        <v/>
      </c>
      <c r="E74" s="422" t="str">
        <f ca="1">IF(A74&gt;Start.listina!$K$7,"",IF(MIN(F74:K74)&gt;Start.listina!$Y$4,D74,MIN(F74:K74)))</f>
        <v/>
      </c>
      <c r="F74" s="318">
        <f ca="1">IF(TYPE(VLOOKUP(C74,Konečné_pořadí_1_16!$B$2:$D$17,3,0))&lt;4,VLOOKUP(C74,Konečné_pořadí_1_16!$B$2:$D$17,3,0),999)</f>
        <v>999</v>
      </c>
      <c r="G74" s="318">
        <f ca="1">IF(TYPE(VLOOKUP(C74,'KO64'!$D$4:$D$129,1,0))&lt;4,64,999)</f>
        <v>64</v>
      </c>
      <c r="H74" s="318">
        <f ca="1">IF(TYPE(VLOOKUP(C74,'KO32'!$D$4:$D$65,1,0))&lt;4,32,999)</f>
        <v>32</v>
      </c>
      <c r="I74" s="318">
        <f ca="1">IF(TYPE(VLOOKUP(C74,'KO16'!$D$4:$D$33,1,0))&lt;4,16,999)</f>
        <v>999</v>
      </c>
      <c r="J74" s="318">
        <f ca="1">IF(TYPE(VLOOKUP(C74,'KO8'!$D$4:$D$17,1,0))&lt;4,8,999)</f>
        <v>999</v>
      </c>
      <c r="K74" s="318">
        <f ca="1">IF(TYPE(VLOOKUP(C74,'KO4'!$D$4:$D$9,1,0))&lt;4,4,999)</f>
        <v>999</v>
      </c>
      <c r="M74" s="319">
        <v>72</v>
      </c>
      <c r="O74" s="318">
        <f t="shared" ca="1" si="42"/>
        <v>0</v>
      </c>
      <c r="P74" s="318">
        <f t="shared" ca="1" si="43"/>
        <v>0</v>
      </c>
      <c r="Q74" s="318">
        <f t="shared" ca="1" si="34"/>
        <v>2</v>
      </c>
      <c r="R74" s="318">
        <f t="shared" ca="1" si="35"/>
        <v>0</v>
      </c>
      <c r="S74" s="318">
        <f t="shared" ca="1" si="44"/>
        <v>18</v>
      </c>
      <c r="T74" s="318">
        <f t="shared" ca="1" si="45"/>
        <v>0</v>
      </c>
      <c r="U74" s="397">
        <f t="shared" si="59"/>
        <v>72</v>
      </c>
      <c r="V74" s="397" t="s">
        <v>1869</v>
      </c>
      <c r="W74" s="423" t="str">
        <f ca="1">IF($V74="","",CONCATENATE(TEXT($O74,"0"),IF(Start.listina!$Y$5="","",TEXT(500+$P74,"0000")),IF(Start.listina!$Y$6="","",CHOOSE(Start.listina!$Y$7,TEXT($Q74,"00"),CONCATENATE(TEXT($Q74,"00"),TEXT($S74,"000")), TEXT($R74,"00"))),TEXT(500+$P74,"0000"),IF(Start.listina!$Y$8="","",TEXT($T74,"0")),TEXT(999999*RAND(),"000000")))</f>
        <v/>
      </c>
      <c r="X74" s="399">
        <f t="shared" si="46"/>
        <v>72</v>
      </c>
      <c r="Y74" s="397">
        <f t="shared" ca="1" si="36"/>
        <v>0</v>
      </c>
      <c r="Z74" s="318">
        <f t="shared" ca="1" si="47"/>
        <v>57</v>
      </c>
      <c r="AA74" s="318" t="str">
        <f t="shared" ca="1" si="48"/>
        <v/>
      </c>
      <c r="AB74" s="318" t="str">
        <f t="shared" ca="1" si="49"/>
        <v/>
      </c>
      <c r="AC74" s="318" t="str">
        <f t="shared" ca="1" si="50"/>
        <v/>
      </c>
      <c r="AD74" s="318" t="str">
        <f t="shared" ca="1" si="51"/>
        <v/>
      </c>
      <c r="AE74" s="318" t="str">
        <f t="shared" ca="1" si="52"/>
        <v/>
      </c>
      <c r="AG74" s="318">
        <f ca="1">IF(TYPE(VLOOKUP($A74,'1.kolo'!$L$3:$L$66,1,0))&gt;3,VLOOKUP($A74,'1.kolo'!$K$3:$L$66,2,0),VLOOKUP($A74,'1.kolo'!$L$3:$O$66,4,0))</f>
        <v>57</v>
      </c>
      <c r="AH74" s="318">
        <f ca="1">IF(TYPE(VLOOKUP($A74,'1.kolo'!$L$3:$L$66,1,0))&gt;3,VLOOKUP($A74,'1.kolo'!$O$3:$Q$66,2,0),VLOOKUP($A74,'1.kolo'!$L$3:$N$66,2,0))</f>
        <v>0</v>
      </c>
      <c r="AI74" s="318">
        <f ca="1">IF(TYPE(VLOOKUP($A74,'1.kolo'!$L$3:$L$66,1,0))&gt;3,VLOOKUP($A74,'1.kolo'!$O$3:$Q$66,3,0),VLOOKUP($A74,'1.kolo'!$L$3:$N$66,3,0))</f>
        <v>0</v>
      </c>
      <c r="AJ74" s="318">
        <f t="shared" ca="1" si="53"/>
        <v>0</v>
      </c>
      <c r="AK74" s="318">
        <v>72</v>
      </c>
      <c r="AL74" s="424"/>
      <c r="AP74" s="318" t="str">
        <f ca="1">IF(TYPE(VLOOKUP($A74,'2.kolo'!$L$3:$L$66,1,0))&gt;3,IF(TYPE(VLOOKUP($A74,'2.kolo'!$K$3:$L$66,2,0))&gt;3,0,VLOOKUP($A74,'2.kolo'!$K$3:$L$66,2,0)),VLOOKUP($A74,'2.kolo'!$L$3:$O$66,4,0))</f>
        <v/>
      </c>
      <c r="AQ74" s="318">
        <f ca="1">IF(TYPE(VLOOKUP($A74,'2.kolo'!$L$3:$L$66,1,0))&gt;3,IF(TYPE(VLOOKUP($A74,'2.kolo'!$O$3:$Q$66,2,0))&gt;3,0,VLOOKUP($A74,'2.kolo'!$O$3:$Q$66,2,0)),VLOOKUP($A74,'2.kolo'!$L$3:$N$66,2,0))</f>
        <v>0</v>
      </c>
      <c r="AR74" s="318">
        <f ca="1">IF(TYPE(VLOOKUP($A74,'2.kolo'!$L$3:$L$66,1,0))&gt;3,IF(TYPE(VLOOKUP($A74,'2.kolo'!$O$3:$Q$66,3,0))&gt;3,0,VLOOKUP($A74,'2.kolo'!$O$3:$Q$66,3,0)),VLOOKUP($A74,'2.kolo'!$L$3:$N$66,3,0))</f>
        <v>0</v>
      </c>
      <c r="AS74" s="318">
        <f t="shared" ca="1" si="54"/>
        <v>0</v>
      </c>
      <c r="AT74" s="397" t="s">
        <v>1869</v>
      </c>
      <c r="AU74" s="424" t="str">
        <f ca="1">IF(AT74="","",CONCATENATE(TEXT($O74,"0"),IF(Start.listina!$Y$5="","",TEXT(500+$P74,"000")),TEXT(999999*RAND(),"000000")))</f>
        <v/>
      </c>
      <c r="AV74" s="318">
        <f t="shared" ca="1" si="37"/>
        <v>0</v>
      </c>
      <c r="AY74" s="318" t="str">
        <f ca="1">IF(TYPE(VLOOKUP($A74,'3.kolo'!$L$3:$L$66,1,0))&gt;3,IF(TYPE(VLOOKUP($A74,'3.kolo'!$K$3:$L$66,2,0))&gt;3,0,VLOOKUP($A74,'3.kolo'!$K$3:$L$66,2,0)),VLOOKUP($A74,'3.kolo'!$L$3:$O$66,4,0))</f>
        <v/>
      </c>
      <c r="AZ74" s="318">
        <f ca="1">IF(TYPE(VLOOKUP($A74,'3.kolo'!$L$3:$L$66,1,0))&gt;3,IF(TYPE(VLOOKUP($A74,'3.kolo'!$O$3:$Q$66,2,0))&gt;3,0,VLOOKUP($A74,'3.kolo'!$O$3:$Q$66,2,0)),VLOOKUP($A74,'3.kolo'!$L$3:$N$66,2,0))</f>
        <v>0</v>
      </c>
      <c r="BA74" s="318">
        <f ca="1">IF(TYPE(VLOOKUP($A74,'3.kolo'!$L$3:$L$66,1,0))&gt;3,IF(TYPE(VLOOKUP($A74,'3.kolo'!$O$3:$Q$66,3,0))&gt;3,0,VLOOKUP($A74,'3.kolo'!$O$3:$Q$66,3,0)),VLOOKUP($A74,'3.kolo'!$L$3:$N$66,3,0))</f>
        <v>0</v>
      </c>
      <c r="BB74" s="318">
        <f t="shared" ca="1" si="55"/>
        <v>0</v>
      </c>
      <c r="BC74" s="397" t="s">
        <v>1869</v>
      </c>
      <c r="BD74" s="424" t="str">
        <f ca="1">IF(BC74="","",CONCATENATE(TEXT($O74,"0"),IF(Start.listina!$Y$5="","",TEXT(500+$P74,"000")),TEXT(999999*RAND(),"000000")))</f>
        <v/>
      </c>
      <c r="BE74" s="318">
        <f t="shared" ca="1" si="38"/>
        <v>0</v>
      </c>
      <c r="BH74" s="318" t="str">
        <f ca="1">IF(TYPE(VLOOKUP($A74,'4.kolo'!$L$3:$L$66,1,0))&gt;3,IF(TYPE(VLOOKUP($A74,'4.kolo'!$K$3:$L$66,2,0))&gt;3,0,VLOOKUP($A74,'4.kolo'!$K$3:$L$66,2,0)),VLOOKUP($A74,'4.kolo'!$L$3:$O$66,4,0))</f>
        <v/>
      </c>
      <c r="BI74" s="318">
        <f ca="1">IF(TYPE(VLOOKUP($A74,'4.kolo'!$L$3:$L$66,1,0))&gt;3,IF(TYPE(VLOOKUP($A74,'4.kolo'!$O$3:$Q$66,2,0))&gt;3,0,VLOOKUP($A74,'4.kolo'!$O$3:$Q$66,2,0)),VLOOKUP($A74,'4.kolo'!$L$3:$N$66,2,0))</f>
        <v>0</v>
      </c>
      <c r="BJ74" s="318">
        <f ca="1">IF(TYPE(VLOOKUP($A74,'4.kolo'!$L$3:$L$66,1,0))&gt;3,IF(TYPE(VLOOKUP($A74,'4.kolo'!$O$3:$Q$66,3,0))&gt;3,0,VLOOKUP($A74,'4.kolo'!$O$3:$Q$66,3,0)),VLOOKUP($A74,'4.kolo'!$L$3:$N$66,3,0))</f>
        <v>0</v>
      </c>
      <c r="BK74" s="318">
        <f t="shared" ca="1" si="56"/>
        <v>0</v>
      </c>
      <c r="BL74" s="397" t="s">
        <v>1869</v>
      </c>
      <c r="BM74" s="424" t="str">
        <f ca="1">IF(BL74="","",CONCATENATE(TEXT($O74,"0"),IF(Start.listina!$Y$5="","",TEXT(500+$P74,"000")),TEXT(999999*RAND(),"000000")))</f>
        <v/>
      </c>
      <c r="BN74" s="318">
        <f t="shared" ca="1" si="39"/>
        <v>0</v>
      </c>
      <c r="BQ74" s="318" t="str">
        <f ca="1">IF(TYPE(VLOOKUP($A74,'5.kolo'!$L$3:$L$66,1,0))&gt;3,IF(TYPE(VLOOKUP($A74,'5.kolo'!$K$3:$L$66,2,0))&gt;3,0,VLOOKUP($A74,'5.kolo'!$K$3:$L$66,2,0)),VLOOKUP($A74,'5.kolo'!$L$3:$O$66,4,0))</f>
        <v/>
      </c>
      <c r="BR74" s="318">
        <f ca="1">IF(TYPE(VLOOKUP($A74,'5.kolo'!$L$3:$L$66,1,0))&gt;3,IF(TYPE(VLOOKUP($A74,'5.kolo'!$O$3:$Q$66,2,0))&gt;3,0,VLOOKUP($A74,'5.kolo'!$O$3:$Q$66,2,0)),VLOOKUP($A74,'5.kolo'!$L$3:$N$66,2,0))</f>
        <v>0</v>
      </c>
      <c r="BS74" s="318">
        <f ca="1">IF(TYPE(VLOOKUP($A74,'5.kolo'!$L$3:$L$66,1,0))&gt;3,IF(TYPE(VLOOKUP($A74,'5.kolo'!$O$3:$Q$66,3,0))&gt;3,0,VLOOKUP($A74,'5.kolo'!$O$3:$Q$66,3,0)),VLOOKUP($A74,'5.kolo'!$L$3:$N$66,3,0))</f>
        <v>0</v>
      </c>
      <c r="BT74" s="318">
        <f t="shared" ca="1" si="57"/>
        <v>0</v>
      </c>
      <c r="BU74" s="397"/>
      <c r="BV74" s="424" t="str">
        <f ca="1">IF(BU74="","",CONCATENATE(TEXT($O74,"0"),IF(Start.listina!$Y$5="","",TEXT(500+$P74,"000")),TEXT(999999*RAND(),"000000")))</f>
        <v/>
      </c>
      <c r="BW74" s="318">
        <f t="shared" ca="1" si="40"/>
        <v>0</v>
      </c>
      <c r="BZ74" s="318" t="str">
        <f ca="1">IF(TYPE(VLOOKUP($A74,'6.kolo'!$L$3:$L$66,1,0))&gt;3,IF(TYPE(VLOOKUP($A74,'6.kolo'!$K$3:$L$66,2,0))&gt;3,0,VLOOKUP($A74,'6.kolo'!$K$3:$L$66,2,0)),VLOOKUP($A74,'6.kolo'!$L$3:$O$66,4,0))</f>
        <v/>
      </c>
      <c r="CA74" s="318">
        <f ca="1">IF(TYPE(VLOOKUP($A74,'6.kolo'!$L$3:$L$66,1,0))&gt;3,IF(TYPE(VLOOKUP($A74,'6.kolo'!$O$3:$Q$66,2,0))&gt;3,0,VLOOKUP($A74,'6.kolo'!$O$3:$Q$66,2,0)),VLOOKUP($A74,'6.kolo'!$L$3:$N$66,2,0))</f>
        <v>0</v>
      </c>
      <c r="CB74" s="318">
        <f ca="1">IF(TYPE(VLOOKUP($A74,'6.kolo'!$L$3:$L$66,1,0))&gt;3,IF(TYPE(VLOOKUP($A74,'6.kolo'!$O$3:$Q$66,3,0))&gt;3,0,VLOOKUP($A74,'6.kolo'!$O$3:$Q$66,3,0)),VLOOKUP($A74,'6.kolo'!$L$3:$N$66,3,0))</f>
        <v>0</v>
      </c>
      <c r="CC74" s="318">
        <f t="shared" ca="1" si="58"/>
        <v>0</v>
      </c>
      <c r="CD74" s="397"/>
      <c r="CE74" s="424" t="str">
        <f ca="1">IF(CD74="","",CONCATENATE(TEXT($O74,"0"),IF(Start.listina!$Y$5="","",TEXT(500+$P74,"000")),TEXT(999999*RAND(),"000000")))</f>
        <v/>
      </c>
      <c r="CF74" s="318">
        <f t="shared" ca="1" si="41"/>
        <v>0</v>
      </c>
    </row>
    <row r="75" spans="1:84" x14ac:dyDescent="0.4">
      <c r="A75" s="318" t="str">
        <f ca="1">IF(OR(Start.listina!H83&gt;Start.listina!$K$7,Start.listina!G83=TRUE),"",Start.listina!H83)</f>
        <v/>
      </c>
      <c r="B75" s="318" t="str">
        <f ca="1">IF($A75&gt;Start.listina!$K$7,"",INT(($A75-1)/Start.listina!$O$7)+1)</f>
        <v/>
      </c>
      <c r="C75" s="421" t="str">
        <f ca="1">IF(OR(Start.listina!H83&gt;Start.listina!$K$7,Start.listina!G83=TRUE)," - ",Start.listina!AL83)</f>
        <v xml:space="preserve"> - </v>
      </c>
      <c r="D75" s="318" t="str">
        <f ca="1">IF(OR(A75&gt;Start.listina!$K$7,TYPE(VLOOKUP(A75,$V$3:$X$130,3,0))&gt;3),"",VLOOKUP(A75,$V$3:$X$130,3,0))</f>
        <v/>
      </c>
      <c r="E75" s="422" t="str">
        <f ca="1">IF(A75&gt;Start.listina!$K$7,"",IF(MIN(F75:K75)&gt;Start.listina!$Y$4,D75,MIN(F75:K75)))</f>
        <v/>
      </c>
      <c r="F75" s="318">
        <f ca="1">IF(TYPE(VLOOKUP(C75,Konečné_pořadí_1_16!$B$2:$D$17,3,0))&lt;4,VLOOKUP(C75,Konečné_pořadí_1_16!$B$2:$D$17,3,0),999)</f>
        <v>999</v>
      </c>
      <c r="G75" s="318">
        <f ca="1">IF(TYPE(VLOOKUP(C75,'KO64'!$D$4:$D$129,1,0))&lt;4,64,999)</f>
        <v>64</v>
      </c>
      <c r="H75" s="318">
        <f ca="1">IF(TYPE(VLOOKUP(C75,'KO32'!$D$4:$D$65,1,0))&lt;4,32,999)</f>
        <v>32</v>
      </c>
      <c r="I75" s="318">
        <f ca="1">IF(TYPE(VLOOKUP(C75,'KO16'!$D$4:$D$33,1,0))&lt;4,16,999)</f>
        <v>999</v>
      </c>
      <c r="J75" s="318">
        <f ca="1">IF(TYPE(VLOOKUP(C75,'KO8'!$D$4:$D$17,1,0))&lt;4,8,999)</f>
        <v>999</v>
      </c>
      <c r="K75" s="318">
        <f ca="1">IF(TYPE(VLOOKUP(C75,'KO4'!$D$4:$D$9,1,0))&lt;4,4,999)</f>
        <v>999</v>
      </c>
      <c r="M75" s="319">
        <v>73</v>
      </c>
      <c r="O75" s="318">
        <f t="shared" ca="1" si="42"/>
        <v>0</v>
      </c>
      <c r="P75" s="318">
        <f t="shared" ca="1" si="43"/>
        <v>0</v>
      </c>
      <c r="Q75" s="318">
        <f t="shared" ca="1" si="34"/>
        <v>2</v>
      </c>
      <c r="R75" s="318">
        <f t="shared" ca="1" si="35"/>
        <v>0</v>
      </c>
      <c r="S75" s="318">
        <f t="shared" ca="1" si="44"/>
        <v>18</v>
      </c>
      <c r="T75" s="318">
        <f t="shared" ca="1" si="45"/>
        <v>0</v>
      </c>
      <c r="U75" s="397">
        <f t="shared" si="59"/>
        <v>73</v>
      </c>
      <c r="V75" s="397" t="s">
        <v>1869</v>
      </c>
      <c r="W75" s="423" t="str">
        <f ca="1">IF($V75="","",CONCATENATE(TEXT($O75,"0"),IF(Start.listina!$Y$5="","",TEXT(500+$P75,"0000")),IF(Start.listina!$Y$6="","",CHOOSE(Start.listina!$Y$7,TEXT($Q75,"00"),CONCATENATE(TEXT($Q75,"00"),TEXT($S75,"000")), TEXT($R75,"00"))),TEXT(500+$P75,"0000"),IF(Start.listina!$Y$8="","",TEXT($T75,"0")),TEXT(999999*RAND(),"000000")))</f>
        <v/>
      </c>
      <c r="X75" s="399">
        <f t="shared" si="46"/>
        <v>73</v>
      </c>
      <c r="Y75" s="397">
        <f t="shared" ca="1" si="36"/>
        <v>0</v>
      </c>
      <c r="Z75" s="318">
        <f t="shared" ca="1" si="47"/>
        <v>57</v>
      </c>
      <c r="AA75" s="318" t="str">
        <f t="shared" ca="1" si="48"/>
        <v/>
      </c>
      <c r="AB75" s="318" t="str">
        <f t="shared" ca="1" si="49"/>
        <v/>
      </c>
      <c r="AC75" s="318" t="str">
        <f t="shared" ca="1" si="50"/>
        <v/>
      </c>
      <c r="AD75" s="318" t="str">
        <f t="shared" ca="1" si="51"/>
        <v/>
      </c>
      <c r="AE75" s="318" t="str">
        <f t="shared" ca="1" si="52"/>
        <v/>
      </c>
      <c r="AG75" s="318">
        <f ca="1">IF(TYPE(VLOOKUP($A75,'1.kolo'!$L$3:$L$66,1,0))&gt;3,VLOOKUP($A75,'1.kolo'!$K$3:$L$66,2,0),VLOOKUP($A75,'1.kolo'!$L$3:$O$66,4,0))</f>
        <v>57</v>
      </c>
      <c r="AH75" s="318">
        <f ca="1">IF(TYPE(VLOOKUP($A75,'1.kolo'!$L$3:$L$66,1,0))&gt;3,VLOOKUP($A75,'1.kolo'!$O$3:$Q$66,2,0),VLOOKUP($A75,'1.kolo'!$L$3:$N$66,2,0))</f>
        <v>0</v>
      </c>
      <c r="AI75" s="318">
        <f ca="1">IF(TYPE(VLOOKUP($A75,'1.kolo'!$L$3:$L$66,1,0))&gt;3,VLOOKUP($A75,'1.kolo'!$O$3:$Q$66,3,0),VLOOKUP($A75,'1.kolo'!$L$3:$N$66,3,0))</f>
        <v>0</v>
      </c>
      <c r="AJ75" s="318">
        <f t="shared" ca="1" si="53"/>
        <v>0</v>
      </c>
      <c r="AK75" s="318">
        <v>73</v>
      </c>
      <c r="AL75" s="424"/>
      <c r="AP75" s="318" t="str">
        <f ca="1">IF(TYPE(VLOOKUP($A75,'2.kolo'!$L$3:$L$66,1,0))&gt;3,IF(TYPE(VLOOKUP($A75,'2.kolo'!$K$3:$L$66,2,0))&gt;3,0,VLOOKUP($A75,'2.kolo'!$K$3:$L$66,2,0)),VLOOKUP($A75,'2.kolo'!$L$3:$O$66,4,0))</f>
        <v/>
      </c>
      <c r="AQ75" s="318">
        <f ca="1">IF(TYPE(VLOOKUP($A75,'2.kolo'!$L$3:$L$66,1,0))&gt;3,IF(TYPE(VLOOKUP($A75,'2.kolo'!$O$3:$Q$66,2,0))&gt;3,0,VLOOKUP($A75,'2.kolo'!$O$3:$Q$66,2,0)),VLOOKUP($A75,'2.kolo'!$L$3:$N$66,2,0))</f>
        <v>0</v>
      </c>
      <c r="AR75" s="318">
        <f ca="1">IF(TYPE(VLOOKUP($A75,'2.kolo'!$L$3:$L$66,1,0))&gt;3,IF(TYPE(VLOOKUP($A75,'2.kolo'!$O$3:$Q$66,3,0))&gt;3,0,VLOOKUP($A75,'2.kolo'!$O$3:$Q$66,3,0)),VLOOKUP($A75,'2.kolo'!$L$3:$N$66,3,0))</f>
        <v>0</v>
      </c>
      <c r="AS75" s="318">
        <f t="shared" ca="1" si="54"/>
        <v>0</v>
      </c>
      <c r="AT75" s="397" t="s">
        <v>1869</v>
      </c>
      <c r="AU75" s="424" t="str">
        <f ca="1">IF(AT75="","",CONCATENATE(TEXT($O75,"0"),IF(Start.listina!$Y$5="","",TEXT(500+$P75,"000")),TEXT(999999*RAND(),"000000")))</f>
        <v/>
      </c>
      <c r="AV75" s="318">
        <f t="shared" ca="1" si="37"/>
        <v>0</v>
      </c>
      <c r="AY75" s="318" t="str">
        <f ca="1">IF(TYPE(VLOOKUP($A75,'3.kolo'!$L$3:$L$66,1,0))&gt;3,IF(TYPE(VLOOKUP($A75,'3.kolo'!$K$3:$L$66,2,0))&gt;3,0,VLOOKUP($A75,'3.kolo'!$K$3:$L$66,2,0)),VLOOKUP($A75,'3.kolo'!$L$3:$O$66,4,0))</f>
        <v/>
      </c>
      <c r="AZ75" s="318">
        <f ca="1">IF(TYPE(VLOOKUP($A75,'3.kolo'!$L$3:$L$66,1,0))&gt;3,IF(TYPE(VLOOKUP($A75,'3.kolo'!$O$3:$Q$66,2,0))&gt;3,0,VLOOKUP($A75,'3.kolo'!$O$3:$Q$66,2,0)),VLOOKUP($A75,'3.kolo'!$L$3:$N$66,2,0))</f>
        <v>0</v>
      </c>
      <c r="BA75" s="318">
        <f ca="1">IF(TYPE(VLOOKUP($A75,'3.kolo'!$L$3:$L$66,1,0))&gt;3,IF(TYPE(VLOOKUP($A75,'3.kolo'!$O$3:$Q$66,3,0))&gt;3,0,VLOOKUP($A75,'3.kolo'!$O$3:$Q$66,3,0)),VLOOKUP($A75,'3.kolo'!$L$3:$N$66,3,0))</f>
        <v>0</v>
      </c>
      <c r="BB75" s="318">
        <f t="shared" ca="1" si="55"/>
        <v>0</v>
      </c>
      <c r="BC75" s="397" t="s">
        <v>1869</v>
      </c>
      <c r="BD75" s="424" t="str">
        <f ca="1">IF(BC75="","",CONCATENATE(TEXT($O75,"0"),IF(Start.listina!$Y$5="","",TEXT(500+$P75,"000")),TEXT(999999*RAND(),"000000")))</f>
        <v/>
      </c>
      <c r="BE75" s="318">
        <f t="shared" ca="1" si="38"/>
        <v>0</v>
      </c>
      <c r="BH75" s="318" t="str">
        <f ca="1">IF(TYPE(VLOOKUP($A75,'4.kolo'!$L$3:$L$66,1,0))&gt;3,IF(TYPE(VLOOKUP($A75,'4.kolo'!$K$3:$L$66,2,0))&gt;3,0,VLOOKUP($A75,'4.kolo'!$K$3:$L$66,2,0)),VLOOKUP($A75,'4.kolo'!$L$3:$O$66,4,0))</f>
        <v/>
      </c>
      <c r="BI75" s="318">
        <f ca="1">IF(TYPE(VLOOKUP($A75,'4.kolo'!$L$3:$L$66,1,0))&gt;3,IF(TYPE(VLOOKUP($A75,'4.kolo'!$O$3:$Q$66,2,0))&gt;3,0,VLOOKUP($A75,'4.kolo'!$O$3:$Q$66,2,0)),VLOOKUP($A75,'4.kolo'!$L$3:$N$66,2,0))</f>
        <v>0</v>
      </c>
      <c r="BJ75" s="318">
        <f ca="1">IF(TYPE(VLOOKUP($A75,'4.kolo'!$L$3:$L$66,1,0))&gt;3,IF(TYPE(VLOOKUP($A75,'4.kolo'!$O$3:$Q$66,3,0))&gt;3,0,VLOOKUP($A75,'4.kolo'!$O$3:$Q$66,3,0)),VLOOKUP($A75,'4.kolo'!$L$3:$N$66,3,0))</f>
        <v>0</v>
      </c>
      <c r="BK75" s="318">
        <f t="shared" ca="1" si="56"/>
        <v>0</v>
      </c>
      <c r="BL75" s="397" t="s">
        <v>1869</v>
      </c>
      <c r="BM75" s="424" t="str">
        <f ca="1">IF(BL75="","",CONCATENATE(TEXT($O75,"0"),IF(Start.listina!$Y$5="","",TEXT(500+$P75,"000")),TEXT(999999*RAND(),"000000")))</f>
        <v/>
      </c>
      <c r="BN75" s="318">
        <f t="shared" ca="1" si="39"/>
        <v>0</v>
      </c>
      <c r="BQ75" s="318" t="str">
        <f ca="1">IF(TYPE(VLOOKUP($A75,'5.kolo'!$L$3:$L$66,1,0))&gt;3,IF(TYPE(VLOOKUP($A75,'5.kolo'!$K$3:$L$66,2,0))&gt;3,0,VLOOKUP($A75,'5.kolo'!$K$3:$L$66,2,0)),VLOOKUP($A75,'5.kolo'!$L$3:$O$66,4,0))</f>
        <v/>
      </c>
      <c r="BR75" s="318">
        <f ca="1">IF(TYPE(VLOOKUP($A75,'5.kolo'!$L$3:$L$66,1,0))&gt;3,IF(TYPE(VLOOKUP($A75,'5.kolo'!$O$3:$Q$66,2,0))&gt;3,0,VLOOKUP($A75,'5.kolo'!$O$3:$Q$66,2,0)),VLOOKUP($A75,'5.kolo'!$L$3:$N$66,2,0))</f>
        <v>0</v>
      </c>
      <c r="BS75" s="318">
        <f ca="1">IF(TYPE(VLOOKUP($A75,'5.kolo'!$L$3:$L$66,1,0))&gt;3,IF(TYPE(VLOOKUP($A75,'5.kolo'!$O$3:$Q$66,3,0))&gt;3,0,VLOOKUP($A75,'5.kolo'!$O$3:$Q$66,3,0)),VLOOKUP($A75,'5.kolo'!$L$3:$N$66,3,0))</f>
        <v>0</v>
      </c>
      <c r="BT75" s="318">
        <f t="shared" ca="1" si="57"/>
        <v>0</v>
      </c>
      <c r="BU75" s="397"/>
      <c r="BV75" s="424" t="str">
        <f ca="1">IF(BU75="","",CONCATENATE(TEXT($O75,"0"),IF(Start.listina!$Y$5="","",TEXT(500+$P75,"000")),TEXT(999999*RAND(),"000000")))</f>
        <v/>
      </c>
      <c r="BW75" s="318">
        <f t="shared" ca="1" si="40"/>
        <v>0</v>
      </c>
      <c r="BZ75" s="318" t="str">
        <f ca="1">IF(TYPE(VLOOKUP($A75,'6.kolo'!$L$3:$L$66,1,0))&gt;3,IF(TYPE(VLOOKUP($A75,'6.kolo'!$K$3:$L$66,2,0))&gt;3,0,VLOOKUP($A75,'6.kolo'!$K$3:$L$66,2,0)),VLOOKUP($A75,'6.kolo'!$L$3:$O$66,4,0))</f>
        <v/>
      </c>
      <c r="CA75" s="318">
        <f ca="1">IF(TYPE(VLOOKUP($A75,'6.kolo'!$L$3:$L$66,1,0))&gt;3,IF(TYPE(VLOOKUP($A75,'6.kolo'!$O$3:$Q$66,2,0))&gt;3,0,VLOOKUP($A75,'6.kolo'!$O$3:$Q$66,2,0)),VLOOKUP($A75,'6.kolo'!$L$3:$N$66,2,0))</f>
        <v>0</v>
      </c>
      <c r="CB75" s="318">
        <f ca="1">IF(TYPE(VLOOKUP($A75,'6.kolo'!$L$3:$L$66,1,0))&gt;3,IF(TYPE(VLOOKUP($A75,'6.kolo'!$O$3:$Q$66,3,0))&gt;3,0,VLOOKUP($A75,'6.kolo'!$O$3:$Q$66,3,0)),VLOOKUP($A75,'6.kolo'!$L$3:$N$66,3,0))</f>
        <v>0</v>
      </c>
      <c r="CC75" s="318">
        <f t="shared" ca="1" si="58"/>
        <v>0</v>
      </c>
      <c r="CD75" s="397"/>
      <c r="CE75" s="424" t="str">
        <f ca="1">IF(CD75="","",CONCATENATE(TEXT($O75,"0"),IF(Start.listina!$Y$5="","",TEXT(500+$P75,"000")),TEXT(999999*RAND(),"000000")))</f>
        <v/>
      </c>
      <c r="CF75" s="318">
        <f t="shared" ca="1" si="41"/>
        <v>0</v>
      </c>
    </row>
    <row r="76" spans="1:84" x14ac:dyDescent="0.4">
      <c r="A76" s="318" t="str">
        <f ca="1">IF(OR(Start.listina!H84&gt;Start.listina!$K$7,Start.listina!G84=TRUE),"",Start.listina!H84)</f>
        <v/>
      </c>
      <c r="B76" s="318" t="str">
        <f ca="1">IF($A76&gt;Start.listina!$K$7,"",INT(($A76-1)/Start.listina!$O$7)+1)</f>
        <v/>
      </c>
      <c r="C76" s="421" t="str">
        <f ca="1">IF(OR(Start.listina!H84&gt;Start.listina!$K$7,Start.listina!G84=TRUE)," - ",Start.listina!AL84)</f>
        <v xml:space="preserve"> - </v>
      </c>
      <c r="D76" s="318" t="str">
        <f ca="1">IF(OR(A76&gt;Start.listina!$K$7,TYPE(VLOOKUP(A76,$V$3:$X$130,3,0))&gt;3),"",VLOOKUP(A76,$V$3:$X$130,3,0))</f>
        <v/>
      </c>
      <c r="E76" s="422" t="str">
        <f ca="1">IF(A76&gt;Start.listina!$K$7,"",IF(MIN(F76:K76)&gt;Start.listina!$Y$4,D76,MIN(F76:K76)))</f>
        <v/>
      </c>
      <c r="F76" s="318">
        <f ca="1">IF(TYPE(VLOOKUP(C76,Konečné_pořadí_1_16!$B$2:$D$17,3,0))&lt;4,VLOOKUP(C76,Konečné_pořadí_1_16!$B$2:$D$17,3,0),999)</f>
        <v>999</v>
      </c>
      <c r="G76" s="318">
        <f ca="1">IF(TYPE(VLOOKUP(C76,'KO64'!$D$4:$D$129,1,0))&lt;4,64,999)</f>
        <v>64</v>
      </c>
      <c r="H76" s="318">
        <f ca="1">IF(TYPE(VLOOKUP(C76,'KO32'!$D$4:$D$65,1,0))&lt;4,32,999)</f>
        <v>32</v>
      </c>
      <c r="I76" s="318">
        <f ca="1">IF(TYPE(VLOOKUP(C76,'KO16'!$D$4:$D$33,1,0))&lt;4,16,999)</f>
        <v>999</v>
      </c>
      <c r="J76" s="318">
        <f ca="1">IF(TYPE(VLOOKUP(C76,'KO8'!$D$4:$D$17,1,0))&lt;4,8,999)</f>
        <v>999</v>
      </c>
      <c r="K76" s="318">
        <f ca="1">IF(TYPE(VLOOKUP(C76,'KO4'!$D$4:$D$9,1,0))&lt;4,4,999)</f>
        <v>999</v>
      </c>
      <c r="M76" s="319">
        <v>74</v>
      </c>
      <c r="O76" s="318">
        <f t="shared" ca="1" si="42"/>
        <v>0</v>
      </c>
      <c r="P76" s="318">
        <f t="shared" ca="1" si="43"/>
        <v>0</v>
      </c>
      <c r="Q76" s="318">
        <f t="shared" ca="1" si="34"/>
        <v>2</v>
      </c>
      <c r="R76" s="318">
        <f t="shared" ca="1" si="35"/>
        <v>0</v>
      </c>
      <c r="S76" s="318">
        <f t="shared" ca="1" si="44"/>
        <v>18</v>
      </c>
      <c r="T76" s="318">
        <f t="shared" ca="1" si="45"/>
        <v>0</v>
      </c>
      <c r="U76" s="397">
        <f t="shared" si="59"/>
        <v>74</v>
      </c>
      <c r="V76" s="397" t="s">
        <v>1869</v>
      </c>
      <c r="W76" s="423" t="str">
        <f ca="1">IF($V76="","",CONCATENATE(TEXT($O76,"0"),IF(Start.listina!$Y$5="","",TEXT(500+$P76,"0000")),IF(Start.listina!$Y$6="","",CHOOSE(Start.listina!$Y$7,TEXT($Q76,"00"),CONCATENATE(TEXT($Q76,"00"),TEXT($S76,"000")), TEXT($R76,"00"))),TEXT(500+$P76,"0000"),IF(Start.listina!$Y$8="","",TEXT($T76,"0")),TEXT(999999*RAND(),"000000")))</f>
        <v/>
      </c>
      <c r="X76" s="399">
        <f t="shared" si="46"/>
        <v>74</v>
      </c>
      <c r="Y76" s="397">
        <f t="shared" ca="1" si="36"/>
        <v>0</v>
      </c>
      <c r="Z76" s="318">
        <f t="shared" ca="1" si="47"/>
        <v>57</v>
      </c>
      <c r="AA76" s="318" t="str">
        <f t="shared" ca="1" si="48"/>
        <v/>
      </c>
      <c r="AB76" s="318" t="str">
        <f t="shared" ca="1" si="49"/>
        <v/>
      </c>
      <c r="AC76" s="318" t="str">
        <f t="shared" ca="1" si="50"/>
        <v/>
      </c>
      <c r="AD76" s="318" t="str">
        <f t="shared" ca="1" si="51"/>
        <v/>
      </c>
      <c r="AE76" s="318" t="str">
        <f t="shared" ca="1" si="52"/>
        <v/>
      </c>
      <c r="AG76" s="318">
        <f ca="1">IF(TYPE(VLOOKUP($A76,'1.kolo'!$L$3:$L$66,1,0))&gt;3,VLOOKUP($A76,'1.kolo'!$K$3:$L$66,2,0),VLOOKUP($A76,'1.kolo'!$L$3:$O$66,4,0))</f>
        <v>57</v>
      </c>
      <c r="AH76" s="318">
        <f ca="1">IF(TYPE(VLOOKUP($A76,'1.kolo'!$L$3:$L$66,1,0))&gt;3,VLOOKUP($A76,'1.kolo'!$O$3:$Q$66,2,0),VLOOKUP($A76,'1.kolo'!$L$3:$N$66,2,0))</f>
        <v>0</v>
      </c>
      <c r="AI76" s="318">
        <f ca="1">IF(TYPE(VLOOKUP($A76,'1.kolo'!$L$3:$L$66,1,0))&gt;3,VLOOKUP($A76,'1.kolo'!$O$3:$Q$66,3,0),VLOOKUP($A76,'1.kolo'!$L$3:$N$66,3,0))</f>
        <v>0</v>
      </c>
      <c r="AJ76" s="318">
        <f t="shared" ca="1" si="53"/>
        <v>0</v>
      </c>
      <c r="AK76" s="318">
        <v>74</v>
      </c>
      <c r="AL76" s="424"/>
      <c r="AP76" s="318" t="str">
        <f ca="1">IF(TYPE(VLOOKUP($A76,'2.kolo'!$L$3:$L$66,1,0))&gt;3,IF(TYPE(VLOOKUP($A76,'2.kolo'!$K$3:$L$66,2,0))&gt;3,0,VLOOKUP($A76,'2.kolo'!$K$3:$L$66,2,0)),VLOOKUP($A76,'2.kolo'!$L$3:$O$66,4,0))</f>
        <v/>
      </c>
      <c r="AQ76" s="318">
        <f ca="1">IF(TYPE(VLOOKUP($A76,'2.kolo'!$L$3:$L$66,1,0))&gt;3,IF(TYPE(VLOOKUP($A76,'2.kolo'!$O$3:$Q$66,2,0))&gt;3,0,VLOOKUP($A76,'2.kolo'!$O$3:$Q$66,2,0)),VLOOKUP($A76,'2.kolo'!$L$3:$N$66,2,0))</f>
        <v>0</v>
      </c>
      <c r="AR76" s="318">
        <f ca="1">IF(TYPE(VLOOKUP($A76,'2.kolo'!$L$3:$L$66,1,0))&gt;3,IF(TYPE(VLOOKUP($A76,'2.kolo'!$O$3:$Q$66,3,0))&gt;3,0,VLOOKUP($A76,'2.kolo'!$O$3:$Q$66,3,0)),VLOOKUP($A76,'2.kolo'!$L$3:$N$66,3,0))</f>
        <v>0</v>
      </c>
      <c r="AS76" s="318">
        <f t="shared" ca="1" si="54"/>
        <v>0</v>
      </c>
      <c r="AT76" s="397" t="s">
        <v>1869</v>
      </c>
      <c r="AU76" s="424" t="str">
        <f ca="1">IF(AT76="","",CONCATENATE(TEXT($O76,"0"),IF(Start.listina!$Y$5="","",TEXT(500+$P76,"000")),TEXT(999999*RAND(),"000000")))</f>
        <v/>
      </c>
      <c r="AV76" s="318">
        <f t="shared" ca="1" si="37"/>
        <v>0</v>
      </c>
      <c r="AY76" s="318" t="str">
        <f ca="1">IF(TYPE(VLOOKUP($A76,'3.kolo'!$L$3:$L$66,1,0))&gt;3,IF(TYPE(VLOOKUP($A76,'3.kolo'!$K$3:$L$66,2,0))&gt;3,0,VLOOKUP($A76,'3.kolo'!$K$3:$L$66,2,0)),VLOOKUP($A76,'3.kolo'!$L$3:$O$66,4,0))</f>
        <v/>
      </c>
      <c r="AZ76" s="318">
        <f ca="1">IF(TYPE(VLOOKUP($A76,'3.kolo'!$L$3:$L$66,1,0))&gt;3,IF(TYPE(VLOOKUP($A76,'3.kolo'!$O$3:$Q$66,2,0))&gt;3,0,VLOOKUP($A76,'3.kolo'!$O$3:$Q$66,2,0)),VLOOKUP($A76,'3.kolo'!$L$3:$N$66,2,0))</f>
        <v>0</v>
      </c>
      <c r="BA76" s="318">
        <f ca="1">IF(TYPE(VLOOKUP($A76,'3.kolo'!$L$3:$L$66,1,0))&gt;3,IF(TYPE(VLOOKUP($A76,'3.kolo'!$O$3:$Q$66,3,0))&gt;3,0,VLOOKUP($A76,'3.kolo'!$O$3:$Q$66,3,0)),VLOOKUP($A76,'3.kolo'!$L$3:$N$66,3,0))</f>
        <v>0</v>
      </c>
      <c r="BB76" s="318">
        <f t="shared" ca="1" si="55"/>
        <v>0</v>
      </c>
      <c r="BC76" s="397" t="s">
        <v>1869</v>
      </c>
      <c r="BD76" s="424" t="str">
        <f ca="1">IF(BC76="","",CONCATENATE(TEXT($O76,"0"),IF(Start.listina!$Y$5="","",TEXT(500+$P76,"000")),TEXT(999999*RAND(),"000000")))</f>
        <v/>
      </c>
      <c r="BE76" s="318">
        <f t="shared" ca="1" si="38"/>
        <v>0</v>
      </c>
      <c r="BH76" s="318" t="str">
        <f ca="1">IF(TYPE(VLOOKUP($A76,'4.kolo'!$L$3:$L$66,1,0))&gt;3,IF(TYPE(VLOOKUP($A76,'4.kolo'!$K$3:$L$66,2,0))&gt;3,0,VLOOKUP($A76,'4.kolo'!$K$3:$L$66,2,0)),VLOOKUP($A76,'4.kolo'!$L$3:$O$66,4,0))</f>
        <v/>
      </c>
      <c r="BI76" s="318">
        <f ca="1">IF(TYPE(VLOOKUP($A76,'4.kolo'!$L$3:$L$66,1,0))&gt;3,IF(TYPE(VLOOKUP($A76,'4.kolo'!$O$3:$Q$66,2,0))&gt;3,0,VLOOKUP($A76,'4.kolo'!$O$3:$Q$66,2,0)),VLOOKUP($A76,'4.kolo'!$L$3:$N$66,2,0))</f>
        <v>0</v>
      </c>
      <c r="BJ76" s="318">
        <f ca="1">IF(TYPE(VLOOKUP($A76,'4.kolo'!$L$3:$L$66,1,0))&gt;3,IF(TYPE(VLOOKUP($A76,'4.kolo'!$O$3:$Q$66,3,0))&gt;3,0,VLOOKUP($A76,'4.kolo'!$O$3:$Q$66,3,0)),VLOOKUP($A76,'4.kolo'!$L$3:$N$66,3,0))</f>
        <v>0</v>
      </c>
      <c r="BK76" s="318">
        <f t="shared" ca="1" si="56"/>
        <v>0</v>
      </c>
      <c r="BL76" s="397" t="s">
        <v>1869</v>
      </c>
      <c r="BM76" s="424" t="str">
        <f ca="1">IF(BL76="","",CONCATENATE(TEXT($O76,"0"),IF(Start.listina!$Y$5="","",TEXT(500+$P76,"000")),TEXT(999999*RAND(),"000000")))</f>
        <v/>
      </c>
      <c r="BN76" s="318">
        <f t="shared" ca="1" si="39"/>
        <v>0</v>
      </c>
      <c r="BQ76" s="318" t="str">
        <f ca="1">IF(TYPE(VLOOKUP($A76,'5.kolo'!$L$3:$L$66,1,0))&gt;3,IF(TYPE(VLOOKUP($A76,'5.kolo'!$K$3:$L$66,2,0))&gt;3,0,VLOOKUP($A76,'5.kolo'!$K$3:$L$66,2,0)),VLOOKUP($A76,'5.kolo'!$L$3:$O$66,4,0))</f>
        <v/>
      </c>
      <c r="BR76" s="318">
        <f ca="1">IF(TYPE(VLOOKUP($A76,'5.kolo'!$L$3:$L$66,1,0))&gt;3,IF(TYPE(VLOOKUP($A76,'5.kolo'!$O$3:$Q$66,2,0))&gt;3,0,VLOOKUP($A76,'5.kolo'!$O$3:$Q$66,2,0)),VLOOKUP($A76,'5.kolo'!$L$3:$N$66,2,0))</f>
        <v>0</v>
      </c>
      <c r="BS76" s="318">
        <f ca="1">IF(TYPE(VLOOKUP($A76,'5.kolo'!$L$3:$L$66,1,0))&gt;3,IF(TYPE(VLOOKUP($A76,'5.kolo'!$O$3:$Q$66,3,0))&gt;3,0,VLOOKUP($A76,'5.kolo'!$O$3:$Q$66,3,0)),VLOOKUP($A76,'5.kolo'!$L$3:$N$66,3,0))</f>
        <v>0</v>
      </c>
      <c r="BT76" s="318">
        <f t="shared" ca="1" si="57"/>
        <v>0</v>
      </c>
      <c r="BU76" s="397"/>
      <c r="BV76" s="424" t="str">
        <f ca="1">IF(BU76="","",CONCATENATE(TEXT($O76,"0"),IF(Start.listina!$Y$5="","",TEXT(500+$P76,"000")),TEXT(999999*RAND(),"000000")))</f>
        <v/>
      </c>
      <c r="BW76" s="318">
        <f t="shared" ca="1" si="40"/>
        <v>0</v>
      </c>
      <c r="BZ76" s="318" t="str">
        <f ca="1">IF(TYPE(VLOOKUP($A76,'6.kolo'!$L$3:$L$66,1,0))&gt;3,IF(TYPE(VLOOKUP($A76,'6.kolo'!$K$3:$L$66,2,0))&gt;3,0,VLOOKUP($A76,'6.kolo'!$K$3:$L$66,2,0)),VLOOKUP($A76,'6.kolo'!$L$3:$O$66,4,0))</f>
        <v/>
      </c>
      <c r="CA76" s="318">
        <f ca="1">IF(TYPE(VLOOKUP($A76,'6.kolo'!$L$3:$L$66,1,0))&gt;3,IF(TYPE(VLOOKUP($A76,'6.kolo'!$O$3:$Q$66,2,0))&gt;3,0,VLOOKUP($A76,'6.kolo'!$O$3:$Q$66,2,0)),VLOOKUP($A76,'6.kolo'!$L$3:$N$66,2,0))</f>
        <v>0</v>
      </c>
      <c r="CB76" s="318">
        <f ca="1">IF(TYPE(VLOOKUP($A76,'6.kolo'!$L$3:$L$66,1,0))&gt;3,IF(TYPE(VLOOKUP($A76,'6.kolo'!$O$3:$Q$66,3,0))&gt;3,0,VLOOKUP($A76,'6.kolo'!$O$3:$Q$66,3,0)),VLOOKUP($A76,'6.kolo'!$L$3:$N$66,3,0))</f>
        <v>0</v>
      </c>
      <c r="CC76" s="318">
        <f t="shared" ca="1" si="58"/>
        <v>0</v>
      </c>
      <c r="CD76" s="397"/>
      <c r="CE76" s="424" t="str">
        <f ca="1">IF(CD76="","",CONCATENATE(TEXT($O76,"0"),IF(Start.listina!$Y$5="","",TEXT(500+$P76,"000")),TEXT(999999*RAND(),"000000")))</f>
        <v/>
      </c>
      <c r="CF76" s="318">
        <f t="shared" ca="1" si="41"/>
        <v>0</v>
      </c>
    </row>
    <row r="77" spans="1:84" x14ac:dyDescent="0.4">
      <c r="A77" s="318" t="str">
        <f ca="1">IF(OR(Start.listina!H85&gt;Start.listina!$K$7,Start.listina!G85=TRUE),"",Start.listina!H85)</f>
        <v/>
      </c>
      <c r="B77" s="318" t="str">
        <f ca="1">IF($A77&gt;Start.listina!$K$7,"",INT(($A77-1)/Start.listina!$O$7)+1)</f>
        <v/>
      </c>
      <c r="C77" s="421" t="str">
        <f ca="1">IF(OR(Start.listina!H85&gt;Start.listina!$K$7,Start.listina!G85=TRUE)," - ",Start.listina!AL85)</f>
        <v xml:space="preserve"> - </v>
      </c>
      <c r="D77" s="318" t="str">
        <f ca="1">IF(OR(A77&gt;Start.listina!$K$7,TYPE(VLOOKUP(A77,$V$3:$X$130,3,0))&gt;3),"",VLOOKUP(A77,$V$3:$X$130,3,0))</f>
        <v/>
      </c>
      <c r="E77" s="422" t="str">
        <f ca="1">IF(A77&gt;Start.listina!$K$7,"",IF(MIN(F77:K77)&gt;Start.listina!$Y$4,D77,MIN(F77:K77)))</f>
        <v/>
      </c>
      <c r="F77" s="318">
        <f ca="1">IF(TYPE(VLOOKUP(C77,Konečné_pořadí_1_16!$B$2:$D$17,3,0))&lt;4,VLOOKUP(C77,Konečné_pořadí_1_16!$B$2:$D$17,3,0),999)</f>
        <v>999</v>
      </c>
      <c r="G77" s="318">
        <f ca="1">IF(TYPE(VLOOKUP(C77,'KO64'!$D$4:$D$129,1,0))&lt;4,64,999)</f>
        <v>64</v>
      </c>
      <c r="H77" s="318">
        <f ca="1">IF(TYPE(VLOOKUP(C77,'KO32'!$D$4:$D$65,1,0))&lt;4,32,999)</f>
        <v>32</v>
      </c>
      <c r="I77" s="318">
        <f ca="1">IF(TYPE(VLOOKUP(C77,'KO16'!$D$4:$D$33,1,0))&lt;4,16,999)</f>
        <v>999</v>
      </c>
      <c r="J77" s="318">
        <f ca="1">IF(TYPE(VLOOKUP(C77,'KO8'!$D$4:$D$17,1,0))&lt;4,8,999)</f>
        <v>999</v>
      </c>
      <c r="K77" s="318">
        <f ca="1">IF(TYPE(VLOOKUP(C77,'KO4'!$D$4:$D$9,1,0))&lt;4,4,999)</f>
        <v>999</v>
      </c>
      <c r="M77" s="319">
        <v>75</v>
      </c>
      <c r="O77" s="318">
        <f t="shared" ca="1" si="42"/>
        <v>0</v>
      </c>
      <c r="P77" s="318">
        <f t="shared" ca="1" si="43"/>
        <v>0</v>
      </c>
      <c r="Q77" s="318">
        <f t="shared" ca="1" si="34"/>
        <v>2</v>
      </c>
      <c r="R77" s="318">
        <f t="shared" ca="1" si="35"/>
        <v>0</v>
      </c>
      <c r="S77" s="318">
        <f t="shared" ca="1" si="44"/>
        <v>18</v>
      </c>
      <c r="T77" s="318">
        <f t="shared" ca="1" si="45"/>
        <v>0</v>
      </c>
      <c r="U77" s="397">
        <f t="shared" si="59"/>
        <v>75</v>
      </c>
      <c r="V77" s="397" t="s">
        <v>1869</v>
      </c>
      <c r="W77" s="423" t="str">
        <f ca="1">IF($V77="","",CONCATENATE(TEXT($O77,"0"),IF(Start.listina!$Y$5="","",TEXT(500+$P77,"0000")),IF(Start.listina!$Y$6="","",CHOOSE(Start.listina!$Y$7,TEXT($Q77,"00"),CONCATENATE(TEXT($Q77,"00"),TEXT($S77,"000")), TEXT($R77,"00"))),TEXT(500+$P77,"0000"),IF(Start.listina!$Y$8="","",TEXT($T77,"0")),TEXT(999999*RAND(),"000000")))</f>
        <v/>
      </c>
      <c r="X77" s="399">
        <f t="shared" si="46"/>
        <v>75</v>
      </c>
      <c r="Y77" s="397">
        <f t="shared" ca="1" si="36"/>
        <v>0</v>
      </c>
      <c r="Z77" s="318">
        <f t="shared" ca="1" si="47"/>
        <v>57</v>
      </c>
      <c r="AA77" s="318" t="str">
        <f t="shared" ca="1" si="48"/>
        <v/>
      </c>
      <c r="AB77" s="318" t="str">
        <f t="shared" ca="1" si="49"/>
        <v/>
      </c>
      <c r="AC77" s="318" t="str">
        <f t="shared" ca="1" si="50"/>
        <v/>
      </c>
      <c r="AD77" s="318" t="str">
        <f t="shared" ca="1" si="51"/>
        <v/>
      </c>
      <c r="AE77" s="318" t="str">
        <f t="shared" ca="1" si="52"/>
        <v/>
      </c>
      <c r="AG77" s="318">
        <f ca="1">IF(TYPE(VLOOKUP($A77,'1.kolo'!$L$3:$L$66,1,0))&gt;3,VLOOKUP($A77,'1.kolo'!$K$3:$L$66,2,0),VLOOKUP($A77,'1.kolo'!$L$3:$O$66,4,0))</f>
        <v>57</v>
      </c>
      <c r="AH77" s="318">
        <f ca="1">IF(TYPE(VLOOKUP($A77,'1.kolo'!$L$3:$L$66,1,0))&gt;3,VLOOKUP($A77,'1.kolo'!$O$3:$Q$66,2,0),VLOOKUP($A77,'1.kolo'!$L$3:$N$66,2,0))</f>
        <v>0</v>
      </c>
      <c r="AI77" s="318">
        <f ca="1">IF(TYPE(VLOOKUP($A77,'1.kolo'!$L$3:$L$66,1,0))&gt;3,VLOOKUP($A77,'1.kolo'!$O$3:$Q$66,3,0),VLOOKUP($A77,'1.kolo'!$L$3:$N$66,3,0))</f>
        <v>0</v>
      </c>
      <c r="AJ77" s="318">
        <f t="shared" ca="1" si="53"/>
        <v>0</v>
      </c>
      <c r="AK77" s="318">
        <v>75</v>
      </c>
      <c r="AL77" s="424"/>
      <c r="AP77" s="318" t="str">
        <f ca="1">IF(TYPE(VLOOKUP($A77,'2.kolo'!$L$3:$L$66,1,0))&gt;3,IF(TYPE(VLOOKUP($A77,'2.kolo'!$K$3:$L$66,2,0))&gt;3,0,VLOOKUP($A77,'2.kolo'!$K$3:$L$66,2,0)),VLOOKUP($A77,'2.kolo'!$L$3:$O$66,4,0))</f>
        <v/>
      </c>
      <c r="AQ77" s="318">
        <f ca="1">IF(TYPE(VLOOKUP($A77,'2.kolo'!$L$3:$L$66,1,0))&gt;3,IF(TYPE(VLOOKUP($A77,'2.kolo'!$O$3:$Q$66,2,0))&gt;3,0,VLOOKUP($A77,'2.kolo'!$O$3:$Q$66,2,0)),VLOOKUP($A77,'2.kolo'!$L$3:$N$66,2,0))</f>
        <v>0</v>
      </c>
      <c r="AR77" s="318">
        <f ca="1">IF(TYPE(VLOOKUP($A77,'2.kolo'!$L$3:$L$66,1,0))&gt;3,IF(TYPE(VLOOKUP($A77,'2.kolo'!$O$3:$Q$66,3,0))&gt;3,0,VLOOKUP($A77,'2.kolo'!$O$3:$Q$66,3,0)),VLOOKUP($A77,'2.kolo'!$L$3:$N$66,3,0))</f>
        <v>0</v>
      </c>
      <c r="AS77" s="318">
        <f t="shared" ca="1" si="54"/>
        <v>0</v>
      </c>
      <c r="AT77" s="397" t="s">
        <v>1869</v>
      </c>
      <c r="AU77" s="424" t="str">
        <f ca="1">IF(AT77="","",CONCATENATE(TEXT($O77,"0"),IF(Start.listina!$Y$5="","",TEXT(500+$P77,"000")),TEXT(999999*RAND(),"000000")))</f>
        <v/>
      </c>
      <c r="AV77" s="318">
        <f t="shared" ca="1" si="37"/>
        <v>0</v>
      </c>
      <c r="AY77" s="318" t="str">
        <f ca="1">IF(TYPE(VLOOKUP($A77,'3.kolo'!$L$3:$L$66,1,0))&gt;3,IF(TYPE(VLOOKUP($A77,'3.kolo'!$K$3:$L$66,2,0))&gt;3,0,VLOOKUP($A77,'3.kolo'!$K$3:$L$66,2,0)),VLOOKUP($A77,'3.kolo'!$L$3:$O$66,4,0))</f>
        <v/>
      </c>
      <c r="AZ77" s="318">
        <f ca="1">IF(TYPE(VLOOKUP($A77,'3.kolo'!$L$3:$L$66,1,0))&gt;3,IF(TYPE(VLOOKUP($A77,'3.kolo'!$O$3:$Q$66,2,0))&gt;3,0,VLOOKUP($A77,'3.kolo'!$O$3:$Q$66,2,0)),VLOOKUP($A77,'3.kolo'!$L$3:$N$66,2,0))</f>
        <v>0</v>
      </c>
      <c r="BA77" s="318">
        <f ca="1">IF(TYPE(VLOOKUP($A77,'3.kolo'!$L$3:$L$66,1,0))&gt;3,IF(TYPE(VLOOKUP($A77,'3.kolo'!$O$3:$Q$66,3,0))&gt;3,0,VLOOKUP($A77,'3.kolo'!$O$3:$Q$66,3,0)),VLOOKUP($A77,'3.kolo'!$L$3:$N$66,3,0))</f>
        <v>0</v>
      </c>
      <c r="BB77" s="318">
        <f t="shared" ca="1" si="55"/>
        <v>0</v>
      </c>
      <c r="BC77" s="397" t="s">
        <v>1869</v>
      </c>
      <c r="BD77" s="424" t="str">
        <f ca="1">IF(BC77="","",CONCATENATE(TEXT($O77,"0"),IF(Start.listina!$Y$5="","",TEXT(500+$P77,"000")),TEXT(999999*RAND(),"000000")))</f>
        <v/>
      </c>
      <c r="BE77" s="318">
        <f t="shared" ca="1" si="38"/>
        <v>0</v>
      </c>
      <c r="BH77" s="318" t="str">
        <f ca="1">IF(TYPE(VLOOKUP($A77,'4.kolo'!$L$3:$L$66,1,0))&gt;3,IF(TYPE(VLOOKUP($A77,'4.kolo'!$K$3:$L$66,2,0))&gt;3,0,VLOOKUP($A77,'4.kolo'!$K$3:$L$66,2,0)),VLOOKUP($A77,'4.kolo'!$L$3:$O$66,4,0))</f>
        <v/>
      </c>
      <c r="BI77" s="318">
        <f ca="1">IF(TYPE(VLOOKUP($A77,'4.kolo'!$L$3:$L$66,1,0))&gt;3,IF(TYPE(VLOOKUP($A77,'4.kolo'!$O$3:$Q$66,2,0))&gt;3,0,VLOOKUP($A77,'4.kolo'!$O$3:$Q$66,2,0)),VLOOKUP($A77,'4.kolo'!$L$3:$N$66,2,0))</f>
        <v>0</v>
      </c>
      <c r="BJ77" s="318">
        <f ca="1">IF(TYPE(VLOOKUP($A77,'4.kolo'!$L$3:$L$66,1,0))&gt;3,IF(TYPE(VLOOKUP($A77,'4.kolo'!$O$3:$Q$66,3,0))&gt;3,0,VLOOKUP($A77,'4.kolo'!$O$3:$Q$66,3,0)),VLOOKUP($A77,'4.kolo'!$L$3:$N$66,3,0))</f>
        <v>0</v>
      </c>
      <c r="BK77" s="318">
        <f t="shared" ca="1" si="56"/>
        <v>0</v>
      </c>
      <c r="BL77" s="397" t="s">
        <v>1869</v>
      </c>
      <c r="BM77" s="424" t="str">
        <f ca="1">IF(BL77="","",CONCATENATE(TEXT($O77,"0"),IF(Start.listina!$Y$5="","",TEXT(500+$P77,"000")),TEXT(999999*RAND(),"000000")))</f>
        <v/>
      </c>
      <c r="BN77" s="318">
        <f t="shared" ca="1" si="39"/>
        <v>0</v>
      </c>
      <c r="BQ77" s="318" t="str">
        <f ca="1">IF(TYPE(VLOOKUP($A77,'5.kolo'!$L$3:$L$66,1,0))&gt;3,IF(TYPE(VLOOKUP($A77,'5.kolo'!$K$3:$L$66,2,0))&gt;3,0,VLOOKUP($A77,'5.kolo'!$K$3:$L$66,2,0)),VLOOKUP($A77,'5.kolo'!$L$3:$O$66,4,0))</f>
        <v/>
      </c>
      <c r="BR77" s="318">
        <f ca="1">IF(TYPE(VLOOKUP($A77,'5.kolo'!$L$3:$L$66,1,0))&gt;3,IF(TYPE(VLOOKUP($A77,'5.kolo'!$O$3:$Q$66,2,0))&gt;3,0,VLOOKUP($A77,'5.kolo'!$O$3:$Q$66,2,0)),VLOOKUP($A77,'5.kolo'!$L$3:$N$66,2,0))</f>
        <v>0</v>
      </c>
      <c r="BS77" s="318">
        <f ca="1">IF(TYPE(VLOOKUP($A77,'5.kolo'!$L$3:$L$66,1,0))&gt;3,IF(TYPE(VLOOKUP($A77,'5.kolo'!$O$3:$Q$66,3,0))&gt;3,0,VLOOKUP($A77,'5.kolo'!$O$3:$Q$66,3,0)),VLOOKUP($A77,'5.kolo'!$L$3:$N$66,3,0))</f>
        <v>0</v>
      </c>
      <c r="BT77" s="318">
        <f t="shared" ca="1" si="57"/>
        <v>0</v>
      </c>
      <c r="BU77" s="397"/>
      <c r="BV77" s="424" t="str">
        <f ca="1">IF(BU77="","",CONCATENATE(TEXT($O77,"0"),IF(Start.listina!$Y$5="","",TEXT(500+$P77,"000")),TEXT(999999*RAND(),"000000")))</f>
        <v/>
      </c>
      <c r="BW77" s="318">
        <f t="shared" ca="1" si="40"/>
        <v>0</v>
      </c>
      <c r="BZ77" s="318" t="str">
        <f ca="1">IF(TYPE(VLOOKUP($A77,'6.kolo'!$L$3:$L$66,1,0))&gt;3,IF(TYPE(VLOOKUP($A77,'6.kolo'!$K$3:$L$66,2,0))&gt;3,0,VLOOKUP($A77,'6.kolo'!$K$3:$L$66,2,0)),VLOOKUP($A77,'6.kolo'!$L$3:$O$66,4,0))</f>
        <v/>
      </c>
      <c r="CA77" s="318">
        <f ca="1">IF(TYPE(VLOOKUP($A77,'6.kolo'!$L$3:$L$66,1,0))&gt;3,IF(TYPE(VLOOKUP($A77,'6.kolo'!$O$3:$Q$66,2,0))&gt;3,0,VLOOKUP($A77,'6.kolo'!$O$3:$Q$66,2,0)),VLOOKUP($A77,'6.kolo'!$L$3:$N$66,2,0))</f>
        <v>0</v>
      </c>
      <c r="CB77" s="318">
        <f ca="1">IF(TYPE(VLOOKUP($A77,'6.kolo'!$L$3:$L$66,1,0))&gt;3,IF(TYPE(VLOOKUP($A77,'6.kolo'!$O$3:$Q$66,3,0))&gt;3,0,VLOOKUP($A77,'6.kolo'!$O$3:$Q$66,3,0)),VLOOKUP($A77,'6.kolo'!$L$3:$N$66,3,0))</f>
        <v>0</v>
      </c>
      <c r="CC77" s="318">
        <f t="shared" ca="1" si="58"/>
        <v>0</v>
      </c>
      <c r="CD77" s="397"/>
      <c r="CE77" s="424" t="str">
        <f ca="1">IF(CD77="","",CONCATENATE(TEXT($O77,"0"),IF(Start.listina!$Y$5="","",TEXT(500+$P77,"000")),TEXT(999999*RAND(),"000000")))</f>
        <v/>
      </c>
      <c r="CF77" s="318">
        <f t="shared" ca="1" si="41"/>
        <v>0</v>
      </c>
    </row>
    <row r="78" spans="1:84" x14ac:dyDescent="0.4">
      <c r="A78" s="318" t="str">
        <f ca="1">IF(OR(Start.listina!H86&gt;Start.listina!$K$7,Start.listina!G86=TRUE),"",Start.listina!H86)</f>
        <v/>
      </c>
      <c r="B78" s="318" t="str">
        <f ca="1">IF($A78&gt;Start.listina!$K$7,"",INT(($A78-1)/Start.listina!$O$7)+1)</f>
        <v/>
      </c>
      <c r="C78" s="421" t="str">
        <f ca="1">IF(OR(Start.listina!H86&gt;Start.listina!$K$7,Start.listina!G86=TRUE)," - ",Start.listina!AL86)</f>
        <v xml:space="preserve"> - </v>
      </c>
      <c r="D78" s="318" t="str">
        <f ca="1">IF(OR(A78&gt;Start.listina!$K$7,TYPE(VLOOKUP(A78,$V$3:$X$130,3,0))&gt;3),"",VLOOKUP(A78,$V$3:$X$130,3,0))</f>
        <v/>
      </c>
      <c r="E78" s="422" t="str">
        <f ca="1">IF(A78&gt;Start.listina!$K$7,"",IF(MIN(F78:K78)&gt;Start.listina!$Y$4,D78,MIN(F78:K78)))</f>
        <v/>
      </c>
      <c r="F78" s="318">
        <f ca="1">IF(TYPE(VLOOKUP(C78,Konečné_pořadí_1_16!$B$2:$D$17,3,0))&lt;4,VLOOKUP(C78,Konečné_pořadí_1_16!$B$2:$D$17,3,0),999)</f>
        <v>999</v>
      </c>
      <c r="G78" s="318">
        <f ca="1">IF(TYPE(VLOOKUP(C78,'KO64'!$D$4:$D$129,1,0))&lt;4,64,999)</f>
        <v>64</v>
      </c>
      <c r="H78" s="318">
        <f ca="1">IF(TYPE(VLOOKUP(C78,'KO32'!$D$4:$D$65,1,0))&lt;4,32,999)</f>
        <v>32</v>
      </c>
      <c r="I78" s="318">
        <f ca="1">IF(TYPE(VLOOKUP(C78,'KO16'!$D$4:$D$33,1,0))&lt;4,16,999)</f>
        <v>999</v>
      </c>
      <c r="J78" s="318">
        <f ca="1">IF(TYPE(VLOOKUP(C78,'KO8'!$D$4:$D$17,1,0))&lt;4,8,999)</f>
        <v>999</v>
      </c>
      <c r="K78" s="318">
        <f ca="1">IF(TYPE(VLOOKUP(C78,'KO4'!$D$4:$D$9,1,0))&lt;4,4,999)</f>
        <v>999</v>
      </c>
      <c r="M78" s="319">
        <v>76</v>
      </c>
      <c r="O78" s="318">
        <f t="shared" ca="1" si="42"/>
        <v>0</v>
      </c>
      <c r="P78" s="318">
        <f t="shared" ca="1" si="43"/>
        <v>0</v>
      </c>
      <c r="Q78" s="318">
        <f t="shared" ca="1" si="34"/>
        <v>2</v>
      </c>
      <c r="R78" s="318">
        <f t="shared" ca="1" si="35"/>
        <v>0</v>
      </c>
      <c r="S78" s="318">
        <f t="shared" ca="1" si="44"/>
        <v>18</v>
      </c>
      <c r="T78" s="318">
        <f t="shared" ca="1" si="45"/>
        <v>0</v>
      </c>
      <c r="U78" s="397">
        <f t="shared" si="59"/>
        <v>76</v>
      </c>
      <c r="V78" s="397" t="s">
        <v>1869</v>
      </c>
      <c r="W78" s="423" t="str">
        <f ca="1">IF($V78="","",CONCATENATE(TEXT($O78,"0"),IF(Start.listina!$Y$5="","",TEXT(500+$P78,"0000")),IF(Start.listina!$Y$6="","",CHOOSE(Start.listina!$Y$7,TEXT($Q78,"00"),CONCATENATE(TEXT($Q78,"00"),TEXT($S78,"000")), TEXT($R78,"00"))),TEXT(500+$P78,"0000"),IF(Start.listina!$Y$8="","",TEXT($T78,"0")),TEXT(999999*RAND(),"000000")))</f>
        <v/>
      </c>
      <c r="X78" s="399">
        <f t="shared" si="46"/>
        <v>76</v>
      </c>
      <c r="Y78" s="397">
        <f t="shared" ca="1" si="36"/>
        <v>0</v>
      </c>
      <c r="Z78" s="318">
        <f t="shared" ca="1" si="47"/>
        <v>57</v>
      </c>
      <c r="AA78" s="318" t="str">
        <f t="shared" ca="1" si="48"/>
        <v/>
      </c>
      <c r="AB78" s="318" t="str">
        <f t="shared" ca="1" si="49"/>
        <v/>
      </c>
      <c r="AC78" s="318" t="str">
        <f t="shared" ca="1" si="50"/>
        <v/>
      </c>
      <c r="AD78" s="318" t="str">
        <f t="shared" ca="1" si="51"/>
        <v/>
      </c>
      <c r="AE78" s="318" t="str">
        <f t="shared" ca="1" si="52"/>
        <v/>
      </c>
      <c r="AG78" s="318">
        <f ca="1">IF(TYPE(VLOOKUP($A78,'1.kolo'!$L$3:$L$66,1,0))&gt;3,VLOOKUP($A78,'1.kolo'!$K$3:$L$66,2,0),VLOOKUP($A78,'1.kolo'!$L$3:$O$66,4,0))</f>
        <v>57</v>
      </c>
      <c r="AH78" s="318">
        <f ca="1">IF(TYPE(VLOOKUP($A78,'1.kolo'!$L$3:$L$66,1,0))&gt;3,VLOOKUP($A78,'1.kolo'!$O$3:$Q$66,2,0),VLOOKUP($A78,'1.kolo'!$L$3:$N$66,2,0))</f>
        <v>0</v>
      </c>
      <c r="AI78" s="318">
        <f ca="1">IF(TYPE(VLOOKUP($A78,'1.kolo'!$L$3:$L$66,1,0))&gt;3,VLOOKUP($A78,'1.kolo'!$O$3:$Q$66,3,0),VLOOKUP($A78,'1.kolo'!$L$3:$N$66,3,0))</f>
        <v>0</v>
      </c>
      <c r="AJ78" s="318">
        <f t="shared" ca="1" si="53"/>
        <v>0</v>
      </c>
      <c r="AK78" s="318">
        <v>76</v>
      </c>
      <c r="AL78" s="424"/>
      <c r="AP78" s="318" t="str">
        <f ca="1">IF(TYPE(VLOOKUP($A78,'2.kolo'!$L$3:$L$66,1,0))&gt;3,IF(TYPE(VLOOKUP($A78,'2.kolo'!$K$3:$L$66,2,0))&gt;3,0,VLOOKUP($A78,'2.kolo'!$K$3:$L$66,2,0)),VLOOKUP($A78,'2.kolo'!$L$3:$O$66,4,0))</f>
        <v/>
      </c>
      <c r="AQ78" s="318">
        <f ca="1">IF(TYPE(VLOOKUP($A78,'2.kolo'!$L$3:$L$66,1,0))&gt;3,IF(TYPE(VLOOKUP($A78,'2.kolo'!$O$3:$Q$66,2,0))&gt;3,0,VLOOKUP($A78,'2.kolo'!$O$3:$Q$66,2,0)),VLOOKUP($A78,'2.kolo'!$L$3:$N$66,2,0))</f>
        <v>0</v>
      </c>
      <c r="AR78" s="318">
        <f ca="1">IF(TYPE(VLOOKUP($A78,'2.kolo'!$L$3:$L$66,1,0))&gt;3,IF(TYPE(VLOOKUP($A78,'2.kolo'!$O$3:$Q$66,3,0))&gt;3,0,VLOOKUP($A78,'2.kolo'!$O$3:$Q$66,3,0)),VLOOKUP($A78,'2.kolo'!$L$3:$N$66,3,0))</f>
        <v>0</v>
      </c>
      <c r="AS78" s="318">
        <f t="shared" ca="1" si="54"/>
        <v>0</v>
      </c>
      <c r="AT78" s="397" t="s">
        <v>1869</v>
      </c>
      <c r="AU78" s="424" t="str">
        <f ca="1">IF(AT78="","",CONCATENATE(TEXT($O78,"0"),IF(Start.listina!$Y$5="","",TEXT(500+$P78,"000")),TEXT(999999*RAND(),"000000")))</f>
        <v/>
      </c>
      <c r="AV78" s="318">
        <f t="shared" ca="1" si="37"/>
        <v>0</v>
      </c>
      <c r="AY78" s="318" t="str">
        <f ca="1">IF(TYPE(VLOOKUP($A78,'3.kolo'!$L$3:$L$66,1,0))&gt;3,IF(TYPE(VLOOKUP($A78,'3.kolo'!$K$3:$L$66,2,0))&gt;3,0,VLOOKUP($A78,'3.kolo'!$K$3:$L$66,2,0)),VLOOKUP($A78,'3.kolo'!$L$3:$O$66,4,0))</f>
        <v/>
      </c>
      <c r="AZ78" s="318">
        <f ca="1">IF(TYPE(VLOOKUP($A78,'3.kolo'!$L$3:$L$66,1,0))&gt;3,IF(TYPE(VLOOKUP($A78,'3.kolo'!$O$3:$Q$66,2,0))&gt;3,0,VLOOKUP($A78,'3.kolo'!$O$3:$Q$66,2,0)),VLOOKUP($A78,'3.kolo'!$L$3:$N$66,2,0))</f>
        <v>0</v>
      </c>
      <c r="BA78" s="318">
        <f ca="1">IF(TYPE(VLOOKUP($A78,'3.kolo'!$L$3:$L$66,1,0))&gt;3,IF(TYPE(VLOOKUP($A78,'3.kolo'!$O$3:$Q$66,3,0))&gt;3,0,VLOOKUP($A78,'3.kolo'!$O$3:$Q$66,3,0)),VLOOKUP($A78,'3.kolo'!$L$3:$N$66,3,0))</f>
        <v>0</v>
      </c>
      <c r="BB78" s="318">
        <f t="shared" ca="1" si="55"/>
        <v>0</v>
      </c>
      <c r="BC78" s="397" t="s">
        <v>1869</v>
      </c>
      <c r="BD78" s="424" t="str">
        <f ca="1">IF(BC78="","",CONCATENATE(TEXT($O78,"0"),IF(Start.listina!$Y$5="","",TEXT(500+$P78,"000")),TEXT(999999*RAND(),"000000")))</f>
        <v/>
      </c>
      <c r="BE78" s="318">
        <f t="shared" ca="1" si="38"/>
        <v>0</v>
      </c>
      <c r="BH78" s="318" t="str">
        <f ca="1">IF(TYPE(VLOOKUP($A78,'4.kolo'!$L$3:$L$66,1,0))&gt;3,IF(TYPE(VLOOKUP($A78,'4.kolo'!$K$3:$L$66,2,0))&gt;3,0,VLOOKUP($A78,'4.kolo'!$K$3:$L$66,2,0)),VLOOKUP($A78,'4.kolo'!$L$3:$O$66,4,0))</f>
        <v/>
      </c>
      <c r="BI78" s="318">
        <f ca="1">IF(TYPE(VLOOKUP($A78,'4.kolo'!$L$3:$L$66,1,0))&gt;3,IF(TYPE(VLOOKUP($A78,'4.kolo'!$O$3:$Q$66,2,0))&gt;3,0,VLOOKUP($A78,'4.kolo'!$O$3:$Q$66,2,0)),VLOOKUP($A78,'4.kolo'!$L$3:$N$66,2,0))</f>
        <v>0</v>
      </c>
      <c r="BJ78" s="318">
        <f ca="1">IF(TYPE(VLOOKUP($A78,'4.kolo'!$L$3:$L$66,1,0))&gt;3,IF(TYPE(VLOOKUP($A78,'4.kolo'!$O$3:$Q$66,3,0))&gt;3,0,VLOOKUP($A78,'4.kolo'!$O$3:$Q$66,3,0)),VLOOKUP($A78,'4.kolo'!$L$3:$N$66,3,0))</f>
        <v>0</v>
      </c>
      <c r="BK78" s="318">
        <f t="shared" ca="1" si="56"/>
        <v>0</v>
      </c>
      <c r="BL78" s="397" t="s">
        <v>1869</v>
      </c>
      <c r="BM78" s="424" t="str">
        <f ca="1">IF(BL78="","",CONCATENATE(TEXT($O78,"0"),IF(Start.listina!$Y$5="","",TEXT(500+$P78,"000")),TEXT(999999*RAND(),"000000")))</f>
        <v/>
      </c>
      <c r="BN78" s="318">
        <f t="shared" ca="1" si="39"/>
        <v>0</v>
      </c>
      <c r="BQ78" s="318" t="str">
        <f ca="1">IF(TYPE(VLOOKUP($A78,'5.kolo'!$L$3:$L$66,1,0))&gt;3,IF(TYPE(VLOOKUP($A78,'5.kolo'!$K$3:$L$66,2,0))&gt;3,0,VLOOKUP($A78,'5.kolo'!$K$3:$L$66,2,0)),VLOOKUP($A78,'5.kolo'!$L$3:$O$66,4,0))</f>
        <v/>
      </c>
      <c r="BR78" s="318">
        <f ca="1">IF(TYPE(VLOOKUP($A78,'5.kolo'!$L$3:$L$66,1,0))&gt;3,IF(TYPE(VLOOKUP($A78,'5.kolo'!$O$3:$Q$66,2,0))&gt;3,0,VLOOKUP($A78,'5.kolo'!$O$3:$Q$66,2,0)),VLOOKUP($A78,'5.kolo'!$L$3:$N$66,2,0))</f>
        <v>0</v>
      </c>
      <c r="BS78" s="318">
        <f ca="1">IF(TYPE(VLOOKUP($A78,'5.kolo'!$L$3:$L$66,1,0))&gt;3,IF(TYPE(VLOOKUP($A78,'5.kolo'!$O$3:$Q$66,3,0))&gt;3,0,VLOOKUP($A78,'5.kolo'!$O$3:$Q$66,3,0)),VLOOKUP($A78,'5.kolo'!$L$3:$N$66,3,0))</f>
        <v>0</v>
      </c>
      <c r="BT78" s="318">
        <f t="shared" ca="1" si="57"/>
        <v>0</v>
      </c>
      <c r="BU78" s="397"/>
      <c r="BV78" s="424" t="str">
        <f ca="1">IF(BU78="","",CONCATENATE(TEXT($O78,"0"),IF(Start.listina!$Y$5="","",TEXT(500+$P78,"000")),TEXT(999999*RAND(),"000000")))</f>
        <v/>
      </c>
      <c r="BW78" s="318">
        <f t="shared" ca="1" si="40"/>
        <v>0</v>
      </c>
      <c r="BZ78" s="318" t="str">
        <f ca="1">IF(TYPE(VLOOKUP($A78,'6.kolo'!$L$3:$L$66,1,0))&gt;3,IF(TYPE(VLOOKUP($A78,'6.kolo'!$K$3:$L$66,2,0))&gt;3,0,VLOOKUP($A78,'6.kolo'!$K$3:$L$66,2,0)),VLOOKUP($A78,'6.kolo'!$L$3:$O$66,4,0))</f>
        <v/>
      </c>
      <c r="CA78" s="318">
        <f ca="1">IF(TYPE(VLOOKUP($A78,'6.kolo'!$L$3:$L$66,1,0))&gt;3,IF(TYPE(VLOOKUP($A78,'6.kolo'!$O$3:$Q$66,2,0))&gt;3,0,VLOOKUP($A78,'6.kolo'!$O$3:$Q$66,2,0)),VLOOKUP($A78,'6.kolo'!$L$3:$N$66,2,0))</f>
        <v>0</v>
      </c>
      <c r="CB78" s="318">
        <f ca="1">IF(TYPE(VLOOKUP($A78,'6.kolo'!$L$3:$L$66,1,0))&gt;3,IF(TYPE(VLOOKUP($A78,'6.kolo'!$O$3:$Q$66,3,0))&gt;3,0,VLOOKUP($A78,'6.kolo'!$O$3:$Q$66,3,0)),VLOOKUP($A78,'6.kolo'!$L$3:$N$66,3,0))</f>
        <v>0</v>
      </c>
      <c r="CC78" s="318">
        <f t="shared" ca="1" si="58"/>
        <v>0</v>
      </c>
      <c r="CD78" s="397"/>
      <c r="CE78" s="424" t="str">
        <f ca="1">IF(CD78="","",CONCATENATE(TEXT($O78,"0"),IF(Start.listina!$Y$5="","",TEXT(500+$P78,"000")),TEXT(999999*RAND(),"000000")))</f>
        <v/>
      </c>
      <c r="CF78" s="318">
        <f t="shared" ca="1" si="41"/>
        <v>0</v>
      </c>
    </row>
    <row r="79" spans="1:84" x14ac:dyDescent="0.4">
      <c r="A79" s="318" t="str">
        <f ca="1">IF(OR(Start.listina!H87&gt;Start.listina!$K$7,Start.listina!G87=TRUE),"",Start.listina!H87)</f>
        <v/>
      </c>
      <c r="B79" s="318" t="str">
        <f ca="1">IF($A79&gt;Start.listina!$K$7,"",INT(($A79-1)/Start.listina!$O$7)+1)</f>
        <v/>
      </c>
      <c r="C79" s="421" t="str">
        <f ca="1">IF(OR(Start.listina!H87&gt;Start.listina!$K$7,Start.listina!G87=TRUE)," - ",Start.listina!AL87)</f>
        <v xml:space="preserve"> - </v>
      </c>
      <c r="D79" s="318" t="str">
        <f ca="1">IF(OR(A79&gt;Start.listina!$K$7,TYPE(VLOOKUP(A79,$V$3:$X$130,3,0))&gt;3),"",VLOOKUP(A79,$V$3:$X$130,3,0))</f>
        <v/>
      </c>
      <c r="E79" s="422" t="str">
        <f ca="1">IF(A79&gt;Start.listina!$K$7,"",IF(MIN(F79:K79)&gt;Start.listina!$Y$4,D79,MIN(F79:K79)))</f>
        <v/>
      </c>
      <c r="F79" s="318">
        <f ca="1">IF(TYPE(VLOOKUP(C79,Konečné_pořadí_1_16!$B$2:$D$17,3,0))&lt;4,VLOOKUP(C79,Konečné_pořadí_1_16!$B$2:$D$17,3,0),999)</f>
        <v>999</v>
      </c>
      <c r="G79" s="318">
        <f ca="1">IF(TYPE(VLOOKUP(C79,'KO64'!$D$4:$D$129,1,0))&lt;4,64,999)</f>
        <v>64</v>
      </c>
      <c r="H79" s="318">
        <f ca="1">IF(TYPE(VLOOKUP(C79,'KO32'!$D$4:$D$65,1,0))&lt;4,32,999)</f>
        <v>32</v>
      </c>
      <c r="I79" s="318">
        <f ca="1">IF(TYPE(VLOOKUP(C79,'KO16'!$D$4:$D$33,1,0))&lt;4,16,999)</f>
        <v>999</v>
      </c>
      <c r="J79" s="318">
        <f ca="1">IF(TYPE(VLOOKUP(C79,'KO8'!$D$4:$D$17,1,0))&lt;4,8,999)</f>
        <v>999</v>
      </c>
      <c r="K79" s="318">
        <f ca="1">IF(TYPE(VLOOKUP(C79,'KO4'!$D$4:$D$9,1,0))&lt;4,4,999)</f>
        <v>999</v>
      </c>
      <c r="M79" s="319">
        <v>77</v>
      </c>
      <c r="O79" s="318">
        <f t="shared" ca="1" si="42"/>
        <v>0</v>
      </c>
      <c r="P79" s="318">
        <f t="shared" ca="1" si="43"/>
        <v>0</v>
      </c>
      <c r="Q79" s="318">
        <f t="shared" ca="1" si="34"/>
        <v>2</v>
      </c>
      <c r="R79" s="318">
        <f t="shared" ca="1" si="35"/>
        <v>0</v>
      </c>
      <c r="S79" s="318">
        <f t="shared" ca="1" si="44"/>
        <v>18</v>
      </c>
      <c r="T79" s="318">
        <f t="shared" ca="1" si="45"/>
        <v>0</v>
      </c>
      <c r="U79" s="397">
        <f t="shared" si="59"/>
        <v>77</v>
      </c>
      <c r="V79" s="397" t="s">
        <v>1869</v>
      </c>
      <c r="W79" s="423" t="str">
        <f ca="1">IF($V79="","",CONCATENATE(TEXT($O79,"0"),IF(Start.listina!$Y$5="","",TEXT(500+$P79,"0000")),IF(Start.listina!$Y$6="","",CHOOSE(Start.listina!$Y$7,TEXT($Q79,"00"),CONCATENATE(TEXT($Q79,"00"),TEXT($S79,"000")), TEXT($R79,"00"))),TEXT(500+$P79,"0000"),IF(Start.listina!$Y$8="","",TEXT($T79,"0")),TEXT(999999*RAND(),"000000")))</f>
        <v/>
      </c>
      <c r="X79" s="399">
        <f t="shared" si="46"/>
        <v>77</v>
      </c>
      <c r="Y79" s="397">
        <f t="shared" ca="1" si="36"/>
        <v>0</v>
      </c>
      <c r="Z79" s="318">
        <f t="shared" ca="1" si="47"/>
        <v>57</v>
      </c>
      <c r="AA79" s="318" t="str">
        <f t="shared" ca="1" si="48"/>
        <v/>
      </c>
      <c r="AB79" s="318" t="str">
        <f t="shared" ca="1" si="49"/>
        <v/>
      </c>
      <c r="AC79" s="318" t="str">
        <f t="shared" ca="1" si="50"/>
        <v/>
      </c>
      <c r="AD79" s="318" t="str">
        <f t="shared" ca="1" si="51"/>
        <v/>
      </c>
      <c r="AE79" s="318" t="str">
        <f t="shared" ca="1" si="52"/>
        <v/>
      </c>
      <c r="AG79" s="318">
        <f ca="1">IF(TYPE(VLOOKUP($A79,'1.kolo'!$L$3:$L$66,1,0))&gt;3,VLOOKUP($A79,'1.kolo'!$K$3:$L$66,2,0),VLOOKUP($A79,'1.kolo'!$L$3:$O$66,4,0))</f>
        <v>57</v>
      </c>
      <c r="AH79" s="318">
        <f ca="1">IF(TYPE(VLOOKUP($A79,'1.kolo'!$L$3:$L$66,1,0))&gt;3,VLOOKUP($A79,'1.kolo'!$O$3:$Q$66,2,0),VLOOKUP($A79,'1.kolo'!$L$3:$N$66,2,0))</f>
        <v>0</v>
      </c>
      <c r="AI79" s="318">
        <f ca="1">IF(TYPE(VLOOKUP($A79,'1.kolo'!$L$3:$L$66,1,0))&gt;3,VLOOKUP($A79,'1.kolo'!$O$3:$Q$66,3,0),VLOOKUP($A79,'1.kolo'!$L$3:$N$66,3,0))</f>
        <v>0</v>
      </c>
      <c r="AJ79" s="318">
        <f t="shared" ca="1" si="53"/>
        <v>0</v>
      </c>
      <c r="AK79" s="318">
        <v>77</v>
      </c>
      <c r="AL79" s="424"/>
      <c r="AP79" s="318" t="str">
        <f ca="1">IF(TYPE(VLOOKUP($A79,'2.kolo'!$L$3:$L$66,1,0))&gt;3,IF(TYPE(VLOOKUP($A79,'2.kolo'!$K$3:$L$66,2,0))&gt;3,0,VLOOKUP($A79,'2.kolo'!$K$3:$L$66,2,0)),VLOOKUP($A79,'2.kolo'!$L$3:$O$66,4,0))</f>
        <v/>
      </c>
      <c r="AQ79" s="318">
        <f ca="1">IF(TYPE(VLOOKUP($A79,'2.kolo'!$L$3:$L$66,1,0))&gt;3,IF(TYPE(VLOOKUP($A79,'2.kolo'!$O$3:$Q$66,2,0))&gt;3,0,VLOOKUP($A79,'2.kolo'!$O$3:$Q$66,2,0)),VLOOKUP($A79,'2.kolo'!$L$3:$N$66,2,0))</f>
        <v>0</v>
      </c>
      <c r="AR79" s="318">
        <f ca="1">IF(TYPE(VLOOKUP($A79,'2.kolo'!$L$3:$L$66,1,0))&gt;3,IF(TYPE(VLOOKUP($A79,'2.kolo'!$O$3:$Q$66,3,0))&gt;3,0,VLOOKUP($A79,'2.kolo'!$O$3:$Q$66,3,0)),VLOOKUP($A79,'2.kolo'!$L$3:$N$66,3,0))</f>
        <v>0</v>
      </c>
      <c r="AS79" s="318">
        <f t="shared" ca="1" si="54"/>
        <v>0</v>
      </c>
      <c r="AT79" s="397" t="s">
        <v>1869</v>
      </c>
      <c r="AU79" s="424" t="str">
        <f ca="1">IF(AT79="","",CONCATENATE(TEXT($O79,"0"),IF(Start.listina!$Y$5="","",TEXT(500+$P79,"000")),TEXT(999999*RAND(),"000000")))</f>
        <v/>
      </c>
      <c r="AV79" s="318">
        <f t="shared" ca="1" si="37"/>
        <v>0</v>
      </c>
      <c r="AY79" s="318" t="str">
        <f ca="1">IF(TYPE(VLOOKUP($A79,'3.kolo'!$L$3:$L$66,1,0))&gt;3,IF(TYPE(VLOOKUP($A79,'3.kolo'!$K$3:$L$66,2,0))&gt;3,0,VLOOKUP($A79,'3.kolo'!$K$3:$L$66,2,0)),VLOOKUP($A79,'3.kolo'!$L$3:$O$66,4,0))</f>
        <v/>
      </c>
      <c r="AZ79" s="318">
        <f ca="1">IF(TYPE(VLOOKUP($A79,'3.kolo'!$L$3:$L$66,1,0))&gt;3,IF(TYPE(VLOOKUP($A79,'3.kolo'!$O$3:$Q$66,2,0))&gt;3,0,VLOOKUP($A79,'3.kolo'!$O$3:$Q$66,2,0)),VLOOKUP($A79,'3.kolo'!$L$3:$N$66,2,0))</f>
        <v>0</v>
      </c>
      <c r="BA79" s="318">
        <f ca="1">IF(TYPE(VLOOKUP($A79,'3.kolo'!$L$3:$L$66,1,0))&gt;3,IF(TYPE(VLOOKUP($A79,'3.kolo'!$O$3:$Q$66,3,0))&gt;3,0,VLOOKUP($A79,'3.kolo'!$O$3:$Q$66,3,0)),VLOOKUP($A79,'3.kolo'!$L$3:$N$66,3,0))</f>
        <v>0</v>
      </c>
      <c r="BB79" s="318">
        <f t="shared" ca="1" si="55"/>
        <v>0</v>
      </c>
      <c r="BC79" s="397" t="s">
        <v>1869</v>
      </c>
      <c r="BD79" s="424" t="str">
        <f ca="1">IF(BC79="","",CONCATENATE(TEXT($O79,"0"),IF(Start.listina!$Y$5="","",TEXT(500+$P79,"000")),TEXT(999999*RAND(),"000000")))</f>
        <v/>
      </c>
      <c r="BE79" s="318">
        <f t="shared" ca="1" si="38"/>
        <v>0</v>
      </c>
      <c r="BH79" s="318" t="str">
        <f ca="1">IF(TYPE(VLOOKUP($A79,'4.kolo'!$L$3:$L$66,1,0))&gt;3,IF(TYPE(VLOOKUP($A79,'4.kolo'!$K$3:$L$66,2,0))&gt;3,0,VLOOKUP($A79,'4.kolo'!$K$3:$L$66,2,0)),VLOOKUP($A79,'4.kolo'!$L$3:$O$66,4,0))</f>
        <v/>
      </c>
      <c r="BI79" s="318">
        <f ca="1">IF(TYPE(VLOOKUP($A79,'4.kolo'!$L$3:$L$66,1,0))&gt;3,IF(TYPE(VLOOKUP($A79,'4.kolo'!$O$3:$Q$66,2,0))&gt;3,0,VLOOKUP($A79,'4.kolo'!$O$3:$Q$66,2,0)),VLOOKUP($A79,'4.kolo'!$L$3:$N$66,2,0))</f>
        <v>0</v>
      </c>
      <c r="BJ79" s="318">
        <f ca="1">IF(TYPE(VLOOKUP($A79,'4.kolo'!$L$3:$L$66,1,0))&gt;3,IF(TYPE(VLOOKUP($A79,'4.kolo'!$O$3:$Q$66,3,0))&gt;3,0,VLOOKUP($A79,'4.kolo'!$O$3:$Q$66,3,0)),VLOOKUP($A79,'4.kolo'!$L$3:$N$66,3,0))</f>
        <v>0</v>
      </c>
      <c r="BK79" s="318">
        <f t="shared" ca="1" si="56"/>
        <v>0</v>
      </c>
      <c r="BL79" s="397" t="s">
        <v>1869</v>
      </c>
      <c r="BM79" s="424" t="str">
        <f ca="1">IF(BL79="","",CONCATENATE(TEXT($O79,"0"),IF(Start.listina!$Y$5="","",TEXT(500+$P79,"000")),TEXT(999999*RAND(),"000000")))</f>
        <v/>
      </c>
      <c r="BN79" s="318">
        <f t="shared" ca="1" si="39"/>
        <v>0</v>
      </c>
      <c r="BQ79" s="318" t="str">
        <f ca="1">IF(TYPE(VLOOKUP($A79,'5.kolo'!$L$3:$L$66,1,0))&gt;3,IF(TYPE(VLOOKUP($A79,'5.kolo'!$K$3:$L$66,2,0))&gt;3,0,VLOOKUP($A79,'5.kolo'!$K$3:$L$66,2,0)),VLOOKUP($A79,'5.kolo'!$L$3:$O$66,4,0))</f>
        <v/>
      </c>
      <c r="BR79" s="318">
        <f ca="1">IF(TYPE(VLOOKUP($A79,'5.kolo'!$L$3:$L$66,1,0))&gt;3,IF(TYPE(VLOOKUP($A79,'5.kolo'!$O$3:$Q$66,2,0))&gt;3,0,VLOOKUP($A79,'5.kolo'!$O$3:$Q$66,2,0)),VLOOKUP($A79,'5.kolo'!$L$3:$N$66,2,0))</f>
        <v>0</v>
      </c>
      <c r="BS79" s="318">
        <f ca="1">IF(TYPE(VLOOKUP($A79,'5.kolo'!$L$3:$L$66,1,0))&gt;3,IF(TYPE(VLOOKUP($A79,'5.kolo'!$O$3:$Q$66,3,0))&gt;3,0,VLOOKUP($A79,'5.kolo'!$O$3:$Q$66,3,0)),VLOOKUP($A79,'5.kolo'!$L$3:$N$66,3,0))</f>
        <v>0</v>
      </c>
      <c r="BT79" s="318">
        <f t="shared" ca="1" si="57"/>
        <v>0</v>
      </c>
      <c r="BU79" s="397"/>
      <c r="BV79" s="424" t="str">
        <f ca="1">IF(BU79="","",CONCATENATE(TEXT($O79,"0"),IF(Start.listina!$Y$5="","",TEXT(500+$P79,"000")),TEXT(999999*RAND(),"000000")))</f>
        <v/>
      </c>
      <c r="BW79" s="318">
        <f t="shared" ca="1" si="40"/>
        <v>0</v>
      </c>
      <c r="BZ79" s="318" t="str">
        <f ca="1">IF(TYPE(VLOOKUP($A79,'6.kolo'!$L$3:$L$66,1,0))&gt;3,IF(TYPE(VLOOKUP($A79,'6.kolo'!$K$3:$L$66,2,0))&gt;3,0,VLOOKUP($A79,'6.kolo'!$K$3:$L$66,2,0)),VLOOKUP($A79,'6.kolo'!$L$3:$O$66,4,0))</f>
        <v/>
      </c>
      <c r="CA79" s="318">
        <f ca="1">IF(TYPE(VLOOKUP($A79,'6.kolo'!$L$3:$L$66,1,0))&gt;3,IF(TYPE(VLOOKUP($A79,'6.kolo'!$O$3:$Q$66,2,0))&gt;3,0,VLOOKUP($A79,'6.kolo'!$O$3:$Q$66,2,0)),VLOOKUP($A79,'6.kolo'!$L$3:$N$66,2,0))</f>
        <v>0</v>
      </c>
      <c r="CB79" s="318">
        <f ca="1">IF(TYPE(VLOOKUP($A79,'6.kolo'!$L$3:$L$66,1,0))&gt;3,IF(TYPE(VLOOKUP($A79,'6.kolo'!$O$3:$Q$66,3,0))&gt;3,0,VLOOKUP($A79,'6.kolo'!$O$3:$Q$66,3,0)),VLOOKUP($A79,'6.kolo'!$L$3:$N$66,3,0))</f>
        <v>0</v>
      </c>
      <c r="CC79" s="318">
        <f t="shared" ca="1" si="58"/>
        <v>0</v>
      </c>
      <c r="CD79" s="397"/>
      <c r="CE79" s="424" t="str">
        <f ca="1">IF(CD79="","",CONCATENATE(TEXT($O79,"0"),IF(Start.listina!$Y$5="","",TEXT(500+$P79,"000")),TEXT(999999*RAND(),"000000")))</f>
        <v/>
      </c>
      <c r="CF79" s="318">
        <f t="shared" ca="1" si="41"/>
        <v>0</v>
      </c>
    </row>
    <row r="80" spans="1:84" x14ac:dyDescent="0.4">
      <c r="A80" s="318" t="str">
        <f ca="1">IF(OR(Start.listina!H88&gt;Start.listina!$K$7,Start.listina!G88=TRUE),"",Start.listina!H88)</f>
        <v/>
      </c>
      <c r="B80" s="318" t="str">
        <f ca="1">IF($A80&gt;Start.listina!$K$7,"",INT(($A80-1)/Start.listina!$O$7)+1)</f>
        <v/>
      </c>
      <c r="C80" s="421" t="str">
        <f ca="1">IF(OR(Start.listina!H88&gt;Start.listina!$K$7,Start.listina!G88=TRUE)," - ",Start.listina!AL88)</f>
        <v xml:space="preserve"> - </v>
      </c>
      <c r="D80" s="318" t="str">
        <f ca="1">IF(OR(A80&gt;Start.listina!$K$7,TYPE(VLOOKUP(A80,$V$3:$X$130,3,0))&gt;3),"",VLOOKUP(A80,$V$3:$X$130,3,0))</f>
        <v/>
      </c>
      <c r="E80" s="422" t="str">
        <f ca="1">IF(A80&gt;Start.listina!$K$7,"",IF(MIN(F80:K80)&gt;Start.listina!$Y$4,D80,MIN(F80:K80)))</f>
        <v/>
      </c>
      <c r="F80" s="318">
        <f ca="1">IF(TYPE(VLOOKUP(C80,Konečné_pořadí_1_16!$B$2:$D$17,3,0))&lt;4,VLOOKUP(C80,Konečné_pořadí_1_16!$B$2:$D$17,3,0),999)</f>
        <v>999</v>
      </c>
      <c r="G80" s="318">
        <f ca="1">IF(TYPE(VLOOKUP(C80,'KO64'!$D$4:$D$129,1,0))&lt;4,64,999)</f>
        <v>64</v>
      </c>
      <c r="H80" s="318">
        <f ca="1">IF(TYPE(VLOOKUP(C80,'KO32'!$D$4:$D$65,1,0))&lt;4,32,999)</f>
        <v>32</v>
      </c>
      <c r="I80" s="318">
        <f ca="1">IF(TYPE(VLOOKUP(C80,'KO16'!$D$4:$D$33,1,0))&lt;4,16,999)</f>
        <v>999</v>
      </c>
      <c r="J80" s="318">
        <f ca="1">IF(TYPE(VLOOKUP(C80,'KO8'!$D$4:$D$17,1,0))&lt;4,8,999)</f>
        <v>999</v>
      </c>
      <c r="K80" s="318">
        <f ca="1">IF(TYPE(VLOOKUP(C80,'KO4'!$D$4:$D$9,1,0))&lt;4,4,999)</f>
        <v>999</v>
      </c>
      <c r="M80" s="319">
        <v>78</v>
      </c>
      <c r="O80" s="318">
        <f t="shared" ca="1" si="42"/>
        <v>0</v>
      </c>
      <c r="P80" s="318">
        <f t="shared" ca="1" si="43"/>
        <v>0</v>
      </c>
      <c r="Q80" s="318">
        <f t="shared" ca="1" si="34"/>
        <v>2</v>
      </c>
      <c r="R80" s="318">
        <f t="shared" ca="1" si="35"/>
        <v>0</v>
      </c>
      <c r="S80" s="318">
        <f t="shared" ca="1" si="44"/>
        <v>18</v>
      </c>
      <c r="T80" s="318">
        <f t="shared" ca="1" si="45"/>
        <v>0</v>
      </c>
      <c r="U80" s="397">
        <f t="shared" si="59"/>
        <v>78</v>
      </c>
      <c r="V80" s="397" t="s">
        <v>1869</v>
      </c>
      <c r="W80" s="423" t="str">
        <f ca="1">IF($V80="","",CONCATENATE(TEXT($O80,"0"),IF(Start.listina!$Y$5="","",TEXT(500+$P80,"0000")),IF(Start.listina!$Y$6="","",CHOOSE(Start.listina!$Y$7,TEXT($Q80,"00"),CONCATENATE(TEXT($Q80,"00"),TEXT($S80,"000")), TEXT($R80,"00"))),TEXT(500+$P80,"0000"),IF(Start.listina!$Y$8="","",TEXT($T80,"0")),TEXT(999999*RAND(),"000000")))</f>
        <v/>
      </c>
      <c r="X80" s="399">
        <f t="shared" si="46"/>
        <v>78</v>
      </c>
      <c r="Y80" s="397">
        <f t="shared" ca="1" si="36"/>
        <v>0</v>
      </c>
      <c r="Z80" s="318">
        <f t="shared" ca="1" si="47"/>
        <v>57</v>
      </c>
      <c r="AA80" s="318" t="str">
        <f t="shared" ca="1" si="48"/>
        <v/>
      </c>
      <c r="AB80" s="318" t="str">
        <f t="shared" ca="1" si="49"/>
        <v/>
      </c>
      <c r="AC80" s="318" t="str">
        <f t="shared" ca="1" si="50"/>
        <v/>
      </c>
      <c r="AD80" s="318" t="str">
        <f t="shared" ca="1" si="51"/>
        <v/>
      </c>
      <c r="AE80" s="318" t="str">
        <f t="shared" ca="1" si="52"/>
        <v/>
      </c>
      <c r="AG80" s="318">
        <f ca="1">IF(TYPE(VLOOKUP($A80,'1.kolo'!$L$3:$L$66,1,0))&gt;3,VLOOKUP($A80,'1.kolo'!$K$3:$L$66,2,0),VLOOKUP($A80,'1.kolo'!$L$3:$O$66,4,0))</f>
        <v>57</v>
      </c>
      <c r="AH80" s="318">
        <f ca="1">IF(TYPE(VLOOKUP($A80,'1.kolo'!$L$3:$L$66,1,0))&gt;3,VLOOKUP($A80,'1.kolo'!$O$3:$Q$66,2,0),VLOOKUP($A80,'1.kolo'!$L$3:$N$66,2,0))</f>
        <v>0</v>
      </c>
      <c r="AI80" s="318">
        <f ca="1">IF(TYPE(VLOOKUP($A80,'1.kolo'!$L$3:$L$66,1,0))&gt;3,VLOOKUP($A80,'1.kolo'!$O$3:$Q$66,3,0),VLOOKUP($A80,'1.kolo'!$L$3:$N$66,3,0))</f>
        <v>0</v>
      </c>
      <c r="AJ80" s="318">
        <f t="shared" ca="1" si="53"/>
        <v>0</v>
      </c>
      <c r="AK80" s="318">
        <v>78</v>
      </c>
      <c r="AL80" s="424"/>
      <c r="AP80" s="318" t="str">
        <f ca="1">IF(TYPE(VLOOKUP($A80,'2.kolo'!$L$3:$L$66,1,0))&gt;3,IF(TYPE(VLOOKUP($A80,'2.kolo'!$K$3:$L$66,2,0))&gt;3,0,VLOOKUP($A80,'2.kolo'!$K$3:$L$66,2,0)),VLOOKUP($A80,'2.kolo'!$L$3:$O$66,4,0))</f>
        <v/>
      </c>
      <c r="AQ80" s="318">
        <f ca="1">IF(TYPE(VLOOKUP($A80,'2.kolo'!$L$3:$L$66,1,0))&gt;3,IF(TYPE(VLOOKUP($A80,'2.kolo'!$O$3:$Q$66,2,0))&gt;3,0,VLOOKUP($A80,'2.kolo'!$O$3:$Q$66,2,0)),VLOOKUP($A80,'2.kolo'!$L$3:$N$66,2,0))</f>
        <v>0</v>
      </c>
      <c r="AR80" s="318">
        <f ca="1">IF(TYPE(VLOOKUP($A80,'2.kolo'!$L$3:$L$66,1,0))&gt;3,IF(TYPE(VLOOKUP($A80,'2.kolo'!$O$3:$Q$66,3,0))&gt;3,0,VLOOKUP($A80,'2.kolo'!$O$3:$Q$66,3,0)),VLOOKUP($A80,'2.kolo'!$L$3:$N$66,3,0))</f>
        <v>0</v>
      </c>
      <c r="AS80" s="318">
        <f t="shared" ca="1" si="54"/>
        <v>0</v>
      </c>
      <c r="AT80" s="397" t="s">
        <v>1869</v>
      </c>
      <c r="AU80" s="424" t="str">
        <f ca="1">IF(AT80="","",CONCATENATE(TEXT($O80,"0"),IF(Start.listina!$Y$5="","",TEXT(500+$P80,"000")),TEXT(999999*RAND(),"000000")))</f>
        <v/>
      </c>
      <c r="AV80" s="318">
        <f t="shared" ca="1" si="37"/>
        <v>0</v>
      </c>
      <c r="AY80" s="318" t="str">
        <f ca="1">IF(TYPE(VLOOKUP($A80,'3.kolo'!$L$3:$L$66,1,0))&gt;3,IF(TYPE(VLOOKUP($A80,'3.kolo'!$K$3:$L$66,2,0))&gt;3,0,VLOOKUP($A80,'3.kolo'!$K$3:$L$66,2,0)),VLOOKUP($A80,'3.kolo'!$L$3:$O$66,4,0))</f>
        <v/>
      </c>
      <c r="AZ80" s="318">
        <f ca="1">IF(TYPE(VLOOKUP($A80,'3.kolo'!$L$3:$L$66,1,0))&gt;3,IF(TYPE(VLOOKUP($A80,'3.kolo'!$O$3:$Q$66,2,0))&gt;3,0,VLOOKUP($A80,'3.kolo'!$O$3:$Q$66,2,0)),VLOOKUP($A80,'3.kolo'!$L$3:$N$66,2,0))</f>
        <v>0</v>
      </c>
      <c r="BA80" s="318">
        <f ca="1">IF(TYPE(VLOOKUP($A80,'3.kolo'!$L$3:$L$66,1,0))&gt;3,IF(TYPE(VLOOKUP($A80,'3.kolo'!$O$3:$Q$66,3,0))&gt;3,0,VLOOKUP($A80,'3.kolo'!$O$3:$Q$66,3,0)),VLOOKUP($A80,'3.kolo'!$L$3:$N$66,3,0))</f>
        <v>0</v>
      </c>
      <c r="BB80" s="318">
        <f t="shared" ca="1" si="55"/>
        <v>0</v>
      </c>
      <c r="BC80" s="397" t="s">
        <v>1869</v>
      </c>
      <c r="BD80" s="424" t="str">
        <f ca="1">IF(BC80="","",CONCATENATE(TEXT($O80,"0"),IF(Start.listina!$Y$5="","",TEXT(500+$P80,"000")),TEXT(999999*RAND(),"000000")))</f>
        <v/>
      </c>
      <c r="BE80" s="318">
        <f t="shared" ca="1" si="38"/>
        <v>0</v>
      </c>
      <c r="BH80" s="318" t="str">
        <f ca="1">IF(TYPE(VLOOKUP($A80,'4.kolo'!$L$3:$L$66,1,0))&gt;3,IF(TYPE(VLOOKUP($A80,'4.kolo'!$K$3:$L$66,2,0))&gt;3,0,VLOOKUP($A80,'4.kolo'!$K$3:$L$66,2,0)),VLOOKUP($A80,'4.kolo'!$L$3:$O$66,4,0))</f>
        <v/>
      </c>
      <c r="BI80" s="318">
        <f ca="1">IF(TYPE(VLOOKUP($A80,'4.kolo'!$L$3:$L$66,1,0))&gt;3,IF(TYPE(VLOOKUP($A80,'4.kolo'!$O$3:$Q$66,2,0))&gt;3,0,VLOOKUP($A80,'4.kolo'!$O$3:$Q$66,2,0)),VLOOKUP($A80,'4.kolo'!$L$3:$N$66,2,0))</f>
        <v>0</v>
      </c>
      <c r="BJ80" s="318">
        <f ca="1">IF(TYPE(VLOOKUP($A80,'4.kolo'!$L$3:$L$66,1,0))&gt;3,IF(TYPE(VLOOKUP($A80,'4.kolo'!$O$3:$Q$66,3,0))&gt;3,0,VLOOKUP($A80,'4.kolo'!$O$3:$Q$66,3,0)),VLOOKUP($A80,'4.kolo'!$L$3:$N$66,3,0))</f>
        <v>0</v>
      </c>
      <c r="BK80" s="318">
        <f t="shared" ca="1" si="56"/>
        <v>0</v>
      </c>
      <c r="BL80" s="397" t="s">
        <v>1869</v>
      </c>
      <c r="BM80" s="424" t="str">
        <f ca="1">IF(BL80="","",CONCATENATE(TEXT($O80,"0"),IF(Start.listina!$Y$5="","",TEXT(500+$P80,"000")),TEXT(999999*RAND(),"000000")))</f>
        <v/>
      </c>
      <c r="BN80" s="318">
        <f t="shared" ca="1" si="39"/>
        <v>0</v>
      </c>
      <c r="BQ80" s="318" t="str">
        <f ca="1">IF(TYPE(VLOOKUP($A80,'5.kolo'!$L$3:$L$66,1,0))&gt;3,IF(TYPE(VLOOKUP($A80,'5.kolo'!$K$3:$L$66,2,0))&gt;3,0,VLOOKUP($A80,'5.kolo'!$K$3:$L$66,2,0)),VLOOKUP($A80,'5.kolo'!$L$3:$O$66,4,0))</f>
        <v/>
      </c>
      <c r="BR80" s="318">
        <f ca="1">IF(TYPE(VLOOKUP($A80,'5.kolo'!$L$3:$L$66,1,0))&gt;3,IF(TYPE(VLOOKUP($A80,'5.kolo'!$O$3:$Q$66,2,0))&gt;3,0,VLOOKUP($A80,'5.kolo'!$O$3:$Q$66,2,0)),VLOOKUP($A80,'5.kolo'!$L$3:$N$66,2,0))</f>
        <v>0</v>
      </c>
      <c r="BS80" s="318">
        <f ca="1">IF(TYPE(VLOOKUP($A80,'5.kolo'!$L$3:$L$66,1,0))&gt;3,IF(TYPE(VLOOKUP($A80,'5.kolo'!$O$3:$Q$66,3,0))&gt;3,0,VLOOKUP($A80,'5.kolo'!$O$3:$Q$66,3,0)),VLOOKUP($A80,'5.kolo'!$L$3:$N$66,3,0))</f>
        <v>0</v>
      </c>
      <c r="BT80" s="318">
        <f t="shared" ca="1" si="57"/>
        <v>0</v>
      </c>
      <c r="BU80" s="397"/>
      <c r="BV80" s="424" t="str">
        <f ca="1">IF(BU80="","",CONCATENATE(TEXT($O80,"0"),IF(Start.listina!$Y$5="","",TEXT(500+$P80,"000")),TEXT(999999*RAND(),"000000")))</f>
        <v/>
      </c>
      <c r="BW80" s="318">
        <f t="shared" ca="1" si="40"/>
        <v>0</v>
      </c>
      <c r="BZ80" s="318" t="str">
        <f ca="1">IF(TYPE(VLOOKUP($A80,'6.kolo'!$L$3:$L$66,1,0))&gt;3,IF(TYPE(VLOOKUP($A80,'6.kolo'!$K$3:$L$66,2,0))&gt;3,0,VLOOKUP($A80,'6.kolo'!$K$3:$L$66,2,0)),VLOOKUP($A80,'6.kolo'!$L$3:$O$66,4,0))</f>
        <v/>
      </c>
      <c r="CA80" s="318">
        <f ca="1">IF(TYPE(VLOOKUP($A80,'6.kolo'!$L$3:$L$66,1,0))&gt;3,IF(TYPE(VLOOKUP($A80,'6.kolo'!$O$3:$Q$66,2,0))&gt;3,0,VLOOKUP($A80,'6.kolo'!$O$3:$Q$66,2,0)),VLOOKUP($A80,'6.kolo'!$L$3:$N$66,2,0))</f>
        <v>0</v>
      </c>
      <c r="CB80" s="318">
        <f ca="1">IF(TYPE(VLOOKUP($A80,'6.kolo'!$L$3:$L$66,1,0))&gt;3,IF(TYPE(VLOOKUP($A80,'6.kolo'!$O$3:$Q$66,3,0))&gt;3,0,VLOOKUP($A80,'6.kolo'!$O$3:$Q$66,3,0)),VLOOKUP($A80,'6.kolo'!$L$3:$N$66,3,0))</f>
        <v>0</v>
      </c>
      <c r="CC80" s="318">
        <f t="shared" ca="1" si="58"/>
        <v>0</v>
      </c>
      <c r="CD80" s="397"/>
      <c r="CE80" s="424" t="str">
        <f ca="1">IF(CD80="","",CONCATENATE(TEXT($O80,"0"),IF(Start.listina!$Y$5="","",TEXT(500+$P80,"000")),TEXT(999999*RAND(),"000000")))</f>
        <v/>
      </c>
      <c r="CF80" s="318">
        <f t="shared" ca="1" si="41"/>
        <v>0</v>
      </c>
    </row>
    <row r="81" spans="1:84" x14ac:dyDescent="0.4">
      <c r="A81" s="318" t="str">
        <f ca="1">IF(OR(Start.listina!H89&gt;Start.listina!$K$7,Start.listina!G89=TRUE),"",Start.listina!H89)</f>
        <v/>
      </c>
      <c r="B81" s="318" t="str">
        <f ca="1">IF($A81&gt;Start.listina!$K$7,"",INT(($A81-1)/Start.listina!$O$7)+1)</f>
        <v/>
      </c>
      <c r="C81" s="421" t="str">
        <f ca="1">IF(OR(Start.listina!H89&gt;Start.listina!$K$7,Start.listina!G89=TRUE)," - ",Start.listina!AL89)</f>
        <v xml:space="preserve"> - </v>
      </c>
      <c r="D81" s="318" t="str">
        <f ca="1">IF(OR(A81&gt;Start.listina!$K$7,TYPE(VLOOKUP(A81,$V$3:$X$130,3,0))&gt;3),"",VLOOKUP(A81,$V$3:$X$130,3,0))</f>
        <v/>
      </c>
      <c r="E81" s="422" t="str">
        <f ca="1">IF(A81&gt;Start.listina!$K$7,"",IF(MIN(F81:K81)&gt;Start.listina!$Y$4,D81,MIN(F81:K81)))</f>
        <v/>
      </c>
      <c r="F81" s="318">
        <f ca="1">IF(TYPE(VLOOKUP(C81,Konečné_pořadí_1_16!$B$2:$D$17,3,0))&lt;4,VLOOKUP(C81,Konečné_pořadí_1_16!$B$2:$D$17,3,0),999)</f>
        <v>999</v>
      </c>
      <c r="G81" s="318">
        <f ca="1">IF(TYPE(VLOOKUP(C81,'KO64'!$D$4:$D$129,1,0))&lt;4,64,999)</f>
        <v>64</v>
      </c>
      <c r="H81" s="318">
        <f ca="1">IF(TYPE(VLOOKUP(C81,'KO32'!$D$4:$D$65,1,0))&lt;4,32,999)</f>
        <v>32</v>
      </c>
      <c r="I81" s="318">
        <f ca="1">IF(TYPE(VLOOKUP(C81,'KO16'!$D$4:$D$33,1,0))&lt;4,16,999)</f>
        <v>999</v>
      </c>
      <c r="J81" s="318">
        <f ca="1">IF(TYPE(VLOOKUP(C81,'KO8'!$D$4:$D$17,1,0))&lt;4,8,999)</f>
        <v>999</v>
      </c>
      <c r="K81" s="318">
        <f ca="1">IF(TYPE(VLOOKUP(C81,'KO4'!$D$4:$D$9,1,0))&lt;4,4,999)</f>
        <v>999</v>
      </c>
      <c r="M81" s="319">
        <v>79</v>
      </c>
      <c r="O81" s="318">
        <f t="shared" ca="1" si="42"/>
        <v>0</v>
      </c>
      <c r="P81" s="318">
        <f t="shared" ca="1" si="43"/>
        <v>0</v>
      </c>
      <c r="Q81" s="318">
        <f t="shared" ca="1" si="34"/>
        <v>2</v>
      </c>
      <c r="R81" s="318">
        <f t="shared" ca="1" si="35"/>
        <v>0</v>
      </c>
      <c r="S81" s="318">
        <f t="shared" ca="1" si="44"/>
        <v>18</v>
      </c>
      <c r="T81" s="318">
        <f t="shared" ca="1" si="45"/>
        <v>0</v>
      </c>
      <c r="U81" s="397">
        <f t="shared" si="59"/>
        <v>79</v>
      </c>
      <c r="V81" s="397" t="s">
        <v>1869</v>
      </c>
      <c r="W81" s="423" t="str">
        <f ca="1">IF($V81="","",CONCATENATE(TEXT($O81,"0"),IF(Start.listina!$Y$5="","",TEXT(500+$P81,"0000")),IF(Start.listina!$Y$6="","",CHOOSE(Start.listina!$Y$7,TEXT($Q81,"00"),CONCATENATE(TEXT($Q81,"00"),TEXT($S81,"000")), TEXT($R81,"00"))),TEXT(500+$P81,"0000"),IF(Start.listina!$Y$8="","",TEXT($T81,"0")),TEXT(999999*RAND(),"000000")))</f>
        <v/>
      </c>
      <c r="X81" s="399">
        <f t="shared" si="46"/>
        <v>79</v>
      </c>
      <c r="Y81" s="397">
        <f t="shared" ca="1" si="36"/>
        <v>0</v>
      </c>
      <c r="Z81" s="318">
        <f t="shared" ca="1" si="47"/>
        <v>57</v>
      </c>
      <c r="AA81" s="318" t="str">
        <f t="shared" ca="1" si="48"/>
        <v/>
      </c>
      <c r="AB81" s="318" t="str">
        <f t="shared" ca="1" si="49"/>
        <v/>
      </c>
      <c r="AC81" s="318" t="str">
        <f t="shared" ca="1" si="50"/>
        <v/>
      </c>
      <c r="AD81" s="318" t="str">
        <f t="shared" ca="1" si="51"/>
        <v/>
      </c>
      <c r="AE81" s="318" t="str">
        <f t="shared" ca="1" si="52"/>
        <v/>
      </c>
      <c r="AG81" s="318">
        <f ca="1">IF(TYPE(VLOOKUP($A81,'1.kolo'!$L$3:$L$66,1,0))&gt;3,VLOOKUP($A81,'1.kolo'!$K$3:$L$66,2,0),VLOOKUP($A81,'1.kolo'!$L$3:$O$66,4,0))</f>
        <v>57</v>
      </c>
      <c r="AH81" s="318">
        <f ca="1">IF(TYPE(VLOOKUP($A81,'1.kolo'!$L$3:$L$66,1,0))&gt;3,VLOOKUP($A81,'1.kolo'!$O$3:$Q$66,2,0),VLOOKUP($A81,'1.kolo'!$L$3:$N$66,2,0))</f>
        <v>0</v>
      </c>
      <c r="AI81" s="318">
        <f ca="1">IF(TYPE(VLOOKUP($A81,'1.kolo'!$L$3:$L$66,1,0))&gt;3,VLOOKUP($A81,'1.kolo'!$O$3:$Q$66,3,0),VLOOKUP($A81,'1.kolo'!$L$3:$N$66,3,0))</f>
        <v>0</v>
      </c>
      <c r="AJ81" s="318">
        <f t="shared" ca="1" si="53"/>
        <v>0</v>
      </c>
      <c r="AK81" s="318">
        <v>79</v>
      </c>
      <c r="AL81" s="424"/>
      <c r="AP81" s="318" t="str">
        <f ca="1">IF(TYPE(VLOOKUP($A81,'2.kolo'!$L$3:$L$66,1,0))&gt;3,IF(TYPE(VLOOKUP($A81,'2.kolo'!$K$3:$L$66,2,0))&gt;3,0,VLOOKUP($A81,'2.kolo'!$K$3:$L$66,2,0)),VLOOKUP($A81,'2.kolo'!$L$3:$O$66,4,0))</f>
        <v/>
      </c>
      <c r="AQ81" s="318">
        <f ca="1">IF(TYPE(VLOOKUP($A81,'2.kolo'!$L$3:$L$66,1,0))&gt;3,IF(TYPE(VLOOKUP($A81,'2.kolo'!$O$3:$Q$66,2,0))&gt;3,0,VLOOKUP($A81,'2.kolo'!$O$3:$Q$66,2,0)),VLOOKUP($A81,'2.kolo'!$L$3:$N$66,2,0))</f>
        <v>0</v>
      </c>
      <c r="AR81" s="318">
        <f ca="1">IF(TYPE(VLOOKUP($A81,'2.kolo'!$L$3:$L$66,1,0))&gt;3,IF(TYPE(VLOOKUP($A81,'2.kolo'!$O$3:$Q$66,3,0))&gt;3,0,VLOOKUP($A81,'2.kolo'!$O$3:$Q$66,3,0)),VLOOKUP($A81,'2.kolo'!$L$3:$N$66,3,0))</f>
        <v>0</v>
      </c>
      <c r="AS81" s="318">
        <f t="shared" ca="1" si="54"/>
        <v>0</v>
      </c>
      <c r="AT81" s="397" t="s">
        <v>1869</v>
      </c>
      <c r="AU81" s="424" t="str">
        <f ca="1">IF(AT81="","",CONCATENATE(TEXT($O81,"0"),IF(Start.listina!$Y$5="","",TEXT(500+$P81,"000")),TEXT(999999*RAND(),"000000")))</f>
        <v/>
      </c>
      <c r="AV81" s="318">
        <f t="shared" ca="1" si="37"/>
        <v>0</v>
      </c>
      <c r="AY81" s="318" t="str">
        <f ca="1">IF(TYPE(VLOOKUP($A81,'3.kolo'!$L$3:$L$66,1,0))&gt;3,IF(TYPE(VLOOKUP($A81,'3.kolo'!$K$3:$L$66,2,0))&gt;3,0,VLOOKUP($A81,'3.kolo'!$K$3:$L$66,2,0)),VLOOKUP($A81,'3.kolo'!$L$3:$O$66,4,0))</f>
        <v/>
      </c>
      <c r="AZ81" s="318">
        <f ca="1">IF(TYPE(VLOOKUP($A81,'3.kolo'!$L$3:$L$66,1,0))&gt;3,IF(TYPE(VLOOKUP($A81,'3.kolo'!$O$3:$Q$66,2,0))&gt;3,0,VLOOKUP($A81,'3.kolo'!$O$3:$Q$66,2,0)),VLOOKUP($A81,'3.kolo'!$L$3:$N$66,2,0))</f>
        <v>0</v>
      </c>
      <c r="BA81" s="318">
        <f ca="1">IF(TYPE(VLOOKUP($A81,'3.kolo'!$L$3:$L$66,1,0))&gt;3,IF(TYPE(VLOOKUP($A81,'3.kolo'!$O$3:$Q$66,3,0))&gt;3,0,VLOOKUP($A81,'3.kolo'!$O$3:$Q$66,3,0)),VLOOKUP($A81,'3.kolo'!$L$3:$N$66,3,0))</f>
        <v>0</v>
      </c>
      <c r="BB81" s="318">
        <f t="shared" ca="1" si="55"/>
        <v>0</v>
      </c>
      <c r="BC81" s="397" t="s">
        <v>1869</v>
      </c>
      <c r="BD81" s="424" t="str">
        <f ca="1">IF(BC81="","",CONCATENATE(TEXT($O81,"0"),IF(Start.listina!$Y$5="","",TEXT(500+$P81,"000")),TEXT(999999*RAND(),"000000")))</f>
        <v/>
      </c>
      <c r="BE81" s="318">
        <f t="shared" ca="1" si="38"/>
        <v>0</v>
      </c>
      <c r="BH81" s="318" t="str">
        <f ca="1">IF(TYPE(VLOOKUP($A81,'4.kolo'!$L$3:$L$66,1,0))&gt;3,IF(TYPE(VLOOKUP($A81,'4.kolo'!$K$3:$L$66,2,0))&gt;3,0,VLOOKUP($A81,'4.kolo'!$K$3:$L$66,2,0)),VLOOKUP($A81,'4.kolo'!$L$3:$O$66,4,0))</f>
        <v/>
      </c>
      <c r="BI81" s="318">
        <f ca="1">IF(TYPE(VLOOKUP($A81,'4.kolo'!$L$3:$L$66,1,0))&gt;3,IF(TYPE(VLOOKUP($A81,'4.kolo'!$O$3:$Q$66,2,0))&gt;3,0,VLOOKUP($A81,'4.kolo'!$O$3:$Q$66,2,0)),VLOOKUP($A81,'4.kolo'!$L$3:$N$66,2,0))</f>
        <v>0</v>
      </c>
      <c r="BJ81" s="318">
        <f ca="1">IF(TYPE(VLOOKUP($A81,'4.kolo'!$L$3:$L$66,1,0))&gt;3,IF(TYPE(VLOOKUP($A81,'4.kolo'!$O$3:$Q$66,3,0))&gt;3,0,VLOOKUP($A81,'4.kolo'!$O$3:$Q$66,3,0)),VLOOKUP($A81,'4.kolo'!$L$3:$N$66,3,0))</f>
        <v>0</v>
      </c>
      <c r="BK81" s="318">
        <f t="shared" ca="1" si="56"/>
        <v>0</v>
      </c>
      <c r="BL81" s="397" t="s">
        <v>1869</v>
      </c>
      <c r="BM81" s="424" t="str">
        <f ca="1">IF(BL81="","",CONCATENATE(TEXT($O81,"0"),IF(Start.listina!$Y$5="","",TEXT(500+$P81,"000")),TEXT(999999*RAND(),"000000")))</f>
        <v/>
      </c>
      <c r="BN81" s="318">
        <f t="shared" ca="1" si="39"/>
        <v>0</v>
      </c>
      <c r="BQ81" s="318" t="str">
        <f ca="1">IF(TYPE(VLOOKUP($A81,'5.kolo'!$L$3:$L$66,1,0))&gt;3,IF(TYPE(VLOOKUP($A81,'5.kolo'!$K$3:$L$66,2,0))&gt;3,0,VLOOKUP($A81,'5.kolo'!$K$3:$L$66,2,0)),VLOOKUP($A81,'5.kolo'!$L$3:$O$66,4,0))</f>
        <v/>
      </c>
      <c r="BR81" s="318">
        <f ca="1">IF(TYPE(VLOOKUP($A81,'5.kolo'!$L$3:$L$66,1,0))&gt;3,IF(TYPE(VLOOKUP($A81,'5.kolo'!$O$3:$Q$66,2,0))&gt;3,0,VLOOKUP($A81,'5.kolo'!$O$3:$Q$66,2,0)),VLOOKUP($A81,'5.kolo'!$L$3:$N$66,2,0))</f>
        <v>0</v>
      </c>
      <c r="BS81" s="318">
        <f ca="1">IF(TYPE(VLOOKUP($A81,'5.kolo'!$L$3:$L$66,1,0))&gt;3,IF(TYPE(VLOOKUP($A81,'5.kolo'!$O$3:$Q$66,3,0))&gt;3,0,VLOOKUP($A81,'5.kolo'!$O$3:$Q$66,3,0)),VLOOKUP($A81,'5.kolo'!$L$3:$N$66,3,0))</f>
        <v>0</v>
      </c>
      <c r="BT81" s="318">
        <f t="shared" ca="1" si="57"/>
        <v>0</v>
      </c>
      <c r="BU81" s="397"/>
      <c r="BV81" s="424" t="str">
        <f ca="1">IF(BU81="","",CONCATENATE(TEXT($O81,"0"),IF(Start.listina!$Y$5="","",TEXT(500+$P81,"000")),TEXT(999999*RAND(),"000000")))</f>
        <v/>
      </c>
      <c r="BW81" s="318">
        <f t="shared" ca="1" si="40"/>
        <v>0</v>
      </c>
      <c r="BZ81" s="318" t="str">
        <f ca="1">IF(TYPE(VLOOKUP($A81,'6.kolo'!$L$3:$L$66,1,0))&gt;3,IF(TYPE(VLOOKUP($A81,'6.kolo'!$K$3:$L$66,2,0))&gt;3,0,VLOOKUP($A81,'6.kolo'!$K$3:$L$66,2,0)),VLOOKUP($A81,'6.kolo'!$L$3:$O$66,4,0))</f>
        <v/>
      </c>
      <c r="CA81" s="318">
        <f ca="1">IF(TYPE(VLOOKUP($A81,'6.kolo'!$L$3:$L$66,1,0))&gt;3,IF(TYPE(VLOOKUP($A81,'6.kolo'!$O$3:$Q$66,2,0))&gt;3,0,VLOOKUP($A81,'6.kolo'!$O$3:$Q$66,2,0)),VLOOKUP($A81,'6.kolo'!$L$3:$N$66,2,0))</f>
        <v>0</v>
      </c>
      <c r="CB81" s="318">
        <f ca="1">IF(TYPE(VLOOKUP($A81,'6.kolo'!$L$3:$L$66,1,0))&gt;3,IF(TYPE(VLOOKUP($A81,'6.kolo'!$O$3:$Q$66,3,0))&gt;3,0,VLOOKUP($A81,'6.kolo'!$O$3:$Q$66,3,0)),VLOOKUP($A81,'6.kolo'!$L$3:$N$66,3,0))</f>
        <v>0</v>
      </c>
      <c r="CC81" s="318">
        <f t="shared" ca="1" si="58"/>
        <v>0</v>
      </c>
      <c r="CD81" s="397"/>
      <c r="CE81" s="424" t="str">
        <f ca="1">IF(CD81="","",CONCATENATE(TEXT($O81,"0"),IF(Start.listina!$Y$5="","",TEXT(500+$P81,"000")),TEXT(999999*RAND(),"000000")))</f>
        <v/>
      </c>
      <c r="CF81" s="318">
        <f t="shared" ca="1" si="41"/>
        <v>0</v>
      </c>
    </row>
    <row r="82" spans="1:84" x14ac:dyDescent="0.4">
      <c r="A82" s="318" t="str">
        <f ca="1">IF(OR(Start.listina!H90&gt;Start.listina!$K$7,Start.listina!G90=TRUE),"",Start.listina!H90)</f>
        <v/>
      </c>
      <c r="B82" s="318" t="str">
        <f ca="1">IF($A82&gt;Start.listina!$K$7,"",INT(($A82-1)/Start.listina!$O$7)+1)</f>
        <v/>
      </c>
      <c r="C82" s="421" t="str">
        <f ca="1">IF(OR(Start.listina!H90&gt;Start.listina!$K$7,Start.listina!G90=TRUE)," - ",Start.listina!AL90)</f>
        <v xml:space="preserve"> - </v>
      </c>
      <c r="D82" s="318" t="str">
        <f ca="1">IF(OR(A82&gt;Start.listina!$K$7,TYPE(VLOOKUP(A82,$V$3:$X$130,3,0))&gt;3),"",VLOOKUP(A82,$V$3:$X$130,3,0))</f>
        <v/>
      </c>
      <c r="E82" s="422" t="str">
        <f ca="1">IF(A82&gt;Start.listina!$K$7,"",IF(MIN(F82:K82)&gt;Start.listina!$Y$4,D82,MIN(F82:K82)))</f>
        <v/>
      </c>
      <c r="F82" s="318">
        <f ca="1">IF(TYPE(VLOOKUP(C82,Konečné_pořadí_1_16!$B$2:$D$17,3,0))&lt;4,VLOOKUP(C82,Konečné_pořadí_1_16!$B$2:$D$17,3,0),999)</f>
        <v>999</v>
      </c>
      <c r="G82" s="318">
        <f ca="1">IF(TYPE(VLOOKUP(C82,'KO64'!$D$4:$D$129,1,0))&lt;4,64,999)</f>
        <v>64</v>
      </c>
      <c r="H82" s="318">
        <f ca="1">IF(TYPE(VLOOKUP(C82,'KO32'!$D$4:$D$65,1,0))&lt;4,32,999)</f>
        <v>32</v>
      </c>
      <c r="I82" s="318">
        <f ca="1">IF(TYPE(VLOOKUP(C82,'KO16'!$D$4:$D$33,1,0))&lt;4,16,999)</f>
        <v>999</v>
      </c>
      <c r="J82" s="318">
        <f ca="1">IF(TYPE(VLOOKUP(C82,'KO8'!$D$4:$D$17,1,0))&lt;4,8,999)</f>
        <v>999</v>
      </c>
      <c r="K82" s="318">
        <f ca="1">IF(TYPE(VLOOKUP(C82,'KO4'!$D$4:$D$9,1,0))&lt;4,4,999)</f>
        <v>999</v>
      </c>
      <c r="M82" s="319">
        <v>80</v>
      </c>
      <c r="O82" s="318">
        <f t="shared" ca="1" si="42"/>
        <v>0</v>
      </c>
      <c r="P82" s="318">
        <f t="shared" ca="1" si="43"/>
        <v>0</v>
      </c>
      <c r="Q82" s="318">
        <f t="shared" ca="1" si="34"/>
        <v>2</v>
      </c>
      <c r="R82" s="318">
        <f t="shared" ca="1" si="35"/>
        <v>0</v>
      </c>
      <c r="S82" s="318">
        <f t="shared" ca="1" si="44"/>
        <v>18</v>
      </c>
      <c r="T82" s="318">
        <f t="shared" ca="1" si="45"/>
        <v>0</v>
      </c>
      <c r="U82" s="397">
        <f t="shared" si="59"/>
        <v>80</v>
      </c>
      <c r="V82" s="397" t="s">
        <v>1869</v>
      </c>
      <c r="W82" s="423" t="str">
        <f ca="1">IF($V82="","",CONCATENATE(TEXT($O82,"0"),IF(Start.listina!$Y$5="","",TEXT(500+$P82,"0000")),IF(Start.listina!$Y$6="","",CHOOSE(Start.listina!$Y$7,TEXT($Q82,"00"),CONCATENATE(TEXT($Q82,"00"),TEXT($S82,"000")), TEXT($R82,"00"))),TEXT(500+$P82,"0000"),IF(Start.listina!$Y$8="","",TEXT($T82,"0")),TEXT(999999*RAND(),"000000")))</f>
        <v/>
      </c>
      <c r="X82" s="399">
        <f t="shared" si="46"/>
        <v>80</v>
      </c>
      <c r="Y82" s="397">
        <f t="shared" ca="1" si="36"/>
        <v>0</v>
      </c>
      <c r="Z82" s="318">
        <f t="shared" ca="1" si="47"/>
        <v>57</v>
      </c>
      <c r="AA82" s="318" t="str">
        <f t="shared" ca="1" si="48"/>
        <v/>
      </c>
      <c r="AB82" s="318" t="str">
        <f t="shared" ca="1" si="49"/>
        <v/>
      </c>
      <c r="AC82" s="318" t="str">
        <f t="shared" ca="1" si="50"/>
        <v/>
      </c>
      <c r="AD82" s="318" t="str">
        <f t="shared" ca="1" si="51"/>
        <v/>
      </c>
      <c r="AE82" s="318" t="str">
        <f t="shared" ca="1" si="52"/>
        <v/>
      </c>
      <c r="AG82" s="318">
        <f ca="1">IF(TYPE(VLOOKUP($A82,'1.kolo'!$L$3:$L$66,1,0))&gt;3,VLOOKUP($A82,'1.kolo'!$K$3:$L$66,2,0),VLOOKUP($A82,'1.kolo'!$L$3:$O$66,4,0))</f>
        <v>57</v>
      </c>
      <c r="AH82" s="318">
        <f ca="1">IF(TYPE(VLOOKUP($A82,'1.kolo'!$L$3:$L$66,1,0))&gt;3,VLOOKUP($A82,'1.kolo'!$O$3:$Q$66,2,0),VLOOKUP($A82,'1.kolo'!$L$3:$N$66,2,0))</f>
        <v>0</v>
      </c>
      <c r="AI82" s="318">
        <f ca="1">IF(TYPE(VLOOKUP($A82,'1.kolo'!$L$3:$L$66,1,0))&gt;3,VLOOKUP($A82,'1.kolo'!$O$3:$Q$66,3,0),VLOOKUP($A82,'1.kolo'!$L$3:$N$66,3,0))</f>
        <v>0</v>
      </c>
      <c r="AJ82" s="318">
        <f t="shared" ca="1" si="53"/>
        <v>0</v>
      </c>
      <c r="AK82" s="318">
        <v>80</v>
      </c>
      <c r="AL82" s="424"/>
      <c r="AP82" s="318" t="str">
        <f ca="1">IF(TYPE(VLOOKUP($A82,'2.kolo'!$L$3:$L$66,1,0))&gt;3,IF(TYPE(VLOOKUP($A82,'2.kolo'!$K$3:$L$66,2,0))&gt;3,0,VLOOKUP($A82,'2.kolo'!$K$3:$L$66,2,0)),VLOOKUP($A82,'2.kolo'!$L$3:$O$66,4,0))</f>
        <v/>
      </c>
      <c r="AQ82" s="318">
        <f ca="1">IF(TYPE(VLOOKUP($A82,'2.kolo'!$L$3:$L$66,1,0))&gt;3,IF(TYPE(VLOOKUP($A82,'2.kolo'!$O$3:$Q$66,2,0))&gt;3,0,VLOOKUP($A82,'2.kolo'!$O$3:$Q$66,2,0)),VLOOKUP($A82,'2.kolo'!$L$3:$N$66,2,0))</f>
        <v>0</v>
      </c>
      <c r="AR82" s="318">
        <f ca="1">IF(TYPE(VLOOKUP($A82,'2.kolo'!$L$3:$L$66,1,0))&gt;3,IF(TYPE(VLOOKUP($A82,'2.kolo'!$O$3:$Q$66,3,0))&gt;3,0,VLOOKUP($A82,'2.kolo'!$O$3:$Q$66,3,0)),VLOOKUP($A82,'2.kolo'!$L$3:$N$66,3,0))</f>
        <v>0</v>
      </c>
      <c r="AS82" s="318">
        <f t="shared" ca="1" si="54"/>
        <v>0</v>
      </c>
      <c r="AT82" s="397" t="s">
        <v>1869</v>
      </c>
      <c r="AU82" s="424" t="str">
        <f ca="1">IF(AT82="","",CONCATENATE(TEXT($O82,"0"),IF(Start.listina!$Y$5="","",TEXT(500+$P82,"000")),TEXT(999999*RAND(),"000000")))</f>
        <v/>
      </c>
      <c r="AV82" s="318">
        <f t="shared" ca="1" si="37"/>
        <v>0</v>
      </c>
      <c r="AY82" s="318" t="str">
        <f ca="1">IF(TYPE(VLOOKUP($A82,'3.kolo'!$L$3:$L$66,1,0))&gt;3,IF(TYPE(VLOOKUP($A82,'3.kolo'!$K$3:$L$66,2,0))&gt;3,0,VLOOKUP($A82,'3.kolo'!$K$3:$L$66,2,0)),VLOOKUP($A82,'3.kolo'!$L$3:$O$66,4,0))</f>
        <v/>
      </c>
      <c r="AZ82" s="318">
        <f ca="1">IF(TYPE(VLOOKUP($A82,'3.kolo'!$L$3:$L$66,1,0))&gt;3,IF(TYPE(VLOOKUP($A82,'3.kolo'!$O$3:$Q$66,2,0))&gt;3,0,VLOOKUP($A82,'3.kolo'!$O$3:$Q$66,2,0)),VLOOKUP($A82,'3.kolo'!$L$3:$N$66,2,0))</f>
        <v>0</v>
      </c>
      <c r="BA82" s="318">
        <f ca="1">IF(TYPE(VLOOKUP($A82,'3.kolo'!$L$3:$L$66,1,0))&gt;3,IF(TYPE(VLOOKUP($A82,'3.kolo'!$O$3:$Q$66,3,0))&gt;3,0,VLOOKUP($A82,'3.kolo'!$O$3:$Q$66,3,0)),VLOOKUP($A82,'3.kolo'!$L$3:$N$66,3,0))</f>
        <v>0</v>
      </c>
      <c r="BB82" s="318">
        <f t="shared" ca="1" si="55"/>
        <v>0</v>
      </c>
      <c r="BC82" s="397" t="s">
        <v>1869</v>
      </c>
      <c r="BD82" s="424" t="str">
        <f ca="1">IF(BC82="","",CONCATENATE(TEXT($O82,"0"),IF(Start.listina!$Y$5="","",TEXT(500+$P82,"000")),TEXT(999999*RAND(),"000000")))</f>
        <v/>
      </c>
      <c r="BE82" s="318">
        <f t="shared" ca="1" si="38"/>
        <v>0</v>
      </c>
      <c r="BH82" s="318" t="str">
        <f ca="1">IF(TYPE(VLOOKUP($A82,'4.kolo'!$L$3:$L$66,1,0))&gt;3,IF(TYPE(VLOOKUP($A82,'4.kolo'!$K$3:$L$66,2,0))&gt;3,0,VLOOKUP($A82,'4.kolo'!$K$3:$L$66,2,0)),VLOOKUP($A82,'4.kolo'!$L$3:$O$66,4,0))</f>
        <v/>
      </c>
      <c r="BI82" s="318">
        <f ca="1">IF(TYPE(VLOOKUP($A82,'4.kolo'!$L$3:$L$66,1,0))&gt;3,IF(TYPE(VLOOKUP($A82,'4.kolo'!$O$3:$Q$66,2,0))&gt;3,0,VLOOKUP($A82,'4.kolo'!$O$3:$Q$66,2,0)),VLOOKUP($A82,'4.kolo'!$L$3:$N$66,2,0))</f>
        <v>0</v>
      </c>
      <c r="BJ82" s="318">
        <f ca="1">IF(TYPE(VLOOKUP($A82,'4.kolo'!$L$3:$L$66,1,0))&gt;3,IF(TYPE(VLOOKUP($A82,'4.kolo'!$O$3:$Q$66,3,0))&gt;3,0,VLOOKUP($A82,'4.kolo'!$O$3:$Q$66,3,0)),VLOOKUP($A82,'4.kolo'!$L$3:$N$66,3,0))</f>
        <v>0</v>
      </c>
      <c r="BK82" s="318">
        <f t="shared" ca="1" si="56"/>
        <v>0</v>
      </c>
      <c r="BL82" s="397" t="s">
        <v>1869</v>
      </c>
      <c r="BM82" s="424" t="str">
        <f ca="1">IF(BL82="","",CONCATENATE(TEXT($O82,"0"),IF(Start.listina!$Y$5="","",TEXT(500+$P82,"000")),TEXT(999999*RAND(),"000000")))</f>
        <v/>
      </c>
      <c r="BN82" s="318">
        <f t="shared" ca="1" si="39"/>
        <v>0</v>
      </c>
      <c r="BQ82" s="318" t="str">
        <f ca="1">IF(TYPE(VLOOKUP($A82,'5.kolo'!$L$3:$L$66,1,0))&gt;3,IF(TYPE(VLOOKUP($A82,'5.kolo'!$K$3:$L$66,2,0))&gt;3,0,VLOOKUP($A82,'5.kolo'!$K$3:$L$66,2,0)),VLOOKUP($A82,'5.kolo'!$L$3:$O$66,4,0))</f>
        <v/>
      </c>
      <c r="BR82" s="318">
        <f ca="1">IF(TYPE(VLOOKUP($A82,'5.kolo'!$L$3:$L$66,1,0))&gt;3,IF(TYPE(VLOOKUP($A82,'5.kolo'!$O$3:$Q$66,2,0))&gt;3,0,VLOOKUP($A82,'5.kolo'!$O$3:$Q$66,2,0)),VLOOKUP($A82,'5.kolo'!$L$3:$N$66,2,0))</f>
        <v>0</v>
      </c>
      <c r="BS82" s="318">
        <f ca="1">IF(TYPE(VLOOKUP($A82,'5.kolo'!$L$3:$L$66,1,0))&gt;3,IF(TYPE(VLOOKUP($A82,'5.kolo'!$O$3:$Q$66,3,0))&gt;3,0,VLOOKUP($A82,'5.kolo'!$O$3:$Q$66,3,0)),VLOOKUP($A82,'5.kolo'!$L$3:$N$66,3,0))</f>
        <v>0</v>
      </c>
      <c r="BT82" s="318">
        <f t="shared" ca="1" si="57"/>
        <v>0</v>
      </c>
      <c r="BU82" s="397"/>
      <c r="BV82" s="424" t="str">
        <f ca="1">IF(BU82="","",CONCATENATE(TEXT($O82,"0"),IF(Start.listina!$Y$5="","",TEXT(500+$P82,"000")),TEXT(999999*RAND(),"000000")))</f>
        <v/>
      </c>
      <c r="BW82" s="318">
        <f t="shared" ca="1" si="40"/>
        <v>0</v>
      </c>
      <c r="BZ82" s="318" t="str">
        <f ca="1">IF(TYPE(VLOOKUP($A82,'6.kolo'!$L$3:$L$66,1,0))&gt;3,IF(TYPE(VLOOKUP($A82,'6.kolo'!$K$3:$L$66,2,0))&gt;3,0,VLOOKUP($A82,'6.kolo'!$K$3:$L$66,2,0)),VLOOKUP($A82,'6.kolo'!$L$3:$O$66,4,0))</f>
        <v/>
      </c>
      <c r="CA82" s="318">
        <f ca="1">IF(TYPE(VLOOKUP($A82,'6.kolo'!$L$3:$L$66,1,0))&gt;3,IF(TYPE(VLOOKUP($A82,'6.kolo'!$O$3:$Q$66,2,0))&gt;3,0,VLOOKUP($A82,'6.kolo'!$O$3:$Q$66,2,0)),VLOOKUP($A82,'6.kolo'!$L$3:$N$66,2,0))</f>
        <v>0</v>
      </c>
      <c r="CB82" s="318">
        <f ca="1">IF(TYPE(VLOOKUP($A82,'6.kolo'!$L$3:$L$66,1,0))&gt;3,IF(TYPE(VLOOKUP($A82,'6.kolo'!$O$3:$Q$66,3,0))&gt;3,0,VLOOKUP($A82,'6.kolo'!$O$3:$Q$66,3,0)),VLOOKUP($A82,'6.kolo'!$L$3:$N$66,3,0))</f>
        <v>0</v>
      </c>
      <c r="CC82" s="318">
        <f t="shared" ca="1" si="58"/>
        <v>0</v>
      </c>
      <c r="CD82" s="397"/>
      <c r="CE82" s="424" t="str">
        <f ca="1">IF(CD82="","",CONCATENATE(TEXT($O82,"0"),IF(Start.listina!$Y$5="","",TEXT(500+$P82,"000")),TEXT(999999*RAND(),"000000")))</f>
        <v/>
      </c>
      <c r="CF82" s="318">
        <f t="shared" ca="1" si="41"/>
        <v>0</v>
      </c>
    </row>
    <row r="83" spans="1:84" x14ac:dyDescent="0.4">
      <c r="A83" s="318" t="str">
        <f ca="1">IF(OR(Start.listina!H91&gt;Start.listina!$K$7,Start.listina!G91=TRUE),"",Start.listina!H91)</f>
        <v/>
      </c>
      <c r="B83" s="318" t="str">
        <f ca="1">IF($A83&gt;Start.listina!$K$7,"",INT(($A83-1)/Start.listina!$O$7)+1)</f>
        <v/>
      </c>
      <c r="C83" s="421" t="str">
        <f ca="1">IF(OR(Start.listina!H91&gt;Start.listina!$K$7,Start.listina!G91=TRUE)," - ",Start.listina!AL91)</f>
        <v xml:space="preserve"> - </v>
      </c>
      <c r="D83" s="318" t="str">
        <f ca="1">IF(OR(A83&gt;Start.listina!$K$7,TYPE(VLOOKUP(A83,$V$3:$X$130,3,0))&gt;3),"",VLOOKUP(A83,$V$3:$X$130,3,0))</f>
        <v/>
      </c>
      <c r="E83" s="422" t="str">
        <f ca="1">IF(A83&gt;Start.listina!$K$7,"",IF(MIN(F83:K83)&gt;Start.listina!$Y$4,D83,MIN(F83:K83)))</f>
        <v/>
      </c>
      <c r="F83" s="318">
        <f ca="1">IF(TYPE(VLOOKUP(C83,Konečné_pořadí_1_16!$B$2:$D$17,3,0))&lt;4,VLOOKUP(C83,Konečné_pořadí_1_16!$B$2:$D$17,3,0),999)</f>
        <v>999</v>
      </c>
      <c r="G83" s="318">
        <f ca="1">IF(TYPE(VLOOKUP(C83,'KO64'!$D$4:$D$129,1,0))&lt;4,64,999)</f>
        <v>64</v>
      </c>
      <c r="H83" s="318">
        <f ca="1">IF(TYPE(VLOOKUP(C83,'KO32'!$D$4:$D$65,1,0))&lt;4,32,999)</f>
        <v>32</v>
      </c>
      <c r="I83" s="318">
        <f ca="1">IF(TYPE(VLOOKUP(C83,'KO16'!$D$4:$D$33,1,0))&lt;4,16,999)</f>
        <v>999</v>
      </c>
      <c r="J83" s="318">
        <f ca="1">IF(TYPE(VLOOKUP(C83,'KO8'!$D$4:$D$17,1,0))&lt;4,8,999)</f>
        <v>999</v>
      </c>
      <c r="K83" s="318">
        <f ca="1">IF(TYPE(VLOOKUP(C83,'KO4'!$D$4:$D$9,1,0))&lt;4,4,999)</f>
        <v>999</v>
      </c>
      <c r="M83" s="319">
        <v>81</v>
      </c>
      <c r="O83" s="318">
        <f t="shared" ca="1" si="42"/>
        <v>0</v>
      </c>
      <c r="P83" s="318">
        <f t="shared" ca="1" si="43"/>
        <v>0</v>
      </c>
      <c r="Q83" s="318">
        <f t="shared" ca="1" si="34"/>
        <v>2</v>
      </c>
      <c r="R83" s="318">
        <f t="shared" ca="1" si="35"/>
        <v>0</v>
      </c>
      <c r="S83" s="318">
        <f t="shared" ca="1" si="44"/>
        <v>18</v>
      </c>
      <c r="T83" s="318">
        <f t="shared" ca="1" si="45"/>
        <v>0</v>
      </c>
      <c r="U83" s="397">
        <f t="shared" si="59"/>
        <v>81</v>
      </c>
      <c r="V83" s="397" t="s">
        <v>1869</v>
      </c>
      <c r="W83" s="423" t="str">
        <f ca="1">IF($V83="","",CONCATENATE(TEXT($O83,"0"),IF(Start.listina!$Y$5="","",TEXT(500+$P83,"0000")),IF(Start.listina!$Y$6="","",CHOOSE(Start.listina!$Y$7,TEXT($Q83,"00"),CONCATENATE(TEXT($Q83,"00"),TEXT($S83,"000")), TEXT($R83,"00"))),TEXT(500+$P83,"0000"),IF(Start.listina!$Y$8="","",TEXT($T83,"0")),TEXT(999999*RAND(),"000000")))</f>
        <v/>
      </c>
      <c r="X83" s="399">
        <f t="shared" si="46"/>
        <v>81</v>
      </c>
      <c r="Y83" s="397">
        <f t="shared" ca="1" si="36"/>
        <v>0</v>
      </c>
      <c r="Z83" s="318">
        <f t="shared" ca="1" si="47"/>
        <v>57</v>
      </c>
      <c r="AA83" s="318" t="str">
        <f t="shared" ca="1" si="48"/>
        <v/>
      </c>
      <c r="AB83" s="318" t="str">
        <f t="shared" ca="1" si="49"/>
        <v/>
      </c>
      <c r="AC83" s="318" t="str">
        <f t="shared" ca="1" si="50"/>
        <v/>
      </c>
      <c r="AD83" s="318" t="str">
        <f t="shared" ca="1" si="51"/>
        <v/>
      </c>
      <c r="AE83" s="318" t="str">
        <f t="shared" ca="1" si="52"/>
        <v/>
      </c>
      <c r="AG83" s="318">
        <f ca="1">IF(TYPE(VLOOKUP($A83,'1.kolo'!$L$3:$L$66,1,0))&gt;3,VLOOKUP($A83,'1.kolo'!$K$3:$L$66,2,0),VLOOKUP($A83,'1.kolo'!$L$3:$O$66,4,0))</f>
        <v>57</v>
      </c>
      <c r="AH83" s="318">
        <f ca="1">IF(TYPE(VLOOKUP($A83,'1.kolo'!$L$3:$L$66,1,0))&gt;3,VLOOKUP($A83,'1.kolo'!$O$3:$Q$66,2,0),VLOOKUP($A83,'1.kolo'!$L$3:$N$66,2,0))</f>
        <v>0</v>
      </c>
      <c r="AI83" s="318">
        <f ca="1">IF(TYPE(VLOOKUP($A83,'1.kolo'!$L$3:$L$66,1,0))&gt;3,VLOOKUP($A83,'1.kolo'!$O$3:$Q$66,3,0),VLOOKUP($A83,'1.kolo'!$L$3:$N$66,3,0))</f>
        <v>0</v>
      </c>
      <c r="AJ83" s="318">
        <f t="shared" ca="1" si="53"/>
        <v>0</v>
      </c>
      <c r="AK83" s="318">
        <v>81</v>
      </c>
      <c r="AL83" s="424"/>
      <c r="AP83" s="318" t="str">
        <f ca="1">IF(TYPE(VLOOKUP($A83,'2.kolo'!$L$3:$L$66,1,0))&gt;3,IF(TYPE(VLOOKUP($A83,'2.kolo'!$K$3:$L$66,2,0))&gt;3,0,VLOOKUP($A83,'2.kolo'!$K$3:$L$66,2,0)),VLOOKUP($A83,'2.kolo'!$L$3:$O$66,4,0))</f>
        <v/>
      </c>
      <c r="AQ83" s="318">
        <f ca="1">IF(TYPE(VLOOKUP($A83,'2.kolo'!$L$3:$L$66,1,0))&gt;3,IF(TYPE(VLOOKUP($A83,'2.kolo'!$O$3:$Q$66,2,0))&gt;3,0,VLOOKUP($A83,'2.kolo'!$O$3:$Q$66,2,0)),VLOOKUP($A83,'2.kolo'!$L$3:$N$66,2,0))</f>
        <v>0</v>
      </c>
      <c r="AR83" s="318">
        <f ca="1">IF(TYPE(VLOOKUP($A83,'2.kolo'!$L$3:$L$66,1,0))&gt;3,IF(TYPE(VLOOKUP($A83,'2.kolo'!$O$3:$Q$66,3,0))&gt;3,0,VLOOKUP($A83,'2.kolo'!$O$3:$Q$66,3,0)),VLOOKUP($A83,'2.kolo'!$L$3:$N$66,3,0))</f>
        <v>0</v>
      </c>
      <c r="AS83" s="318">
        <f t="shared" ca="1" si="54"/>
        <v>0</v>
      </c>
      <c r="AT83" s="397" t="s">
        <v>1869</v>
      </c>
      <c r="AU83" s="424" t="str">
        <f ca="1">IF(AT83="","",CONCATENATE(TEXT($O83,"0"),IF(Start.listina!$Y$5="","",TEXT(500+$P83,"000")),TEXT(999999*RAND(),"000000")))</f>
        <v/>
      </c>
      <c r="AV83" s="318">
        <f t="shared" ca="1" si="37"/>
        <v>0</v>
      </c>
      <c r="AY83" s="318" t="str">
        <f ca="1">IF(TYPE(VLOOKUP($A83,'3.kolo'!$L$3:$L$66,1,0))&gt;3,IF(TYPE(VLOOKUP($A83,'3.kolo'!$K$3:$L$66,2,0))&gt;3,0,VLOOKUP($A83,'3.kolo'!$K$3:$L$66,2,0)),VLOOKUP($A83,'3.kolo'!$L$3:$O$66,4,0))</f>
        <v/>
      </c>
      <c r="AZ83" s="318">
        <f ca="1">IF(TYPE(VLOOKUP($A83,'3.kolo'!$L$3:$L$66,1,0))&gt;3,IF(TYPE(VLOOKUP($A83,'3.kolo'!$O$3:$Q$66,2,0))&gt;3,0,VLOOKUP($A83,'3.kolo'!$O$3:$Q$66,2,0)),VLOOKUP($A83,'3.kolo'!$L$3:$N$66,2,0))</f>
        <v>0</v>
      </c>
      <c r="BA83" s="318">
        <f ca="1">IF(TYPE(VLOOKUP($A83,'3.kolo'!$L$3:$L$66,1,0))&gt;3,IF(TYPE(VLOOKUP($A83,'3.kolo'!$O$3:$Q$66,3,0))&gt;3,0,VLOOKUP($A83,'3.kolo'!$O$3:$Q$66,3,0)),VLOOKUP($A83,'3.kolo'!$L$3:$N$66,3,0))</f>
        <v>0</v>
      </c>
      <c r="BB83" s="318">
        <f t="shared" ca="1" si="55"/>
        <v>0</v>
      </c>
      <c r="BC83" s="397" t="s">
        <v>1869</v>
      </c>
      <c r="BD83" s="424" t="str">
        <f ca="1">IF(BC83="","",CONCATENATE(TEXT($O83,"0"),IF(Start.listina!$Y$5="","",TEXT(500+$P83,"000")),TEXT(999999*RAND(),"000000")))</f>
        <v/>
      </c>
      <c r="BE83" s="318">
        <f t="shared" ca="1" si="38"/>
        <v>0</v>
      </c>
      <c r="BH83" s="318" t="str">
        <f ca="1">IF(TYPE(VLOOKUP($A83,'4.kolo'!$L$3:$L$66,1,0))&gt;3,IF(TYPE(VLOOKUP($A83,'4.kolo'!$K$3:$L$66,2,0))&gt;3,0,VLOOKUP($A83,'4.kolo'!$K$3:$L$66,2,0)),VLOOKUP($A83,'4.kolo'!$L$3:$O$66,4,0))</f>
        <v/>
      </c>
      <c r="BI83" s="318">
        <f ca="1">IF(TYPE(VLOOKUP($A83,'4.kolo'!$L$3:$L$66,1,0))&gt;3,IF(TYPE(VLOOKUP($A83,'4.kolo'!$O$3:$Q$66,2,0))&gt;3,0,VLOOKUP($A83,'4.kolo'!$O$3:$Q$66,2,0)),VLOOKUP($A83,'4.kolo'!$L$3:$N$66,2,0))</f>
        <v>0</v>
      </c>
      <c r="BJ83" s="318">
        <f ca="1">IF(TYPE(VLOOKUP($A83,'4.kolo'!$L$3:$L$66,1,0))&gt;3,IF(TYPE(VLOOKUP($A83,'4.kolo'!$O$3:$Q$66,3,0))&gt;3,0,VLOOKUP($A83,'4.kolo'!$O$3:$Q$66,3,0)),VLOOKUP($A83,'4.kolo'!$L$3:$N$66,3,0))</f>
        <v>0</v>
      </c>
      <c r="BK83" s="318">
        <f t="shared" ca="1" si="56"/>
        <v>0</v>
      </c>
      <c r="BL83" s="397" t="s">
        <v>1869</v>
      </c>
      <c r="BM83" s="424" t="str">
        <f ca="1">IF(BL83="","",CONCATENATE(TEXT($O83,"0"),IF(Start.listina!$Y$5="","",TEXT(500+$P83,"000")),TEXT(999999*RAND(),"000000")))</f>
        <v/>
      </c>
      <c r="BN83" s="318">
        <f t="shared" ca="1" si="39"/>
        <v>0</v>
      </c>
      <c r="BQ83" s="318" t="str">
        <f ca="1">IF(TYPE(VLOOKUP($A83,'5.kolo'!$L$3:$L$66,1,0))&gt;3,IF(TYPE(VLOOKUP($A83,'5.kolo'!$K$3:$L$66,2,0))&gt;3,0,VLOOKUP($A83,'5.kolo'!$K$3:$L$66,2,0)),VLOOKUP($A83,'5.kolo'!$L$3:$O$66,4,0))</f>
        <v/>
      </c>
      <c r="BR83" s="318">
        <f ca="1">IF(TYPE(VLOOKUP($A83,'5.kolo'!$L$3:$L$66,1,0))&gt;3,IF(TYPE(VLOOKUP($A83,'5.kolo'!$O$3:$Q$66,2,0))&gt;3,0,VLOOKUP($A83,'5.kolo'!$O$3:$Q$66,2,0)),VLOOKUP($A83,'5.kolo'!$L$3:$N$66,2,0))</f>
        <v>0</v>
      </c>
      <c r="BS83" s="318">
        <f ca="1">IF(TYPE(VLOOKUP($A83,'5.kolo'!$L$3:$L$66,1,0))&gt;3,IF(TYPE(VLOOKUP($A83,'5.kolo'!$O$3:$Q$66,3,0))&gt;3,0,VLOOKUP($A83,'5.kolo'!$O$3:$Q$66,3,0)),VLOOKUP($A83,'5.kolo'!$L$3:$N$66,3,0))</f>
        <v>0</v>
      </c>
      <c r="BT83" s="318">
        <f t="shared" ca="1" si="57"/>
        <v>0</v>
      </c>
      <c r="BU83" s="397"/>
      <c r="BV83" s="424" t="str">
        <f ca="1">IF(BU83="","",CONCATENATE(TEXT($O83,"0"),IF(Start.listina!$Y$5="","",TEXT(500+$P83,"000")),TEXT(999999*RAND(),"000000")))</f>
        <v/>
      </c>
      <c r="BW83" s="318">
        <f t="shared" ca="1" si="40"/>
        <v>0</v>
      </c>
      <c r="BZ83" s="318" t="str">
        <f ca="1">IF(TYPE(VLOOKUP($A83,'6.kolo'!$L$3:$L$66,1,0))&gt;3,IF(TYPE(VLOOKUP($A83,'6.kolo'!$K$3:$L$66,2,0))&gt;3,0,VLOOKUP($A83,'6.kolo'!$K$3:$L$66,2,0)),VLOOKUP($A83,'6.kolo'!$L$3:$O$66,4,0))</f>
        <v/>
      </c>
      <c r="CA83" s="318">
        <f ca="1">IF(TYPE(VLOOKUP($A83,'6.kolo'!$L$3:$L$66,1,0))&gt;3,IF(TYPE(VLOOKUP($A83,'6.kolo'!$O$3:$Q$66,2,0))&gt;3,0,VLOOKUP($A83,'6.kolo'!$O$3:$Q$66,2,0)),VLOOKUP($A83,'6.kolo'!$L$3:$N$66,2,0))</f>
        <v>0</v>
      </c>
      <c r="CB83" s="318">
        <f ca="1">IF(TYPE(VLOOKUP($A83,'6.kolo'!$L$3:$L$66,1,0))&gt;3,IF(TYPE(VLOOKUP($A83,'6.kolo'!$O$3:$Q$66,3,0))&gt;3,0,VLOOKUP($A83,'6.kolo'!$O$3:$Q$66,3,0)),VLOOKUP($A83,'6.kolo'!$L$3:$N$66,3,0))</f>
        <v>0</v>
      </c>
      <c r="CC83" s="318">
        <f t="shared" ca="1" si="58"/>
        <v>0</v>
      </c>
      <c r="CD83" s="397"/>
      <c r="CE83" s="424" t="str">
        <f ca="1">IF(CD83="","",CONCATENATE(TEXT($O83,"0"),IF(Start.listina!$Y$5="","",TEXT(500+$P83,"000")),TEXT(999999*RAND(),"000000")))</f>
        <v/>
      </c>
      <c r="CF83" s="318">
        <f t="shared" ca="1" si="41"/>
        <v>0</v>
      </c>
    </row>
    <row r="84" spans="1:84" x14ac:dyDescent="0.4">
      <c r="A84" s="318" t="str">
        <f ca="1">IF(OR(Start.listina!H92&gt;Start.listina!$K$7,Start.listina!G92=TRUE),"",Start.listina!H92)</f>
        <v/>
      </c>
      <c r="B84" s="318" t="str">
        <f ca="1">IF($A84&gt;Start.listina!$K$7,"",INT(($A84-1)/Start.listina!$O$7)+1)</f>
        <v/>
      </c>
      <c r="C84" s="421" t="str">
        <f ca="1">IF(OR(Start.listina!H92&gt;Start.listina!$K$7,Start.listina!G92=TRUE)," - ",Start.listina!AL92)</f>
        <v xml:space="preserve"> - </v>
      </c>
      <c r="D84" s="318" t="str">
        <f ca="1">IF(OR(A84&gt;Start.listina!$K$7,TYPE(VLOOKUP(A84,$V$3:$X$130,3,0))&gt;3),"",VLOOKUP(A84,$V$3:$X$130,3,0))</f>
        <v/>
      </c>
      <c r="E84" s="422" t="str">
        <f ca="1">IF(A84&gt;Start.listina!$K$7,"",IF(MIN(F84:K84)&gt;Start.listina!$Y$4,D84,MIN(F84:K84)))</f>
        <v/>
      </c>
      <c r="F84" s="318">
        <f ca="1">IF(TYPE(VLOOKUP(C84,Konečné_pořadí_1_16!$B$2:$D$17,3,0))&lt;4,VLOOKUP(C84,Konečné_pořadí_1_16!$B$2:$D$17,3,0),999)</f>
        <v>999</v>
      </c>
      <c r="G84" s="318">
        <f ca="1">IF(TYPE(VLOOKUP(C84,'KO64'!$D$4:$D$129,1,0))&lt;4,64,999)</f>
        <v>64</v>
      </c>
      <c r="H84" s="318">
        <f ca="1">IF(TYPE(VLOOKUP(C84,'KO32'!$D$4:$D$65,1,0))&lt;4,32,999)</f>
        <v>32</v>
      </c>
      <c r="I84" s="318">
        <f ca="1">IF(TYPE(VLOOKUP(C84,'KO16'!$D$4:$D$33,1,0))&lt;4,16,999)</f>
        <v>999</v>
      </c>
      <c r="J84" s="318">
        <f ca="1">IF(TYPE(VLOOKUP(C84,'KO8'!$D$4:$D$17,1,0))&lt;4,8,999)</f>
        <v>999</v>
      </c>
      <c r="K84" s="318">
        <f ca="1">IF(TYPE(VLOOKUP(C84,'KO4'!$D$4:$D$9,1,0))&lt;4,4,999)</f>
        <v>999</v>
      </c>
      <c r="M84" s="319">
        <v>82</v>
      </c>
      <c r="O84" s="318">
        <f t="shared" ca="1" si="42"/>
        <v>0</v>
      </c>
      <c r="P84" s="318">
        <f t="shared" ca="1" si="43"/>
        <v>0</v>
      </c>
      <c r="Q84" s="318">
        <f t="shared" ca="1" si="34"/>
        <v>2</v>
      </c>
      <c r="R84" s="318">
        <f t="shared" ca="1" si="35"/>
        <v>0</v>
      </c>
      <c r="S84" s="318">
        <f t="shared" ca="1" si="44"/>
        <v>18</v>
      </c>
      <c r="T84" s="318">
        <f t="shared" ca="1" si="45"/>
        <v>0</v>
      </c>
      <c r="U84" s="397">
        <f t="shared" si="59"/>
        <v>82</v>
      </c>
      <c r="V84" s="397" t="s">
        <v>1869</v>
      </c>
      <c r="W84" s="423" t="str">
        <f ca="1">IF($V84="","",CONCATENATE(TEXT($O84,"0"),IF(Start.listina!$Y$5="","",TEXT(500+$P84,"0000")),IF(Start.listina!$Y$6="","",CHOOSE(Start.listina!$Y$7,TEXT($Q84,"00"),CONCATENATE(TEXT($Q84,"00"),TEXT($S84,"000")), TEXT($R84,"00"))),TEXT(500+$P84,"0000"),IF(Start.listina!$Y$8="","",TEXT($T84,"0")),TEXT(999999*RAND(),"000000")))</f>
        <v/>
      </c>
      <c r="X84" s="399">
        <f t="shared" si="46"/>
        <v>82</v>
      </c>
      <c r="Y84" s="397">
        <f t="shared" ca="1" si="36"/>
        <v>0</v>
      </c>
      <c r="Z84" s="318">
        <f t="shared" ca="1" si="47"/>
        <v>57</v>
      </c>
      <c r="AA84" s="318" t="str">
        <f t="shared" ca="1" si="48"/>
        <v/>
      </c>
      <c r="AB84" s="318" t="str">
        <f t="shared" ca="1" si="49"/>
        <v/>
      </c>
      <c r="AC84" s="318" t="str">
        <f t="shared" ca="1" si="50"/>
        <v/>
      </c>
      <c r="AD84" s="318" t="str">
        <f t="shared" ca="1" si="51"/>
        <v/>
      </c>
      <c r="AE84" s="318" t="str">
        <f t="shared" ca="1" si="52"/>
        <v/>
      </c>
      <c r="AG84" s="318">
        <f ca="1">IF(TYPE(VLOOKUP($A84,'1.kolo'!$L$3:$L$66,1,0))&gt;3,VLOOKUP($A84,'1.kolo'!$K$3:$L$66,2,0),VLOOKUP($A84,'1.kolo'!$L$3:$O$66,4,0))</f>
        <v>57</v>
      </c>
      <c r="AH84" s="318">
        <f ca="1">IF(TYPE(VLOOKUP($A84,'1.kolo'!$L$3:$L$66,1,0))&gt;3,VLOOKUP($A84,'1.kolo'!$O$3:$Q$66,2,0),VLOOKUP($A84,'1.kolo'!$L$3:$N$66,2,0))</f>
        <v>0</v>
      </c>
      <c r="AI84" s="318">
        <f ca="1">IF(TYPE(VLOOKUP($A84,'1.kolo'!$L$3:$L$66,1,0))&gt;3,VLOOKUP($A84,'1.kolo'!$O$3:$Q$66,3,0),VLOOKUP($A84,'1.kolo'!$L$3:$N$66,3,0))</f>
        <v>0</v>
      </c>
      <c r="AJ84" s="318">
        <f t="shared" ca="1" si="53"/>
        <v>0</v>
      </c>
      <c r="AK84" s="318">
        <v>82</v>
      </c>
      <c r="AL84" s="424"/>
      <c r="AP84" s="318" t="str">
        <f ca="1">IF(TYPE(VLOOKUP($A84,'2.kolo'!$L$3:$L$66,1,0))&gt;3,IF(TYPE(VLOOKUP($A84,'2.kolo'!$K$3:$L$66,2,0))&gt;3,0,VLOOKUP($A84,'2.kolo'!$K$3:$L$66,2,0)),VLOOKUP($A84,'2.kolo'!$L$3:$O$66,4,0))</f>
        <v/>
      </c>
      <c r="AQ84" s="318">
        <f ca="1">IF(TYPE(VLOOKUP($A84,'2.kolo'!$L$3:$L$66,1,0))&gt;3,IF(TYPE(VLOOKUP($A84,'2.kolo'!$O$3:$Q$66,2,0))&gt;3,0,VLOOKUP($A84,'2.kolo'!$O$3:$Q$66,2,0)),VLOOKUP($A84,'2.kolo'!$L$3:$N$66,2,0))</f>
        <v>0</v>
      </c>
      <c r="AR84" s="318">
        <f ca="1">IF(TYPE(VLOOKUP($A84,'2.kolo'!$L$3:$L$66,1,0))&gt;3,IF(TYPE(VLOOKUP($A84,'2.kolo'!$O$3:$Q$66,3,0))&gt;3,0,VLOOKUP($A84,'2.kolo'!$O$3:$Q$66,3,0)),VLOOKUP($A84,'2.kolo'!$L$3:$N$66,3,0))</f>
        <v>0</v>
      </c>
      <c r="AS84" s="318">
        <f t="shared" ca="1" si="54"/>
        <v>0</v>
      </c>
      <c r="AT84" s="397" t="s">
        <v>1869</v>
      </c>
      <c r="AU84" s="424" t="str">
        <f ca="1">IF(AT84="","",CONCATENATE(TEXT($O84,"0"),IF(Start.listina!$Y$5="","",TEXT(500+$P84,"000")),TEXT(999999*RAND(),"000000")))</f>
        <v/>
      </c>
      <c r="AV84" s="318">
        <f t="shared" ca="1" si="37"/>
        <v>0</v>
      </c>
      <c r="AY84" s="318" t="str">
        <f ca="1">IF(TYPE(VLOOKUP($A84,'3.kolo'!$L$3:$L$66,1,0))&gt;3,IF(TYPE(VLOOKUP($A84,'3.kolo'!$K$3:$L$66,2,0))&gt;3,0,VLOOKUP($A84,'3.kolo'!$K$3:$L$66,2,0)),VLOOKUP($A84,'3.kolo'!$L$3:$O$66,4,0))</f>
        <v/>
      </c>
      <c r="AZ84" s="318">
        <f ca="1">IF(TYPE(VLOOKUP($A84,'3.kolo'!$L$3:$L$66,1,0))&gt;3,IF(TYPE(VLOOKUP($A84,'3.kolo'!$O$3:$Q$66,2,0))&gt;3,0,VLOOKUP($A84,'3.kolo'!$O$3:$Q$66,2,0)),VLOOKUP($A84,'3.kolo'!$L$3:$N$66,2,0))</f>
        <v>0</v>
      </c>
      <c r="BA84" s="318">
        <f ca="1">IF(TYPE(VLOOKUP($A84,'3.kolo'!$L$3:$L$66,1,0))&gt;3,IF(TYPE(VLOOKUP($A84,'3.kolo'!$O$3:$Q$66,3,0))&gt;3,0,VLOOKUP($A84,'3.kolo'!$O$3:$Q$66,3,0)),VLOOKUP($A84,'3.kolo'!$L$3:$N$66,3,0))</f>
        <v>0</v>
      </c>
      <c r="BB84" s="318">
        <f t="shared" ca="1" si="55"/>
        <v>0</v>
      </c>
      <c r="BC84" s="397" t="s">
        <v>1869</v>
      </c>
      <c r="BD84" s="424" t="str">
        <f ca="1">IF(BC84="","",CONCATENATE(TEXT($O84,"0"),IF(Start.listina!$Y$5="","",TEXT(500+$P84,"000")),TEXT(999999*RAND(),"000000")))</f>
        <v/>
      </c>
      <c r="BE84" s="318">
        <f t="shared" ca="1" si="38"/>
        <v>0</v>
      </c>
      <c r="BH84" s="318" t="str">
        <f ca="1">IF(TYPE(VLOOKUP($A84,'4.kolo'!$L$3:$L$66,1,0))&gt;3,IF(TYPE(VLOOKUP($A84,'4.kolo'!$K$3:$L$66,2,0))&gt;3,0,VLOOKUP($A84,'4.kolo'!$K$3:$L$66,2,0)),VLOOKUP($A84,'4.kolo'!$L$3:$O$66,4,0))</f>
        <v/>
      </c>
      <c r="BI84" s="318">
        <f ca="1">IF(TYPE(VLOOKUP($A84,'4.kolo'!$L$3:$L$66,1,0))&gt;3,IF(TYPE(VLOOKUP($A84,'4.kolo'!$O$3:$Q$66,2,0))&gt;3,0,VLOOKUP($A84,'4.kolo'!$O$3:$Q$66,2,0)),VLOOKUP($A84,'4.kolo'!$L$3:$N$66,2,0))</f>
        <v>0</v>
      </c>
      <c r="BJ84" s="318">
        <f ca="1">IF(TYPE(VLOOKUP($A84,'4.kolo'!$L$3:$L$66,1,0))&gt;3,IF(TYPE(VLOOKUP($A84,'4.kolo'!$O$3:$Q$66,3,0))&gt;3,0,VLOOKUP($A84,'4.kolo'!$O$3:$Q$66,3,0)),VLOOKUP($A84,'4.kolo'!$L$3:$N$66,3,0))</f>
        <v>0</v>
      </c>
      <c r="BK84" s="318">
        <f t="shared" ca="1" si="56"/>
        <v>0</v>
      </c>
      <c r="BL84" s="397" t="s">
        <v>1869</v>
      </c>
      <c r="BM84" s="424" t="str">
        <f ca="1">IF(BL84="","",CONCATENATE(TEXT($O84,"0"),IF(Start.listina!$Y$5="","",TEXT(500+$P84,"000")),TEXT(999999*RAND(),"000000")))</f>
        <v/>
      </c>
      <c r="BN84" s="318">
        <f t="shared" ca="1" si="39"/>
        <v>0</v>
      </c>
      <c r="BQ84" s="318" t="str">
        <f ca="1">IF(TYPE(VLOOKUP($A84,'5.kolo'!$L$3:$L$66,1,0))&gt;3,IF(TYPE(VLOOKUP($A84,'5.kolo'!$K$3:$L$66,2,0))&gt;3,0,VLOOKUP($A84,'5.kolo'!$K$3:$L$66,2,0)),VLOOKUP($A84,'5.kolo'!$L$3:$O$66,4,0))</f>
        <v/>
      </c>
      <c r="BR84" s="318">
        <f ca="1">IF(TYPE(VLOOKUP($A84,'5.kolo'!$L$3:$L$66,1,0))&gt;3,IF(TYPE(VLOOKUP($A84,'5.kolo'!$O$3:$Q$66,2,0))&gt;3,0,VLOOKUP($A84,'5.kolo'!$O$3:$Q$66,2,0)),VLOOKUP($A84,'5.kolo'!$L$3:$N$66,2,0))</f>
        <v>0</v>
      </c>
      <c r="BS84" s="318">
        <f ca="1">IF(TYPE(VLOOKUP($A84,'5.kolo'!$L$3:$L$66,1,0))&gt;3,IF(TYPE(VLOOKUP($A84,'5.kolo'!$O$3:$Q$66,3,0))&gt;3,0,VLOOKUP($A84,'5.kolo'!$O$3:$Q$66,3,0)),VLOOKUP($A84,'5.kolo'!$L$3:$N$66,3,0))</f>
        <v>0</v>
      </c>
      <c r="BT84" s="318">
        <f t="shared" ca="1" si="57"/>
        <v>0</v>
      </c>
      <c r="BU84" s="397"/>
      <c r="BV84" s="424" t="str">
        <f ca="1">IF(BU84="","",CONCATENATE(TEXT($O84,"0"),IF(Start.listina!$Y$5="","",TEXT(500+$P84,"000")),TEXT(999999*RAND(),"000000")))</f>
        <v/>
      </c>
      <c r="BW84" s="318">
        <f t="shared" ca="1" si="40"/>
        <v>0</v>
      </c>
      <c r="BZ84" s="318" t="str">
        <f ca="1">IF(TYPE(VLOOKUP($A84,'6.kolo'!$L$3:$L$66,1,0))&gt;3,IF(TYPE(VLOOKUP($A84,'6.kolo'!$K$3:$L$66,2,0))&gt;3,0,VLOOKUP($A84,'6.kolo'!$K$3:$L$66,2,0)),VLOOKUP($A84,'6.kolo'!$L$3:$O$66,4,0))</f>
        <v/>
      </c>
      <c r="CA84" s="318">
        <f ca="1">IF(TYPE(VLOOKUP($A84,'6.kolo'!$L$3:$L$66,1,0))&gt;3,IF(TYPE(VLOOKUP($A84,'6.kolo'!$O$3:$Q$66,2,0))&gt;3,0,VLOOKUP($A84,'6.kolo'!$O$3:$Q$66,2,0)),VLOOKUP($A84,'6.kolo'!$L$3:$N$66,2,0))</f>
        <v>0</v>
      </c>
      <c r="CB84" s="318">
        <f ca="1">IF(TYPE(VLOOKUP($A84,'6.kolo'!$L$3:$L$66,1,0))&gt;3,IF(TYPE(VLOOKUP($A84,'6.kolo'!$O$3:$Q$66,3,0))&gt;3,0,VLOOKUP($A84,'6.kolo'!$O$3:$Q$66,3,0)),VLOOKUP($A84,'6.kolo'!$L$3:$N$66,3,0))</f>
        <v>0</v>
      </c>
      <c r="CC84" s="318">
        <f t="shared" ca="1" si="58"/>
        <v>0</v>
      </c>
      <c r="CD84" s="397"/>
      <c r="CE84" s="424" t="str">
        <f ca="1">IF(CD84="","",CONCATENATE(TEXT($O84,"0"),IF(Start.listina!$Y$5="","",TEXT(500+$P84,"000")),TEXT(999999*RAND(),"000000")))</f>
        <v/>
      </c>
      <c r="CF84" s="318">
        <f t="shared" ca="1" si="41"/>
        <v>0</v>
      </c>
    </row>
    <row r="85" spans="1:84" x14ac:dyDescent="0.4">
      <c r="A85" s="318" t="str">
        <f ca="1">IF(OR(Start.listina!H93&gt;Start.listina!$K$7,Start.listina!G93=TRUE),"",Start.listina!H93)</f>
        <v/>
      </c>
      <c r="B85" s="318" t="str">
        <f ca="1">IF($A85&gt;Start.listina!$K$7,"",INT(($A85-1)/Start.listina!$O$7)+1)</f>
        <v/>
      </c>
      <c r="C85" s="421" t="str">
        <f ca="1">IF(OR(Start.listina!H93&gt;Start.listina!$K$7,Start.listina!G93=TRUE)," - ",Start.listina!AL93)</f>
        <v xml:space="preserve"> - </v>
      </c>
      <c r="D85" s="318" t="str">
        <f ca="1">IF(OR(A85&gt;Start.listina!$K$7,TYPE(VLOOKUP(A85,$V$3:$X$130,3,0))&gt;3),"",VLOOKUP(A85,$V$3:$X$130,3,0))</f>
        <v/>
      </c>
      <c r="E85" s="422" t="str">
        <f ca="1">IF(A85&gt;Start.listina!$K$7,"",IF(MIN(F85:K85)&gt;Start.listina!$Y$4,D85,MIN(F85:K85)))</f>
        <v/>
      </c>
      <c r="F85" s="318">
        <f ca="1">IF(TYPE(VLOOKUP(C85,Konečné_pořadí_1_16!$B$2:$D$17,3,0))&lt;4,VLOOKUP(C85,Konečné_pořadí_1_16!$B$2:$D$17,3,0),999)</f>
        <v>999</v>
      </c>
      <c r="G85" s="318">
        <f ca="1">IF(TYPE(VLOOKUP(C85,'KO64'!$D$4:$D$129,1,0))&lt;4,64,999)</f>
        <v>64</v>
      </c>
      <c r="H85" s="318">
        <f ca="1">IF(TYPE(VLOOKUP(C85,'KO32'!$D$4:$D$65,1,0))&lt;4,32,999)</f>
        <v>32</v>
      </c>
      <c r="I85" s="318">
        <f ca="1">IF(TYPE(VLOOKUP(C85,'KO16'!$D$4:$D$33,1,0))&lt;4,16,999)</f>
        <v>999</v>
      </c>
      <c r="J85" s="318">
        <f ca="1">IF(TYPE(VLOOKUP(C85,'KO8'!$D$4:$D$17,1,0))&lt;4,8,999)</f>
        <v>999</v>
      </c>
      <c r="K85" s="318">
        <f ca="1">IF(TYPE(VLOOKUP(C85,'KO4'!$D$4:$D$9,1,0))&lt;4,4,999)</f>
        <v>999</v>
      </c>
      <c r="M85" s="319">
        <v>83</v>
      </c>
      <c r="O85" s="318">
        <f t="shared" ca="1" si="42"/>
        <v>0</v>
      </c>
      <c r="P85" s="318">
        <f t="shared" ca="1" si="43"/>
        <v>0</v>
      </c>
      <c r="Q85" s="318">
        <f t="shared" ca="1" si="34"/>
        <v>2</v>
      </c>
      <c r="R85" s="318">
        <f t="shared" ca="1" si="35"/>
        <v>0</v>
      </c>
      <c r="S85" s="318">
        <f t="shared" ca="1" si="44"/>
        <v>18</v>
      </c>
      <c r="T85" s="318">
        <f t="shared" ca="1" si="45"/>
        <v>0</v>
      </c>
      <c r="U85" s="397">
        <f t="shared" si="59"/>
        <v>83</v>
      </c>
      <c r="V85" s="397" t="s">
        <v>1869</v>
      </c>
      <c r="W85" s="423" t="str">
        <f ca="1">IF($V85="","",CONCATENATE(TEXT($O85,"0"),IF(Start.listina!$Y$5="","",TEXT(500+$P85,"0000")),IF(Start.listina!$Y$6="","",CHOOSE(Start.listina!$Y$7,TEXT($Q85,"00"),CONCATENATE(TEXT($Q85,"00"),TEXT($S85,"000")), TEXT($R85,"00"))),TEXT(500+$P85,"0000"),IF(Start.listina!$Y$8="","",TEXT($T85,"0")),TEXT(999999*RAND(),"000000")))</f>
        <v/>
      </c>
      <c r="X85" s="399">
        <f t="shared" si="46"/>
        <v>83</v>
      </c>
      <c r="Y85" s="397">
        <f t="shared" ca="1" si="36"/>
        <v>0</v>
      </c>
      <c r="Z85" s="318">
        <f t="shared" ca="1" si="47"/>
        <v>57</v>
      </c>
      <c r="AA85" s="318" t="str">
        <f t="shared" ca="1" si="48"/>
        <v/>
      </c>
      <c r="AB85" s="318" t="str">
        <f t="shared" ca="1" si="49"/>
        <v/>
      </c>
      <c r="AC85" s="318" t="str">
        <f t="shared" ca="1" si="50"/>
        <v/>
      </c>
      <c r="AD85" s="318" t="str">
        <f t="shared" ca="1" si="51"/>
        <v/>
      </c>
      <c r="AE85" s="318" t="str">
        <f t="shared" ca="1" si="52"/>
        <v/>
      </c>
      <c r="AG85" s="318">
        <f ca="1">IF(TYPE(VLOOKUP($A85,'1.kolo'!$L$3:$L$66,1,0))&gt;3,VLOOKUP($A85,'1.kolo'!$K$3:$L$66,2,0),VLOOKUP($A85,'1.kolo'!$L$3:$O$66,4,0))</f>
        <v>57</v>
      </c>
      <c r="AH85" s="318">
        <f ca="1">IF(TYPE(VLOOKUP($A85,'1.kolo'!$L$3:$L$66,1,0))&gt;3,VLOOKUP($A85,'1.kolo'!$O$3:$Q$66,2,0),VLOOKUP($A85,'1.kolo'!$L$3:$N$66,2,0))</f>
        <v>0</v>
      </c>
      <c r="AI85" s="318">
        <f ca="1">IF(TYPE(VLOOKUP($A85,'1.kolo'!$L$3:$L$66,1,0))&gt;3,VLOOKUP($A85,'1.kolo'!$O$3:$Q$66,3,0),VLOOKUP($A85,'1.kolo'!$L$3:$N$66,3,0))</f>
        <v>0</v>
      </c>
      <c r="AJ85" s="318">
        <f t="shared" ca="1" si="53"/>
        <v>0</v>
      </c>
      <c r="AK85" s="318">
        <v>83</v>
      </c>
      <c r="AL85" s="424"/>
      <c r="AP85" s="318" t="str">
        <f ca="1">IF(TYPE(VLOOKUP($A85,'2.kolo'!$L$3:$L$66,1,0))&gt;3,IF(TYPE(VLOOKUP($A85,'2.kolo'!$K$3:$L$66,2,0))&gt;3,0,VLOOKUP($A85,'2.kolo'!$K$3:$L$66,2,0)),VLOOKUP($A85,'2.kolo'!$L$3:$O$66,4,0))</f>
        <v/>
      </c>
      <c r="AQ85" s="318">
        <f ca="1">IF(TYPE(VLOOKUP($A85,'2.kolo'!$L$3:$L$66,1,0))&gt;3,IF(TYPE(VLOOKUP($A85,'2.kolo'!$O$3:$Q$66,2,0))&gt;3,0,VLOOKUP($A85,'2.kolo'!$O$3:$Q$66,2,0)),VLOOKUP($A85,'2.kolo'!$L$3:$N$66,2,0))</f>
        <v>0</v>
      </c>
      <c r="AR85" s="318">
        <f ca="1">IF(TYPE(VLOOKUP($A85,'2.kolo'!$L$3:$L$66,1,0))&gt;3,IF(TYPE(VLOOKUP($A85,'2.kolo'!$O$3:$Q$66,3,0))&gt;3,0,VLOOKUP($A85,'2.kolo'!$O$3:$Q$66,3,0)),VLOOKUP($A85,'2.kolo'!$L$3:$N$66,3,0))</f>
        <v>0</v>
      </c>
      <c r="AS85" s="318">
        <f t="shared" ca="1" si="54"/>
        <v>0</v>
      </c>
      <c r="AT85" s="397" t="s">
        <v>1869</v>
      </c>
      <c r="AU85" s="424" t="str">
        <f ca="1">IF(AT85="","",CONCATENATE(TEXT($O85,"0"),IF(Start.listina!$Y$5="","",TEXT(500+$P85,"000")),TEXT(999999*RAND(),"000000")))</f>
        <v/>
      </c>
      <c r="AV85" s="318">
        <f t="shared" ca="1" si="37"/>
        <v>0</v>
      </c>
      <c r="AY85" s="318" t="str">
        <f ca="1">IF(TYPE(VLOOKUP($A85,'3.kolo'!$L$3:$L$66,1,0))&gt;3,IF(TYPE(VLOOKUP($A85,'3.kolo'!$K$3:$L$66,2,0))&gt;3,0,VLOOKUP($A85,'3.kolo'!$K$3:$L$66,2,0)),VLOOKUP($A85,'3.kolo'!$L$3:$O$66,4,0))</f>
        <v/>
      </c>
      <c r="AZ85" s="318">
        <f ca="1">IF(TYPE(VLOOKUP($A85,'3.kolo'!$L$3:$L$66,1,0))&gt;3,IF(TYPE(VLOOKUP($A85,'3.kolo'!$O$3:$Q$66,2,0))&gt;3,0,VLOOKUP($A85,'3.kolo'!$O$3:$Q$66,2,0)),VLOOKUP($A85,'3.kolo'!$L$3:$N$66,2,0))</f>
        <v>0</v>
      </c>
      <c r="BA85" s="318">
        <f ca="1">IF(TYPE(VLOOKUP($A85,'3.kolo'!$L$3:$L$66,1,0))&gt;3,IF(TYPE(VLOOKUP($A85,'3.kolo'!$O$3:$Q$66,3,0))&gt;3,0,VLOOKUP($A85,'3.kolo'!$O$3:$Q$66,3,0)),VLOOKUP($A85,'3.kolo'!$L$3:$N$66,3,0))</f>
        <v>0</v>
      </c>
      <c r="BB85" s="318">
        <f t="shared" ca="1" si="55"/>
        <v>0</v>
      </c>
      <c r="BC85" s="397" t="s">
        <v>1869</v>
      </c>
      <c r="BD85" s="424" t="str">
        <f ca="1">IF(BC85="","",CONCATENATE(TEXT($O85,"0"),IF(Start.listina!$Y$5="","",TEXT(500+$P85,"000")),TEXT(999999*RAND(),"000000")))</f>
        <v/>
      </c>
      <c r="BE85" s="318">
        <f t="shared" ca="1" si="38"/>
        <v>0</v>
      </c>
      <c r="BH85" s="318" t="str">
        <f ca="1">IF(TYPE(VLOOKUP($A85,'4.kolo'!$L$3:$L$66,1,0))&gt;3,IF(TYPE(VLOOKUP($A85,'4.kolo'!$K$3:$L$66,2,0))&gt;3,0,VLOOKUP($A85,'4.kolo'!$K$3:$L$66,2,0)),VLOOKUP($A85,'4.kolo'!$L$3:$O$66,4,0))</f>
        <v/>
      </c>
      <c r="BI85" s="318">
        <f ca="1">IF(TYPE(VLOOKUP($A85,'4.kolo'!$L$3:$L$66,1,0))&gt;3,IF(TYPE(VLOOKUP($A85,'4.kolo'!$O$3:$Q$66,2,0))&gt;3,0,VLOOKUP($A85,'4.kolo'!$O$3:$Q$66,2,0)),VLOOKUP($A85,'4.kolo'!$L$3:$N$66,2,0))</f>
        <v>0</v>
      </c>
      <c r="BJ85" s="318">
        <f ca="1">IF(TYPE(VLOOKUP($A85,'4.kolo'!$L$3:$L$66,1,0))&gt;3,IF(TYPE(VLOOKUP($A85,'4.kolo'!$O$3:$Q$66,3,0))&gt;3,0,VLOOKUP($A85,'4.kolo'!$O$3:$Q$66,3,0)),VLOOKUP($A85,'4.kolo'!$L$3:$N$66,3,0))</f>
        <v>0</v>
      </c>
      <c r="BK85" s="318">
        <f t="shared" ca="1" si="56"/>
        <v>0</v>
      </c>
      <c r="BL85" s="397" t="s">
        <v>1869</v>
      </c>
      <c r="BM85" s="424" t="str">
        <f ca="1">IF(BL85="","",CONCATENATE(TEXT($O85,"0"),IF(Start.listina!$Y$5="","",TEXT(500+$P85,"000")),TEXT(999999*RAND(),"000000")))</f>
        <v/>
      </c>
      <c r="BN85" s="318">
        <f t="shared" ca="1" si="39"/>
        <v>0</v>
      </c>
      <c r="BQ85" s="318" t="str">
        <f ca="1">IF(TYPE(VLOOKUP($A85,'5.kolo'!$L$3:$L$66,1,0))&gt;3,IF(TYPE(VLOOKUP($A85,'5.kolo'!$K$3:$L$66,2,0))&gt;3,0,VLOOKUP($A85,'5.kolo'!$K$3:$L$66,2,0)),VLOOKUP($A85,'5.kolo'!$L$3:$O$66,4,0))</f>
        <v/>
      </c>
      <c r="BR85" s="318">
        <f ca="1">IF(TYPE(VLOOKUP($A85,'5.kolo'!$L$3:$L$66,1,0))&gt;3,IF(TYPE(VLOOKUP($A85,'5.kolo'!$O$3:$Q$66,2,0))&gt;3,0,VLOOKUP($A85,'5.kolo'!$O$3:$Q$66,2,0)),VLOOKUP($A85,'5.kolo'!$L$3:$N$66,2,0))</f>
        <v>0</v>
      </c>
      <c r="BS85" s="318">
        <f ca="1">IF(TYPE(VLOOKUP($A85,'5.kolo'!$L$3:$L$66,1,0))&gt;3,IF(TYPE(VLOOKUP($A85,'5.kolo'!$O$3:$Q$66,3,0))&gt;3,0,VLOOKUP($A85,'5.kolo'!$O$3:$Q$66,3,0)),VLOOKUP($A85,'5.kolo'!$L$3:$N$66,3,0))</f>
        <v>0</v>
      </c>
      <c r="BT85" s="318">
        <f t="shared" ca="1" si="57"/>
        <v>0</v>
      </c>
      <c r="BU85" s="397"/>
      <c r="BV85" s="424" t="str">
        <f ca="1">IF(BU85="","",CONCATENATE(TEXT($O85,"0"),IF(Start.listina!$Y$5="","",TEXT(500+$P85,"000")),TEXT(999999*RAND(),"000000")))</f>
        <v/>
      </c>
      <c r="BW85" s="318">
        <f t="shared" ca="1" si="40"/>
        <v>0</v>
      </c>
      <c r="BZ85" s="318" t="str">
        <f ca="1">IF(TYPE(VLOOKUP($A85,'6.kolo'!$L$3:$L$66,1,0))&gt;3,IF(TYPE(VLOOKUP($A85,'6.kolo'!$K$3:$L$66,2,0))&gt;3,0,VLOOKUP($A85,'6.kolo'!$K$3:$L$66,2,0)),VLOOKUP($A85,'6.kolo'!$L$3:$O$66,4,0))</f>
        <v/>
      </c>
      <c r="CA85" s="318">
        <f ca="1">IF(TYPE(VLOOKUP($A85,'6.kolo'!$L$3:$L$66,1,0))&gt;3,IF(TYPE(VLOOKUP($A85,'6.kolo'!$O$3:$Q$66,2,0))&gt;3,0,VLOOKUP($A85,'6.kolo'!$O$3:$Q$66,2,0)),VLOOKUP($A85,'6.kolo'!$L$3:$N$66,2,0))</f>
        <v>0</v>
      </c>
      <c r="CB85" s="318">
        <f ca="1">IF(TYPE(VLOOKUP($A85,'6.kolo'!$L$3:$L$66,1,0))&gt;3,IF(TYPE(VLOOKUP($A85,'6.kolo'!$O$3:$Q$66,3,0))&gt;3,0,VLOOKUP($A85,'6.kolo'!$O$3:$Q$66,3,0)),VLOOKUP($A85,'6.kolo'!$L$3:$N$66,3,0))</f>
        <v>0</v>
      </c>
      <c r="CC85" s="318">
        <f t="shared" ca="1" si="58"/>
        <v>0</v>
      </c>
      <c r="CD85" s="397"/>
      <c r="CE85" s="424" t="str">
        <f ca="1">IF(CD85="","",CONCATENATE(TEXT($O85,"0"),IF(Start.listina!$Y$5="","",TEXT(500+$P85,"000")),TEXT(999999*RAND(),"000000")))</f>
        <v/>
      </c>
      <c r="CF85" s="318">
        <f t="shared" ca="1" si="41"/>
        <v>0</v>
      </c>
    </row>
    <row r="86" spans="1:84" x14ac:dyDescent="0.4">
      <c r="A86" s="318" t="str">
        <f ca="1">IF(OR(Start.listina!H94&gt;Start.listina!$K$7,Start.listina!G94=TRUE),"",Start.listina!H94)</f>
        <v/>
      </c>
      <c r="B86" s="318" t="str">
        <f ca="1">IF($A86&gt;Start.listina!$K$7,"",INT(($A86-1)/Start.listina!$O$7)+1)</f>
        <v/>
      </c>
      <c r="C86" s="421" t="str">
        <f ca="1">IF(OR(Start.listina!H94&gt;Start.listina!$K$7,Start.listina!G94=TRUE)," - ",Start.listina!AL94)</f>
        <v xml:space="preserve"> - </v>
      </c>
      <c r="D86" s="318" t="str">
        <f ca="1">IF(OR(A86&gt;Start.listina!$K$7,TYPE(VLOOKUP(A86,$V$3:$X$130,3,0))&gt;3),"",VLOOKUP(A86,$V$3:$X$130,3,0))</f>
        <v/>
      </c>
      <c r="E86" s="422" t="str">
        <f ca="1">IF(A86&gt;Start.listina!$K$7,"",IF(MIN(F86:K86)&gt;Start.listina!$Y$4,D86,MIN(F86:K86)))</f>
        <v/>
      </c>
      <c r="F86" s="318">
        <f ca="1">IF(TYPE(VLOOKUP(C86,Konečné_pořadí_1_16!$B$2:$D$17,3,0))&lt;4,VLOOKUP(C86,Konečné_pořadí_1_16!$B$2:$D$17,3,0),999)</f>
        <v>999</v>
      </c>
      <c r="G86" s="318">
        <f ca="1">IF(TYPE(VLOOKUP(C86,'KO64'!$D$4:$D$129,1,0))&lt;4,64,999)</f>
        <v>64</v>
      </c>
      <c r="H86" s="318">
        <f ca="1">IF(TYPE(VLOOKUP(C86,'KO32'!$D$4:$D$65,1,0))&lt;4,32,999)</f>
        <v>32</v>
      </c>
      <c r="I86" s="318">
        <f ca="1">IF(TYPE(VLOOKUP(C86,'KO16'!$D$4:$D$33,1,0))&lt;4,16,999)</f>
        <v>999</v>
      </c>
      <c r="J86" s="318">
        <f ca="1">IF(TYPE(VLOOKUP(C86,'KO8'!$D$4:$D$17,1,0))&lt;4,8,999)</f>
        <v>999</v>
      </c>
      <c r="K86" s="318">
        <f ca="1">IF(TYPE(VLOOKUP(C86,'KO4'!$D$4:$D$9,1,0))&lt;4,4,999)</f>
        <v>999</v>
      </c>
      <c r="M86" s="319">
        <v>84</v>
      </c>
      <c r="O86" s="318">
        <f t="shared" ca="1" si="42"/>
        <v>0</v>
      </c>
      <c r="P86" s="318">
        <f t="shared" ca="1" si="43"/>
        <v>0</v>
      </c>
      <c r="Q86" s="318">
        <f t="shared" ca="1" si="34"/>
        <v>2</v>
      </c>
      <c r="R86" s="318">
        <f t="shared" ca="1" si="35"/>
        <v>0</v>
      </c>
      <c r="S86" s="318">
        <f t="shared" ca="1" si="44"/>
        <v>18</v>
      </c>
      <c r="T86" s="318">
        <f t="shared" ca="1" si="45"/>
        <v>0</v>
      </c>
      <c r="U86" s="397">
        <f t="shared" si="59"/>
        <v>84</v>
      </c>
      <c r="V86" s="397" t="s">
        <v>1869</v>
      </c>
      <c r="W86" s="423" t="str">
        <f ca="1">IF($V86="","",CONCATENATE(TEXT($O86,"0"),IF(Start.listina!$Y$5="","",TEXT(500+$P86,"0000")),IF(Start.listina!$Y$6="","",CHOOSE(Start.listina!$Y$7,TEXT($Q86,"00"),CONCATENATE(TEXT($Q86,"00"),TEXT($S86,"000")), TEXT($R86,"00"))),TEXT(500+$P86,"0000"),IF(Start.listina!$Y$8="","",TEXT($T86,"0")),TEXT(999999*RAND(),"000000")))</f>
        <v/>
      </c>
      <c r="X86" s="399">
        <f t="shared" si="46"/>
        <v>84</v>
      </c>
      <c r="Y86" s="397">
        <f t="shared" ca="1" si="36"/>
        <v>0</v>
      </c>
      <c r="Z86" s="318">
        <f t="shared" ca="1" si="47"/>
        <v>57</v>
      </c>
      <c r="AA86" s="318" t="str">
        <f t="shared" ca="1" si="48"/>
        <v/>
      </c>
      <c r="AB86" s="318" t="str">
        <f t="shared" ca="1" si="49"/>
        <v/>
      </c>
      <c r="AC86" s="318" t="str">
        <f t="shared" ca="1" si="50"/>
        <v/>
      </c>
      <c r="AD86" s="318" t="str">
        <f t="shared" ca="1" si="51"/>
        <v/>
      </c>
      <c r="AE86" s="318" t="str">
        <f t="shared" ca="1" si="52"/>
        <v/>
      </c>
      <c r="AG86" s="318">
        <f ca="1">IF(TYPE(VLOOKUP($A86,'1.kolo'!$L$3:$L$66,1,0))&gt;3,VLOOKUP($A86,'1.kolo'!$K$3:$L$66,2,0),VLOOKUP($A86,'1.kolo'!$L$3:$O$66,4,0))</f>
        <v>57</v>
      </c>
      <c r="AH86" s="318">
        <f ca="1">IF(TYPE(VLOOKUP($A86,'1.kolo'!$L$3:$L$66,1,0))&gt;3,VLOOKUP($A86,'1.kolo'!$O$3:$Q$66,2,0),VLOOKUP($A86,'1.kolo'!$L$3:$N$66,2,0))</f>
        <v>0</v>
      </c>
      <c r="AI86" s="318">
        <f ca="1">IF(TYPE(VLOOKUP($A86,'1.kolo'!$L$3:$L$66,1,0))&gt;3,VLOOKUP($A86,'1.kolo'!$O$3:$Q$66,3,0),VLOOKUP($A86,'1.kolo'!$L$3:$N$66,3,0))</f>
        <v>0</v>
      </c>
      <c r="AJ86" s="318">
        <f t="shared" ca="1" si="53"/>
        <v>0</v>
      </c>
      <c r="AK86" s="318">
        <v>84</v>
      </c>
      <c r="AL86" s="424"/>
      <c r="AP86" s="318" t="str">
        <f ca="1">IF(TYPE(VLOOKUP($A86,'2.kolo'!$L$3:$L$66,1,0))&gt;3,IF(TYPE(VLOOKUP($A86,'2.kolo'!$K$3:$L$66,2,0))&gt;3,0,VLOOKUP($A86,'2.kolo'!$K$3:$L$66,2,0)),VLOOKUP($A86,'2.kolo'!$L$3:$O$66,4,0))</f>
        <v/>
      </c>
      <c r="AQ86" s="318">
        <f ca="1">IF(TYPE(VLOOKUP($A86,'2.kolo'!$L$3:$L$66,1,0))&gt;3,IF(TYPE(VLOOKUP($A86,'2.kolo'!$O$3:$Q$66,2,0))&gt;3,0,VLOOKUP($A86,'2.kolo'!$O$3:$Q$66,2,0)),VLOOKUP($A86,'2.kolo'!$L$3:$N$66,2,0))</f>
        <v>0</v>
      </c>
      <c r="AR86" s="318">
        <f ca="1">IF(TYPE(VLOOKUP($A86,'2.kolo'!$L$3:$L$66,1,0))&gt;3,IF(TYPE(VLOOKUP($A86,'2.kolo'!$O$3:$Q$66,3,0))&gt;3,0,VLOOKUP($A86,'2.kolo'!$O$3:$Q$66,3,0)),VLOOKUP($A86,'2.kolo'!$L$3:$N$66,3,0))</f>
        <v>0</v>
      </c>
      <c r="AS86" s="318">
        <f t="shared" ca="1" si="54"/>
        <v>0</v>
      </c>
      <c r="AT86" s="397" t="s">
        <v>1869</v>
      </c>
      <c r="AU86" s="424" t="str">
        <f ca="1">IF(AT86="","",CONCATENATE(TEXT($O86,"0"),IF(Start.listina!$Y$5="","",TEXT(500+$P86,"000")),TEXT(999999*RAND(),"000000")))</f>
        <v/>
      </c>
      <c r="AV86" s="318">
        <f t="shared" ca="1" si="37"/>
        <v>0</v>
      </c>
      <c r="AY86" s="318" t="str">
        <f ca="1">IF(TYPE(VLOOKUP($A86,'3.kolo'!$L$3:$L$66,1,0))&gt;3,IF(TYPE(VLOOKUP($A86,'3.kolo'!$K$3:$L$66,2,0))&gt;3,0,VLOOKUP($A86,'3.kolo'!$K$3:$L$66,2,0)),VLOOKUP($A86,'3.kolo'!$L$3:$O$66,4,0))</f>
        <v/>
      </c>
      <c r="AZ86" s="318">
        <f ca="1">IF(TYPE(VLOOKUP($A86,'3.kolo'!$L$3:$L$66,1,0))&gt;3,IF(TYPE(VLOOKUP($A86,'3.kolo'!$O$3:$Q$66,2,0))&gt;3,0,VLOOKUP($A86,'3.kolo'!$O$3:$Q$66,2,0)),VLOOKUP($A86,'3.kolo'!$L$3:$N$66,2,0))</f>
        <v>0</v>
      </c>
      <c r="BA86" s="318">
        <f ca="1">IF(TYPE(VLOOKUP($A86,'3.kolo'!$L$3:$L$66,1,0))&gt;3,IF(TYPE(VLOOKUP($A86,'3.kolo'!$O$3:$Q$66,3,0))&gt;3,0,VLOOKUP($A86,'3.kolo'!$O$3:$Q$66,3,0)),VLOOKUP($A86,'3.kolo'!$L$3:$N$66,3,0))</f>
        <v>0</v>
      </c>
      <c r="BB86" s="318">
        <f t="shared" ca="1" si="55"/>
        <v>0</v>
      </c>
      <c r="BC86" s="397" t="s">
        <v>1869</v>
      </c>
      <c r="BD86" s="424" t="str">
        <f ca="1">IF(BC86="","",CONCATENATE(TEXT($O86,"0"),IF(Start.listina!$Y$5="","",TEXT(500+$P86,"000")),TEXT(999999*RAND(),"000000")))</f>
        <v/>
      </c>
      <c r="BE86" s="318">
        <f t="shared" ca="1" si="38"/>
        <v>0</v>
      </c>
      <c r="BH86" s="318" t="str">
        <f ca="1">IF(TYPE(VLOOKUP($A86,'4.kolo'!$L$3:$L$66,1,0))&gt;3,IF(TYPE(VLOOKUP($A86,'4.kolo'!$K$3:$L$66,2,0))&gt;3,0,VLOOKUP($A86,'4.kolo'!$K$3:$L$66,2,0)),VLOOKUP($A86,'4.kolo'!$L$3:$O$66,4,0))</f>
        <v/>
      </c>
      <c r="BI86" s="318">
        <f ca="1">IF(TYPE(VLOOKUP($A86,'4.kolo'!$L$3:$L$66,1,0))&gt;3,IF(TYPE(VLOOKUP($A86,'4.kolo'!$O$3:$Q$66,2,0))&gt;3,0,VLOOKUP($A86,'4.kolo'!$O$3:$Q$66,2,0)),VLOOKUP($A86,'4.kolo'!$L$3:$N$66,2,0))</f>
        <v>0</v>
      </c>
      <c r="BJ86" s="318">
        <f ca="1">IF(TYPE(VLOOKUP($A86,'4.kolo'!$L$3:$L$66,1,0))&gt;3,IF(TYPE(VLOOKUP($A86,'4.kolo'!$O$3:$Q$66,3,0))&gt;3,0,VLOOKUP($A86,'4.kolo'!$O$3:$Q$66,3,0)),VLOOKUP($A86,'4.kolo'!$L$3:$N$66,3,0))</f>
        <v>0</v>
      </c>
      <c r="BK86" s="318">
        <f t="shared" ca="1" si="56"/>
        <v>0</v>
      </c>
      <c r="BL86" s="397" t="s">
        <v>1869</v>
      </c>
      <c r="BM86" s="424" t="str">
        <f ca="1">IF(BL86="","",CONCATENATE(TEXT($O86,"0"),IF(Start.listina!$Y$5="","",TEXT(500+$P86,"000")),TEXT(999999*RAND(),"000000")))</f>
        <v/>
      </c>
      <c r="BN86" s="318">
        <f t="shared" ca="1" si="39"/>
        <v>0</v>
      </c>
      <c r="BQ86" s="318" t="str">
        <f ca="1">IF(TYPE(VLOOKUP($A86,'5.kolo'!$L$3:$L$66,1,0))&gt;3,IF(TYPE(VLOOKUP($A86,'5.kolo'!$K$3:$L$66,2,0))&gt;3,0,VLOOKUP($A86,'5.kolo'!$K$3:$L$66,2,0)),VLOOKUP($A86,'5.kolo'!$L$3:$O$66,4,0))</f>
        <v/>
      </c>
      <c r="BR86" s="318">
        <f ca="1">IF(TYPE(VLOOKUP($A86,'5.kolo'!$L$3:$L$66,1,0))&gt;3,IF(TYPE(VLOOKUP($A86,'5.kolo'!$O$3:$Q$66,2,0))&gt;3,0,VLOOKUP($A86,'5.kolo'!$O$3:$Q$66,2,0)),VLOOKUP($A86,'5.kolo'!$L$3:$N$66,2,0))</f>
        <v>0</v>
      </c>
      <c r="BS86" s="318">
        <f ca="1">IF(TYPE(VLOOKUP($A86,'5.kolo'!$L$3:$L$66,1,0))&gt;3,IF(TYPE(VLOOKUP($A86,'5.kolo'!$O$3:$Q$66,3,0))&gt;3,0,VLOOKUP($A86,'5.kolo'!$O$3:$Q$66,3,0)),VLOOKUP($A86,'5.kolo'!$L$3:$N$66,3,0))</f>
        <v>0</v>
      </c>
      <c r="BT86" s="318">
        <f t="shared" ca="1" si="57"/>
        <v>0</v>
      </c>
      <c r="BU86" s="397"/>
      <c r="BV86" s="424" t="str">
        <f ca="1">IF(BU86="","",CONCATENATE(TEXT($O86,"0"),IF(Start.listina!$Y$5="","",TEXT(500+$P86,"000")),TEXT(999999*RAND(),"000000")))</f>
        <v/>
      </c>
      <c r="BW86" s="318">
        <f t="shared" ca="1" si="40"/>
        <v>0</v>
      </c>
      <c r="BZ86" s="318" t="str">
        <f ca="1">IF(TYPE(VLOOKUP($A86,'6.kolo'!$L$3:$L$66,1,0))&gt;3,IF(TYPE(VLOOKUP($A86,'6.kolo'!$K$3:$L$66,2,0))&gt;3,0,VLOOKUP($A86,'6.kolo'!$K$3:$L$66,2,0)),VLOOKUP($A86,'6.kolo'!$L$3:$O$66,4,0))</f>
        <v/>
      </c>
      <c r="CA86" s="318">
        <f ca="1">IF(TYPE(VLOOKUP($A86,'6.kolo'!$L$3:$L$66,1,0))&gt;3,IF(TYPE(VLOOKUP($A86,'6.kolo'!$O$3:$Q$66,2,0))&gt;3,0,VLOOKUP($A86,'6.kolo'!$O$3:$Q$66,2,0)),VLOOKUP($A86,'6.kolo'!$L$3:$N$66,2,0))</f>
        <v>0</v>
      </c>
      <c r="CB86" s="318">
        <f ca="1">IF(TYPE(VLOOKUP($A86,'6.kolo'!$L$3:$L$66,1,0))&gt;3,IF(TYPE(VLOOKUP($A86,'6.kolo'!$O$3:$Q$66,3,0))&gt;3,0,VLOOKUP($A86,'6.kolo'!$O$3:$Q$66,3,0)),VLOOKUP($A86,'6.kolo'!$L$3:$N$66,3,0))</f>
        <v>0</v>
      </c>
      <c r="CC86" s="318">
        <f t="shared" ca="1" si="58"/>
        <v>0</v>
      </c>
      <c r="CD86" s="397"/>
      <c r="CE86" s="424" t="str">
        <f ca="1">IF(CD86="","",CONCATENATE(TEXT($O86,"0"),IF(Start.listina!$Y$5="","",TEXT(500+$P86,"000")),TEXT(999999*RAND(),"000000")))</f>
        <v/>
      </c>
      <c r="CF86" s="318">
        <f t="shared" ca="1" si="41"/>
        <v>0</v>
      </c>
    </row>
    <row r="87" spans="1:84" x14ac:dyDescent="0.4">
      <c r="A87" s="318" t="str">
        <f ca="1">IF(OR(Start.listina!H95&gt;Start.listina!$K$7,Start.listina!G95=TRUE),"",Start.listina!H95)</f>
        <v/>
      </c>
      <c r="B87" s="318" t="str">
        <f ca="1">IF($A87&gt;Start.listina!$K$7,"",INT(($A87-1)/Start.listina!$O$7)+1)</f>
        <v/>
      </c>
      <c r="C87" s="421" t="str">
        <f ca="1">IF(OR(Start.listina!H95&gt;Start.listina!$K$7,Start.listina!G95=TRUE)," - ",Start.listina!AL95)</f>
        <v xml:space="preserve"> - </v>
      </c>
      <c r="D87" s="318" t="str">
        <f ca="1">IF(OR(A87&gt;Start.listina!$K$7,TYPE(VLOOKUP(A87,$V$3:$X$130,3,0))&gt;3),"",VLOOKUP(A87,$V$3:$X$130,3,0))</f>
        <v/>
      </c>
      <c r="E87" s="422" t="str">
        <f ca="1">IF(A87&gt;Start.listina!$K$7,"",IF(MIN(F87:K87)&gt;Start.listina!$Y$4,D87,MIN(F87:K87)))</f>
        <v/>
      </c>
      <c r="F87" s="318">
        <f ca="1">IF(TYPE(VLOOKUP(C87,Konečné_pořadí_1_16!$B$2:$D$17,3,0))&lt;4,VLOOKUP(C87,Konečné_pořadí_1_16!$B$2:$D$17,3,0),999)</f>
        <v>999</v>
      </c>
      <c r="G87" s="318">
        <f ca="1">IF(TYPE(VLOOKUP(C87,'KO64'!$D$4:$D$129,1,0))&lt;4,64,999)</f>
        <v>64</v>
      </c>
      <c r="H87" s="318">
        <f ca="1">IF(TYPE(VLOOKUP(C87,'KO32'!$D$4:$D$65,1,0))&lt;4,32,999)</f>
        <v>32</v>
      </c>
      <c r="I87" s="318">
        <f ca="1">IF(TYPE(VLOOKUP(C87,'KO16'!$D$4:$D$33,1,0))&lt;4,16,999)</f>
        <v>999</v>
      </c>
      <c r="J87" s="318">
        <f ca="1">IF(TYPE(VLOOKUP(C87,'KO8'!$D$4:$D$17,1,0))&lt;4,8,999)</f>
        <v>999</v>
      </c>
      <c r="K87" s="318">
        <f ca="1">IF(TYPE(VLOOKUP(C87,'KO4'!$D$4:$D$9,1,0))&lt;4,4,999)</f>
        <v>999</v>
      </c>
      <c r="M87" s="319">
        <v>85</v>
      </c>
      <c r="O87" s="318">
        <f t="shared" ca="1" si="42"/>
        <v>0</v>
      </c>
      <c r="P87" s="318">
        <f t="shared" ca="1" si="43"/>
        <v>0</v>
      </c>
      <c r="Q87" s="318">
        <f t="shared" ca="1" si="34"/>
        <v>2</v>
      </c>
      <c r="R87" s="318">
        <f t="shared" ca="1" si="35"/>
        <v>0</v>
      </c>
      <c r="S87" s="318">
        <f t="shared" ca="1" si="44"/>
        <v>18</v>
      </c>
      <c r="T87" s="318">
        <f t="shared" ca="1" si="45"/>
        <v>0</v>
      </c>
      <c r="U87" s="397">
        <f t="shared" si="59"/>
        <v>85</v>
      </c>
      <c r="V87" s="397" t="s">
        <v>1869</v>
      </c>
      <c r="W87" s="423" t="str">
        <f ca="1">IF($V87="","",CONCATENATE(TEXT($O87,"0"),IF(Start.listina!$Y$5="","",TEXT(500+$P87,"0000")),IF(Start.listina!$Y$6="","",CHOOSE(Start.listina!$Y$7,TEXT($Q87,"00"),CONCATENATE(TEXT($Q87,"00"),TEXT($S87,"000")), TEXT($R87,"00"))),TEXT(500+$P87,"0000"),IF(Start.listina!$Y$8="","",TEXT($T87,"0")),TEXT(999999*RAND(),"000000")))</f>
        <v/>
      </c>
      <c r="X87" s="399">
        <f t="shared" si="46"/>
        <v>85</v>
      </c>
      <c r="Y87" s="397">
        <f t="shared" ca="1" si="36"/>
        <v>0</v>
      </c>
      <c r="Z87" s="318">
        <f t="shared" ca="1" si="47"/>
        <v>57</v>
      </c>
      <c r="AA87" s="318" t="str">
        <f t="shared" ca="1" si="48"/>
        <v/>
      </c>
      <c r="AB87" s="318" t="str">
        <f t="shared" ca="1" si="49"/>
        <v/>
      </c>
      <c r="AC87" s="318" t="str">
        <f t="shared" ca="1" si="50"/>
        <v/>
      </c>
      <c r="AD87" s="318" t="str">
        <f t="shared" ca="1" si="51"/>
        <v/>
      </c>
      <c r="AE87" s="318" t="str">
        <f t="shared" ca="1" si="52"/>
        <v/>
      </c>
      <c r="AG87" s="318">
        <f ca="1">IF(TYPE(VLOOKUP($A87,'1.kolo'!$L$3:$L$66,1,0))&gt;3,VLOOKUP($A87,'1.kolo'!$K$3:$L$66,2,0),VLOOKUP($A87,'1.kolo'!$L$3:$O$66,4,0))</f>
        <v>57</v>
      </c>
      <c r="AH87" s="318">
        <f ca="1">IF(TYPE(VLOOKUP($A87,'1.kolo'!$L$3:$L$66,1,0))&gt;3,VLOOKUP($A87,'1.kolo'!$O$3:$Q$66,2,0),VLOOKUP($A87,'1.kolo'!$L$3:$N$66,2,0))</f>
        <v>0</v>
      </c>
      <c r="AI87" s="318">
        <f ca="1">IF(TYPE(VLOOKUP($A87,'1.kolo'!$L$3:$L$66,1,0))&gt;3,VLOOKUP($A87,'1.kolo'!$O$3:$Q$66,3,0),VLOOKUP($A87,'1.kolo'!$L$3:$N$66,3,0))</f>
        <v>0</v>
      </c>
      <c r="AJ87" s="318">
        <f t="shared" ca="1" si="53"/>
        <v>0</v>
      </c>
      <c r="AK87" s="318">
        <v>85</v>
      </c>
      <c r="AL87" s="424"/>
      <c r="AP87" s="318" t="str">
        <f ca="1">IF(TYPE(VLOOKUP($A87,'2.kolo'!$L$3:$L$66,1,0))&gt;3,IF(TYPE(VLOOKUP($A87,'2.kolo'!$K$3:$L$66,2,0))&gt;3,0,VLOOKUP($A87,'2.kolo'!$K$3:$L$66,2,0)),VLOOKUP($A87,'2.kolo'!$L$3:$O$66,4,0))</f>
        <v/>
      </c>
      <c r="AQ87" s="318">
        <f ca="1">IF(TYPE(VLOOKUP($A87,'2.kolo'!$L$3:$L$66,1,0))&gt;3,IF(TYPE(VLOOKUP($A87,'2.kolo'!$O$3:$Q$66,2,0))&gt;3,0,VLOOKUP($A87,'2.kolo'!$O$3:$Q$66,2,0)),VLOOKUP($A87,'2.kolo'!$L$3:$N$66,2,0))</f>
        <v>0</v>
      </c>
      <c r="AR87" s="318">
        <f ca="1">IF(TYPE(VLOOKUP($A87,'2.kolo'!$L$3:$L$66,1,0))&gt;3,IF(TYPE(VLOOKUP($A87,'2.kolo'!$O$3:$Q$66,3,0))&gt;3,0,VLOOKUP($A87,'2.kolo'!$O$3:$Q$66,3,0)),VLOOKUP($A87,'2.kolo'!$L$3:$N$66,3,0))</f>
        <v>0</v>
      </c>
      <c r="AS87" s="318">
        <f t="shared" ca="1" si="54"/>
        <v>0</v>
      </c>
      <c r="AT87" s="397" t="s">
        <v>1869</v>
      </c>
      <c r="AU87" s="424" t="str">
        <f ca="1">IF(AT87="","",CONCATENATE(TEXT($O87,"0"),IF(Start.listina!$Y$5="","",TEXT(500+$P87,"000")),TEXT(999999*RAND(),"000000")))</f>
        <v/>
      </c>
      <c r="AV87" s="318">
        <f t="shared" ca="1" si="37"/>
        <v>0</v>
      </c>
      <c r="AY87" s="318" t="str">
        <f ca="1">IF(TYPE(VLOOKUP($A87,'3.kolo'!$L$3:$L$66,1,0))&gt;3,IF(TYPE(VLOOKUP($A87,'3.kolo'!$K$3:$L$66,2,0))&gt;3,0,VLOOKUP($A87,'3.kolo'!$K$3:$L$66,2,0)),VLOOKUP($A87,'3.kolo'!$L$3:$O$66,4,0))</f>
        <v/>
      </c>
      <c r="AZ87" s="318">
        <f ca="1">IF(TYPE(VLOOKUP($A87,'3.kolo'!$L$3:$L$66,1,0))&gt;3,IF(TYPE(VLOOKUP($A87,'3.kolo'!$O$3:$Q$66,2,0))&gt;3,0,VLOOKUP($A87,'3.kolo'!$O$3:$Q$66,2,0)),VLOOKUP($A87,'3.kolo'!$L$3:$N$66,2,0))</f>
        <v>0</v>
      </c>
      <c r="BA87" s="318">
        <f ca="1">IF(TYPE(VLOOKUP($A87,'3.kolo'!$L$3:$L$66,1,0))&gt;3,IF(TYPE(VLOOKUP($A87,'3.kolo'!$O$3:$Q$66,3,0))&gt;3,0,VLOOKUP($A87,'3.kolo'!$O$3:$Q$66,3,0)),VLOOKUP($A87,'3.kolo'!$L$3:$N$66,3,0))</f>
        <v>0</v>
      </c>
      <c r="BB87" s="318">
        <f t="shared" ca="1" si="55"/>
        <v>0</v>
      </c>
      <c r="BC87" s="397" t="s">
        <v>1869</v>
      </c>
      <c r="BD87" s="424" t="str">
        <f ca="1">IF(BC87="","",CONCATENATE(TEXT($O87,"0"),IF(Start.listina!$Y$5="","",TEXT(500+$P87,"000")),TEXT(999999*RAND(),"000000")))</f>
        <v/>
      </c>
      <c r="BE87" s="318">
        <f t="shared" ca="1" si="38"/>
        <v>0</v>
      </c>
      <c r="BH87" s="318" t="str">
        <f ca="1">IF(TYPE(VLOOKUP($A87,'4.kolo'!$L$3:$L$66,1,0))&gt;3,IF(TYPE(VLOOKUP($A87,'4.kolo'!$K$3:$L$66,2,0))&gt;3,0,VLOOKUP($A87,'4.kolo'!$K$3:$L$66,2,0)),VLOOKUP($A87,'4.kolo'!$L$3:$O$66,4,0))</f>
        <v/>
      </c>
      <c r="BI87" s="318">
        <f ca="1">IF(TYPE(VLOOKUP($A87,'4.kolo'!$L$3:$L$66,1,0))&gt;3,IF(TYPE(VLOOKUP($A87,'4.kolo'!$O$3:$Q$66,2,0))&gt;3,0,VLOOKUP($A87,'4.kolo'!$O$3:$Q$66,2,0)),VLOOKUP($A87,'4.kolo'!$L$3:$N$66,2,0))</f>
        <v>0</v>
      </c>
      <c r="BJ87" s="318">
        <f ca="1">IF(TYPE(VLOOKUP($A87,'4.kolo'!$L$3:$L$66,1,0))&gt;3,IF(TYPE(VLOOKUP($A87,'4.kolo'!$O$3:$Q$66,3,0))&gt;3,0,VLOOKUP($A87,'4.kolo'!$O$3:$Q$66,3,0)),VLOOKUP($A87,'4.kolo'!$L$3:$N$66,3,0))</f>
        <v>0</v>
      </c>
      <c r="BK87" s="318">
        <f t="shared" ca="1" si="56"/>
        <v>0</v>
      </c>
      <c r="BL87" s="397" t="s">
        <v>1869</v>
      </c>
      <c r="BM87" s="424" t="str">
        <f ca="1">IF(BL87="","",CONCATENATE(TEXT($O87,"0"),IF(Start.listina!$Y$5="","",TEXT(500+$P87,"000")),TEXT(999999*RAND(),"000000")))</f>
        <v/>
      </c>
      <c r="BN87" s="318">
        <f t="shared" ca="1" si="39"/>
        <v>0</v>
      </c>
      <c r="BQ87" s="318" t="str">
        <f ca="1">IF(TYPE(VLOOKUP($A87,'5.kolo'!$L$3:$L$66,1,0))&gt;3,IF(TYPE(VLOOKUP($A87,'5.kolo'!$K$3:$L$66,2,0))&gt;3,0,VLOOKUP($A87,'5.kolo'!$K$3:$L$66,2,0)),VLOOKUP($A87,'5.kolo'!$L$3:$O$66,4,0))</f>
        <v/>
      </c>
      <c r="BR87" s="318">
        <f ca="1">IF(TYPE(VLOOKUP($A87,'5.kolo'!$L$3:$L$66,1,0))&gt;3,IF(TYPE(VLOOKUP($A87,'5.kolo'!$O$3:$Q$66,2,0))&gt;3,0,VLOOKUP($A87,'5.kolo'!$O$3:$Q$66,2,0)),VLOOKUP($A87,'5.kolo'!$L$3:$N$66,2,0))</f>
        <v>0</v>
      </c>
      <c r="BS87" s="318">
        <f ca="1">IF(TYPE(VLOOKUP($A87,'5.kolo'!$L$3:$L$66,1,0))&gt;3,IF(TYPE(VLOOKUP($A87,'5.kolo'!$O$3:$Q$66,3,0))&gt;3,0,VLOOKUP($A87,'5.kolo'!$O$3:$Q$66,3,0)),VLOOKUP($A87,'5.kolo'!$L$3:$N$66,3,0))</f>
        <v>0</v>
      </c>
      <c r="BT87" s="318">
        <f t="shared" ca="1" si="57"/>
        <v>0</v>
      </c>
      <c r="BU87" s="397"/>
      <c r="BV87" s="424" t="str">
        <f ca="1">IF(BU87="","",CONCATENATE(TEXT($O87,"0"),IF(Start.listina!$Y$5="","",TEXT(500+$P87,"000")),TEXT(999999*RAND(),"000000")))</f>
        <v/>
      </c>
      <c r="BW87" s="318">
        <f t="shared" ca="1" si="40"/>
        <v>0</v>
      </c>
      <c r="BZ87" s="318" t="str">
        <f ca="1">IF(TYPE(VLOOKUP($A87,'6.kolo'!$L$3:$L$66,1,0))&gt;3,IF(TYPE(VLOOKUP($A87,'6.kolo'!$K$3:$L$66,2,0))&gt;3,0,VLOOKUP($A87,'6.kolo'!$K$3:$L$66,2,0)),VLOOKUP($A87,'6.kolo'!$L$3:$O$66,4,0))</f>
        <v/>
      </c>
      <c r="CA87" s="318">
        <f ca="1">IF(TYPE(VLOOKUP($A87,'6.kolo'!$L$3:$L$66,1,0))&gt;3,IF(TYPE(VLOOKUP($A87,'6.kolo'!$O$3:$Q$66,2,0))&gt;3,0,VLOOKUP($A87,'6.kolo'!$O$3:$Q$66,2,0)),VLOOKUP($A87,'6.kolo'!$L$3:$N$66,2,0))</f>
        <v>0</v>
      </c>
      <c r="CB87" s="318">
        <f ca="1">IF(TYPE(VLOOKUP($A87,'6.kolo'!$L$3:$L$66,1,0))&gt;3,IF(TYPE(VLOOKUP($A87,'6.kolo'!$O$3:$Q$66,3,0))&gt;3,0,VLOOKUP($A87,'6.kolo'!$O$3:$Q$66,3,0)),VLOOKUP($A87,'6.kolo'!$L$3:$N$66,3,0))</f>
        <v>0</v>
      </c>
      <c r="CC87" s="318">
        <f t="shared" ca="1" si="58"/>
        <v>0</v>
      </c>
      <c r="CD87" s="397"/>
      <c r="CE87" s="424" t="str">
        <f ca="1">IF(CD87="","",CONCATENATE(TEXT($O87,"0"),IF(Start.listina!$Y$5="","",TEXT(500+$P87,"000")),TEXT(999999*RAND(),"000000")))</f>
        <v/>
      </c>
      <c r="CF87" s="318">
        <f t="shared" ca="1" si="41"/>
        <v>0</v>
      </c>
    </row>
    <row r="88" spans="1:84" x14ac:dyDescent="0.4">
      <c r="A88" s="318" t="str">
        <f ca="1">IF(OR(Start.listina!H96&gt;Start.listina!$K$7,Start.listina!G96=TRUE),"",Start.listina!H96)</f>
        <v/>
      </c>
      <c r="B88" s="318" t="str">
        <f ca="1">IF($A88&gt;Start.listina!$K$7,"",INT(($A88-1)/Start.listina!$O$7)+1)</f>
        <v/>
      </c>
      <c r="C88" s="421" t="str">
        <f ca="1">IF(OR(Start.listina!H96&gt;Start.listina!$K$7,Start.listina!G96=TRUE)," - ",Start.listina!AL96)</f>
        <v xml:space="preserve"> - </v>
      </c>
      <c r="D88" s="318" t="str">
        <f ca="1">IF(OR(A88&gt;Start.listina!$K$7,TYPE(VLOOKUP(A88,$V$3:$X$130,3,0))&gt;3),"",VLOOKUP(A88,$V$3:$X$130,3,0))</f>
        <v/>
      </c>
      <c r="E88" s="422" t="str">
        <f ca="1">IF(A88&gt;Start.listina!$K$7,"",IF(MIN(F88:K88)&gt;Start.listina!$Y$4,D88,MIN(F88:K88)))</f>
        <v/>
      </c>
      <c r="F88" s="318">
        <f ca="1">IF(TYPE(VLOOKUP(C88,Konečné_pořadí_1_16!$B$2:$D$17,3,0))&lt;4,VLOOKUP(C88,Konečné_pořadí_1_16!$B$2:$D$17,3,0),999)</f>
        <v>999</v>
      </c>
      <c r="G88" s="318">
        <f ca="1">IF(TYPE(VLOOKUP(C88,'KO64'!$D$4:$D$129,1,0))&lt;4,64,999)</f>
        <v>64</v>
      </c>
      <c r="H88" s="318">
        <f ca="1">IF(TYPE(VLOOKUP(C88,'KO32'!$D$4:$D$65,1,0))&lt;4,32,999)</f>
        <v>32</v>
      </c>
      <c r="I88" s="318">
        <f ca="1">IF(TYPE(VLOOKUP(C88,'KO16'!$D$4:$D$33,1,0))&lt;4,16,999)</f>
        <v>999</v>
      </c>
      <c r="J88" s="318">
        <f ca="1">IF(TYPE(VLOOKUP(C88,'KO8'!$D$4:$D$17,1,0))&lt;4,8,999)</f>
        <v>999</v>
      </c>
      <c r="K88" s="318">
        <f ca="1">IF(TYPE(VLOOKUP(C88,'KO4'!$D$4:$D$9,1,0))&lt;4,4,999)</f>
        <v>999</v>
      </c>
      <c r="M88" s="319">
        <v>86</v>
      </c>
      <c r="O88" s="318">
        <f t="shared" ca="1" si="42"/>
        <v>0</v>
      </c>
      <c r="P88" s="318">
        <f t="shared" ca="1" si="43"/>
        <v>0</v>
      </c>
      <c r="Q88" s="318">
        <f t="shared" ca="1" si="34"/>
        <v>2</v>
      </c>
      <c r="R88" s="318">
        <f t="shared" ca="1" si="35"/>
        <v>0</v>
      </c>
      <c r="S88" s="318">
        <f t="shared" ca="1" si="44"/>
        <v>18</v>
      </c>
      <c r="T88" s="318">
        <f t="shared" ca="1" si="45"/>
        <v>0</v>
      </c>
      <c r="U88" s="397">
        <f t="shared" si="59"/>
        <v>86</v>
      </c>
      <c r="V88" s="397" t="s">
        <v>1869</v>
      </c>
      <c r="W88" s="423" t="str">
        <f ca="1">IF($V88="","",CONCATENATE(TEXT($O88,"0"),IF(Start.listina!$Y$5="","",TEXT(500+$P88,"0000")),IF(Start.listina!$Y$6="","",CHOOSE(Start.listina!$Y$7,TEXT($Q88,"00"),CONCATENATE(TEXT($Q88,"00"),TEXT($S88,"000")), TEXT($R88,"00"))),TEXT(500+$P88,"0000"),IF(Start.listina!$Y$8="","",TEXT($T88,"0")),TEXT(999999*RAND(),"000000")))</f>
        <v/>
      </c>
      <c r="X88" s="399">
        <f t="shared" si="46"/>
        <v>86</v>
      </c>
      <c r="Y88" s="397">
        <f t="shared" ca="1" si="36"/>
        <v>0</v>
      </c>
      <c r="Z88" s="318">
        <f t="shared" ca="1" si="47"/>
        <v>57</v>
      </c>
      <c r="AA88" s="318" t="str">
        <f t="shared" ca="1" si="48"/>
        <v/>
      </c>
      <c r="AB88" s="318" t="str">
        <f t="shared" ca="1" si="49"/>
        <v/>
      </c>
      <c r="AC88" s="318" t="str">
        <f t="shared" ca="1" si="50"/>
        <v/>
      </c>
      <c r="AD88" s="318" t="str">
        <f t="shared" ca="1" si="51"/>
        <v/>
      </c>
      <c r="AE88" s="318" t="str">
        <f t="shared" ca="1" si="52"/>
        <v/>
      </c>
      <c r="AG88" s="318">
        <f ca="1">IF(TYPE(VLOOKUP($A88,'1.kolo'!$L$3:$L$66,1,0))&gt;3,VLOOKUP($A88,'1.kolo'!$K$3:$L$66,2,0),VLOOKUP($A88,'1.kolo'!$L$3:$O$66,4,0))</f>
        <v>57</v>
      </c>
      <c r="AH88" s="318">
        <f ca="1">IF(TYPE(VLOOKUP($A88,'1.kolo'!$L$3:$L$66,1,0))&gt;3,VLOOKUP($A88,'1.kolo'!$O$3:$Q$66,2,0),VLOOKUP($A88,'1.kolo'!$L$3:$N$66,2,0))</f>
        <v>0</v>
      </c>
      <c r="AI88" s="318">
        <f ca="1">IF(TYPE(VLOOKUP($A88,'1.kolo'!$L$3:$L$66,1,0))&gt;3,VLOOKUP($A88,'1.kolo'!$O$3:$Q$66,3,0),VLOOKUP($A88,'1.kolo'!$L$3:$N$66,3,0))</f>
        <v>0</v>
      </c>
      <c r="AJ88" s="318">
        <f t="shared" ca="1" si="53"/>
        <v>0</v>
      </c>
      <c r="AK88" s="318">
        <v>86</v>
      </c>
      <c r="AL88" s="424"/>
      <c r="AP88" s="318" t="str">
        <f ca="1">IF(TYPE(VLOOKUP($A88,'2.kolo'!$L$3:$L$66,1,0))&gt;3,IF(TYPE(VLOOKUP($A88,'2.kolo'!$K$3:$L$66,2,0))&gt;3,0,VLOOKUP($A88,'2.kolo'!$K$3:$L$66,2,0)),VLOOKUP($A88,'2.kolo'!$L$3:$O$66,4,0))</f>
        <v/>
      </c>
      <c r="AQ88" s="318">
        <f ca="1">IF(TYPE(VLOOKUP($A88,'2.kolo'!$L$3:$L$66,1,0))&gt;3,IF(TYPE(VLOOKUP($A88,'2.kolo'!$O$3:$Q$66,2,0))&gt;3,0,VLOOKUP($A88,'2.kolo'!$O$3:$Q$66,2,0)),VLOOKUP($A88,'2.kolo'!$L$3:$N$66,2,0))</f>
        <v>0</v>
      </c>
      <c r="AR88" s="318">
        <f ca="1">IF(TYPE(VLOOKUP($A88,'2.kolo'!$L$3:$L$66,1,0))&gt;3,IF(TYPE(VLOOKUP($A88,'2.kolo'!$O$3:$Q$66,3,0))&gt;3,0,VLOOKUP($A88,'2.kolo'!$O$3:$Q$66,3,0)),VLOOKUP($A88,'2.kolo'!$L$3:$N$66,3,0))</f>
        <v>0</v>
      </c>
      <c r="AS88" s="318">
        <f t="shared" ca="1" si="54"/>
        <v>0</v>
      </c>
      <c r="AT88" s="397" t="s">
        <v>1869</v>
      </c>
      <c r="AU88" s="424" t="str">
        <f ca="1">IF(AT88="","",CONCATENATE(TEXT($O88,"0"),IF(Start.listina!$Y$5="","",TEXT(500+$P88,"000")),TEXT(999999*RAND(),"000000")))</f>
        <v/>
      </c>
      <c r="AV88" s="318">
        <f t="shared" ca="1" si="37"/>
        <v>0</v>
      </c>
      <c r="AY88" s="318" t="str">
        <f ca="1">IF(TYPE(VLOOKUP($A88,'3.kolo'!$L$3:$L$66,1,0))&gt;3,IF(TYPE(VLOOKUP($A88,'3.kolo'!$K$3:$L$66,2,0))&gt;3,0,VLOOKUP($A88,'3.kolo'!$K$3:$L$66,2,0)),VLOOKUP($A88,'3.kolo'!$L$3:$O$66,4,0))</f>
        <v/>
      </c>
      <c r="AZ88" s="318">
        <f ca="1">IF(TYPE(VLOOKUP($A88,'3.kolo'!$L$3:$L$66,1,0))&gt;3,IF(TYPE(VLOOKUP($A88,'3.kolo'!$O$3:$Q$66,2,0))&gt;3,0,VLOOKUP($A88,'3.kolo'!$O$3:$Q$66,2,0)),VLOOKUP($A88,'3.kolo'!$L$3:$N$66,2,0))</f>
        <v>0</v>
      </c>
      <c r="BA88" s="318">
        <f ca="1">IF(TYPE(VLOOKUP($A88,'3.kolo'!$L$3:$L$66,1,0))&gt;3,IF(TYPE(VLOOKUP($A88,'3.kolo'!$O$3:$Q$66,3,0))&gt;3,0,VLOOKUP($A88,'3.kolo'!$O$3:$Q$66,3,0)),VLOOKUP($A88,'3.kolo'!$L$3:$N$66,3,0))</f>
        <v>0</v>
      </c>
      <c r="BB88" s="318">
        <f t="shared" ca="1" si="55"/>
        <v>0</v>
      </c>
      <c r="BC88" s="397" t="s">
        <v>1869</v>
      </c>
      <c r="BD88" s="424" t="str">
        <f ca="1">IF(BC88="","",CONCATENATE(TEXT($O88,"0"),IF(Start.listina!$Y$5="","",TEXT(500+$P88,"000")),TEXT(999999*RAND(),"000000")))</f>
        <v/>
      </c>
      <c r="BE88" s="318">
        <f t="shared" ca="1" si="38"/>
        <v>0</v>
      </c>
      <c r="BH88" s="318" t="str">
        <f ca="1">IF(TYPE(VLOOKUP($A88,'4.kolo'!$L$3:$L$66,1,0))&gt;3,IF(TYPE(VLOOKUP($A88,'4.kolo'!$K$3:$L$66,2,0))&gt;3,0,VLOOKUP($A88,'4.kolo'!$K$3:$L$66,2,0)),VLOOKUP($A88,'4.kolo'!$L$3:$O$66,4,0))</f>
        <v/>
      </c>
      <c r="BI88" s="318">
        <f ca="1">IF(TYPE(VLOOKUP($A88,'4.kolo'!$L$3:$L$66,1,0))&gt;3,IF(TYPE(VLOOKUP($A88,'4.kolo'!$O$3:$Q$66,2,0))&gt;3,0,VLOOKUP($A88,'4.kolo'!$O$3:$Q$66,2,0)),VLOOKUP($A88,'4.kolo'!$L$3:$N$66,2,0))</f>
        <v>0</v>
      </c>
      <c r="BJ88" s="318">
        <f ca="1">IF(TYPE(VLOOKUP($A88,'4.kolo'!$L$3:$L$66,1,0))&gt;3,IF(TYPE(VLOOKUP($A88,'4.kolo'!$O$3:$Q$66,3,0))&gt;3,0,VLOOKUP($A88,'4.kolo'!$O$3:$Q$66,3,0)),VLOOKUP($A88,'4.kolo'!$L$3:$N$66,3,0))</f>
        <v>0</v>
      </c>
      <c r="BK88" s="318">
        <f t="shared" ca="1" si="56"/>
        <v>0</v>
      </c>
      <c r="BL88" s="397" t="s">
        <v>1869</v>
      </c>
      <c r="BM88" s="424" t="str">
        <f ca="1">IF(BL88="","",CONCATENATE(TEXT($O88,"0"),IF(Start.listina!$Y$5="","",TEXT(500+$P88,"000")),TEXT(999999*RAND(),"000000")))</f>
        <v/>
      </c>
      <c r="BN88" s="318">
        <f t="shared" ca="1" si="39"/>
        <v>0</v>
      </c>
      <c r="BQ88" s="318" t="str">
        <f ca="1">IF(TYPE(VLOOKUP($A88,'5.kolo'!$L$3:$L$66,1,0))&gt;3,IF(TYPE(VLOOKUP($A88,'5.kolo'!$K$3:$L$66,2,0))&gt;3,0,VLOOKUP($A88,'5.kolo'!$K$3:$L$66,2,0)),VLOOKUP($A88,'5.kolo'!$L$3:$O$66,4,0))</f>
        <v/>
      </c>
      <c r="BR88" s="318">
        <f ca="1">IF(TYPE(VLOOKUP($A88,'5.kolo'!$L$3:$L$66,1,0))&gt;3,IF(TYPE(VLOOKUP($A88,'5.kolo'!$O$3:$Q$66,2,0))&gt;3,0,VLOOKUP($A88,'5.kolo'!$O$3:$Q$66,2,0)),VLOOKUP($A88,'5.kolo'!$L$3:$N$66,2,0))</f>
        <v>0</v>
      </c>
      <c r="BS88" s="318">
        <f ca="1">IF(TYPE(VLOOKUP($A88,'5.kolo'!$L$3:$L$66,1,0))&gt;3,IF(TYPE(VLOOKUP($A88,'5.kolo'!$O$3:$Q$66,3,0))&gt;3,0,VLOOKUP($A88,'5.kolo'!$O$3:$Q$66,3,0)),VLOOKUP($A88,'5.kolo'!$L$3:$N$66,3,0))</f>
        <v>0</v>
      </c>
      <c r="BT88" s="318">
        <f t="shared" ca="1" si="57"/>
        <v>0</v>
      </c>
      <c r="BU88" s="397"/>
      <c r="BV88" s="424" t="str">
        <f ca="1">IF(BU88="","",CONCATENATE(TEXT($O88,"0"),IF(Start.listina!$Y$5="","",TEXT(500+$P88,"000")),TEXT(999999*RAND(),"000000")))</f>
        <v/>
      </c>
      <c r="BW88" s="318">
        <f t="shared" ca="1" si="40"/>
        <v>0</v>
      </c>
      <c r="BZ88" s="318" t="str">
        <f ca="1">IF(TYPE(VLOOKUP($A88,'6.kolo'!$L$3:$L$66,1,0))&gt;3,IF(TYPE(VLOOKUP($A88,'6.kolo'!$K$3:$L$66,2,0))&gt;3,0,VLOOKUP($A88,'6.kolo'!$K$3:$L$66,2,0)),VLOOKUP($A88,'6.kolo'!$L$3:$O$66,4,0))</f>
        <v/>
      </c>
      <c r="CA88" s="318">
        <f ca="1">IF(TYPE(VLOOKUP($A88,'6.kolo'!$L$3:$L$66,1,0))&gt;3,IF(TYPE(VLOOKUP($A88,'6.kolo'!$O$3:$Q$66,2,0))&gt;3,0,VLOOKUP($A88,'6.kolo'!$O$3:$Q$66,2,0)),VLOOKUP($A88,'6.kolo'!$L$3:$N$66,2,0))</f>
        <v>0</v>
      </c>
      <c r="CB88" s="318">
        <f ca="1">IF(TYPE(VLOOKUP($A88,'6.kolo'!$L$3:$L$66,1,0))&gt;3,IF(TYPE(VLOOKUP($A88,'6.kolo'!$O$3:$Q$66,3,0))&gt;3,0,VLOOKUP($A88,'6.kolo'!$O$3:$Q$66,3,0)),VLOOKUP($A88,'6.kolo'!$L$3:$N$66,3,0))</f>
        <v>0</v>
      </c>
      <c r="CC88" s="318">
        <f t="shared" ca="1" si="58"/>
        <v>0</v>
      </c>
      <c r="CD88" s="397"/>
      <c r="CE88" s="424" t="str">
        <f ca="1">IF(CD88="","",CONCATENATE(TEXT($O88,"0"),IF(Start.listina!$Y$5="","",TEXT(500+$P88,"000")),TEXT(999999*RAND(),"000000")))</f>
        <v/>
      </c>
      <c r="CF88" s="318">
        <f t="shared" ca="1" si="41"/>
        <v>0</v>
      </c>
    </row>
    <row r="89" spans="1:84" x14ac:dyDescent="0.4">
      <c r="A89" s="318" t="str">
        <f ca="1">IF(OR(Start.listina!H97&gt;Start.listina!$K$7,Start.listina!G97=TRUE),"",Start.listina!H97)</f>
        <v/>
      </c>
      <c r="B89" s="318" t="str">
        <f ca="1">IF($A89&gt;Start.listina!$K$7,"",INT(($A89-1)/Start.listina!$O$7)+1)</f>
        <v/>
      </c>
      <c r="C89" s="421" t="str">
        <f ca="1">IF(OR(Start.listina!H97&gt;Start.listina!$K$7,Start.listina!G97=TRUE)," - ",Start.listina!AL97)</f>
        <v xml:space="preserve"> - </v>
      </c>
      <c r="D89" s="318" t="str">
        <f ca="1">IF(OR(A89&gt;Start.listina!$K$7,TYPE(VLOOKUP(A89,$V$3:$X$130,3,0))&gt;3),"",VLOOKUP(A89,$V$3:$X$130,3,0))</f>
        <v/>
      </c>
      <c r="E89" s="422" t="str">
        <f ca="1">IF(A89&gt;Start.listina!$K$7,"",IF(MIN(F89:K89)&gt;Start.listina!$Y$4,D89,MIN(F89:K89)))</f>
        <v/>
      </c>
      <c r="F89" s="318">
        <f ca="1">IF(TYPE(VLOOKUP(C89,Konečné_pořadí_1_16!$B$2:$D$17,3,0))&lt;4,VLOOKUP(C89,Konečné_pořadí_1_16!$B$2:$D$17,3,0),999)</f>
        <v>999</v>
      </c>
      <c r="G89" s="318">
        <f ca="1">IF(TYPE(VLOOKUP(C89,'KO64'!$D$4:$D$129,1,0))&lt;4,64,999)</f>
        <v>64</v>
      </c>
      <c r="H89" s="318">
        <f ca="1">IF(TYPE(VLOOKUP(C89,'KO32'!$D$4:$D$65,1,0))&lt;4,32,999)</f>
        <v>32</v>
      </c>
      <c r="I89" s="318">
        <f ca="1">IF(TYPE(VLOOKUP(C89,'KO16'!$D$4:$D$33,1,0))&lt;4,16,999)</f>
        <v>999</v>
      </c>
      <c r="J89" s="318">
        <f ca="1">IF(TYPE(VLOOKUP(C89,'KO8'!$D$4:$D$17,1,0))&lt;4,8,999)</f>
        <v>999</v>
      </c>
      <c r="K89" s="318">
        <f ca="1">IF(TYPE(VLOOKUP(C89,'KO4'!$D$4:$D$9,1,0))&lt;4,4,999)</f>
        <v>999</v>
      </c>
      <c r="M89" s="319">
        <v>87</v>
      </c>
      <c r="O89" s="318">
        <f t="shared" ca="1" si="42"/>
        <v>0</v>
      </c>
      <c r="P89" s="318">
        <f t="shared" ca="1" si="43"/>
        <v>0</v>
      </c>
      <c r="Q89" s="318">
        <f t="shared" ca="1" si="34"/>
        <v>2</v>
      </c>
      <c r="R89" s="318">
        <f t="shared" ca="1" si="35"/>
        <v>0</v>
      </c>
      <c r="S89" s="318">
        <f t="shared" ca="1" si="44"/>
        <v>18</v>
      </c>
      <c r="T89" s="318">
        <f t="shared" ca="1" si="45"/>
        <v>0</v>
      </c>
      <c r="U89" s="397">
        <f t="shared" si="59"/>
        <v>87</v>
      </c>
      <c r="V89" s="397" t="s">
        <v>1869</v>
      </c>
      <c r="W89" s="423" t="str">
        <f ca="1">IF($V89="","",CONCATENATE(TEXT($O89,"0"),IF(Start.listina!$Y$5="","",TEXT(500+$P89,"0000")),IF(Start.listina!$Y$6="","",CHOOSE(Start.listina!$Y$7,TEXT($Q89,"00"),CONCATENATE(TEXT($Q89,"00"),TEXT($S89,"000")), TEXT($R89,"00"))),TEXT(500+$P89,"0000"),IF(Start.listina!$Y$8="","",TEXT($T89,"0")),TEXT(999999*RAND(),"000000")))</f>
        <v/>
      </c>
      <c r="X89" s="399">
        <f t="shared" si="46"/>
        <v>87</v>
      </c>
      <c r="Y89" s="397">
        <f t="shared" ca="1" si="36"/>
        <v>0</v>
      </c>
      <c r="Z89" s="318">
        <f t="shared" ca="1" si="47"/>
        <v>57</v>
      </c>
      <c r="AA89" s="318" t="str">
        <f t="shared" ca="1" si="48"/>
        <v/>
      </c>
      <c r="AB89" s="318" t="str">
        <f t="shared" ca="1" si="49"/>
        <v/>
      </c>
      <c r="AC89" s="318" t="str">
        <f t="shared" ca="1" si="50"/>
        <v/>
      </c>
      <c r="AD89" s="318" t="str">
        <f t="shared" ca="1" si="51"/>
        <v/>
      </c>
      <c r="AE89" s="318" t="str">
        <f t="shared" ca="1" si="52"/>
        <v/>
      </c>
      <c r="AG89" s="318">
        <f ca="1">IF(TYPE(VLOOKUP($A89,'1.kolo'!$L$3:$L$66,1,0))&gt;3,VLOOKUP($A89,'1.kolo'!$K$3:$L$66,2,0),VLOOKUP($A89,'1.kolo'!$L$3:$O$66,4,0))</f>
        <v>57</v>
      </c>
      <c r="AH89" s="318">
        <f ca="1">IF(TYPE(VLOOKUP($A89,'1.kolo'!$L$3:$L$66,1,0))&gt;3,VLOOKUP($A89,'1.kolo'!$O$3:$Q$66,2,0),VLOOKUP($A89,'1.kolo'!$L$3:$N$66,2,0))</f>
        <v>0</v>
      </c>
      <c r="AI89" s="318">
        <f ca="1">IF(TYPE(VLOOKUP($A89,'1.kolo'!$L$3:$L$66,1,0))&gt;3,VLOOKUP($A89,'1.kolo'!$O$3:$Q$66,3,0),VLOOKUP($A89,'1.kolo'!$L$3:$N$66,3,0))</f>
        <v>0</v>
      </c>
      <c r="AJ89" s="318">
        <f t="shared" ca="1" si="53"/>
        <v>0</v>
      </c>
      <c r="AK89" s="318">
        <v>87</v>
      </c>
      <c r="AL89" s="424"/>
      <c r="AP89" s="318" t="str">
        <f ca="1">IF(TYPE(VLOOKUP($A89,'2.kolo'!$L$3:$L$66,1,0))&gt;3,IF(TYPE(VLOOKUP($A89,'2.kolo'!$K$3:$L$66,2,0))&gt;3,0,VLOOKUP($A89,'2.kolo'!$K$3:$L$66,2,0)),VLOOKUP($A89,'2.kolo'!$L$3:$O$66,4,0))</f>
        <v/>
      </c>
      <c r="AQ89" s="318">
        <f ca="1">IF(TYPE(VLOOKUP($A89,'2.kolo'!$L$3:$L$66,1,0))&gt;3,IF(TYPE(VLOOKUP($A89,'2.kolo'!$O$3:$Q$66,2,0))&gt;3,0,VLOOKUP($A89,'2.kolo'!$O$3:$Q$66,2,0)),VLOOKUP($A89,'2.kolo'!$L$3:$N$66,2,0))</f>
        <v>0</v>
      </c>
      <c r="AR89" s="318">
        <f ca="1">IF(TYPE(VLOOKUP($A89,'2.kolo'!$L$3:$L$66,1,0))&gt;3,IF(TYPE(VLOOKUP($A89,'2.kolo'!$O$3:$Q$66,3,0))&gt;3,0,VLOOKUP($A89,'2.kolo'!$O$3:$Q$66,3,0)),VLOOKUP($A89,'2.kolo'!$L$3:$N$66,3,0))</f>
        <v>0</v>
      </c>
      <c r="AS89" s="318">
        <f t="shared" ca="1" si="54"/>
        <v>0</v>
      </c>
      <c r="AT89" s="397" t="s">
        <v>1869</v>
      </c>
      <c r="AU89" s="424" t="str">
        <f ca="1">IF(AT89="","",CONCATENATE(TEXT($O89,"0"),IF(Start.listina!$Y$5="","",TEXT(500+$P89,"000")),TEXT(999999*RAND(),"000000")))</f>
        <v/>
      </c>
      <c r="AV89" s="318">
        <f t="shared" ca="1" si="37"/>
        <v>0</v>
      </c>
      <c r="AY89" s="318" t="str">
        <f ca="1">IF(TYPE(VLOOKUP($A89,'3.kolo'!$L$3:$L$66,1,0))&gt;3,IF(TYPE(VLOOKUP($A89,'3.kolo'!$K$3:$L$66,2,0))&gt;3,0,VLOOKUP($A89,'3.kolo'!$K$3:$L$66,2,0)),VLOOKUP($A89,'3.kolo'!$L$3:$O$66,4,0))</f>
        <v/>
      </c>
      <c r="AZ89" s="318">
        <f ca="1">IF(TYPE(VLOOKUP($A89,'3.kolo'!$L$3:$L$66,1,0))&gt;3,IF(TYPE(VLOOKUP($A89,'3.kolo'!$O$3:$Q$66,2,0))&gt;3,0,VLOOKUP($A89,'3.kolo'!$O$3:$Q$66,2,0)),VLOOKUP($A89,'3.kolo'!$L$3:$N$66,2,0))</f>
        <v>0</v>
      </c>
      <c r="BA89" s="318">
        <f ca="1">IF(TYPE(VLOOKUP($A89,'3.kolo'!$L$3:$L$66,1,0))&gt;3,IF(TYPE(VLOOKUP($A89,'3.kolo'!$O$3:$Q$66,3,0))&gt;3,0,VLOOKUP($A89,'3.kolo'!$O$3:$Q$66,3,0)),VLOOKUP($A89,'3.kolo'!$L$3:$N$66,3,0))</f>
        <v>0</v>
      </c>
      <c r="BB89" s="318">
        <f t="shared" ca="1" si="55"/>
        <v>0</v>
      </c>
      <c r="BC89" s="397" t="s">
        <v>1869</v>
      </c>
      <c r="BD89" s="424" t="str">
        <f ca="1">IF(BC89="","",CONCATENATE(TEXT($O89,"0"),IF(Start.listina!$Y$5="","",TEXT(500+$P89,"000")),TEXT(999999*RAND(),"000000")))</f>
        <v/>
      </c>
      <c r="BE89" s="318">
        <f t="shared" ca="1" si="38"/>
        <v>0</v>
      </c>
      <c r="BH89" s="318" t="str">
        <f ca="1">IF(TYPE(VLOOKUP($A89,'4.kolo'!$L$3:$L$66,1,0))&gt;3,IF(TYPE(VLOOKUP($A89,'4.kolo'!$K$3:$L$66,2,0))&gt;3,0,VLOOKUP($A89,'4.kolo'!$K$3:$L$66,2,0)),VLOOKUP($A89,'4.kolo'!$L$3:$O$66,4,0))</f>
        <v/>
      </c>
      <c r="BI89" s="318">
        <f ca="1">IF(TYPE(VLOOKUP($A89,'4.kolo'!$L$3:$L$66,1,0))&gt;3,IF(TYPE(VLOOKUP($A89,'4.kolo'!$O$3:$Q$66,2,0))&gt;3,0,VLOOKUP($A89,'4.kolo'!$O$3:$Q$66,2,0)),VLOOKUP($A89,'4.kolo'!$L$3:$N$66,2,0))</f>
        <v>0</v>
      </c>
      <c r="BJ89" s="318">
        <f ca="1">IF(TYPE(VLOOKUP($A89,'4.kolo'!$L$3:$L$66,1,0))&gt;3,IF(TYPE(VLOOKUP($A89,'4.kolo'!$O$3:$Q$66,3,0))&gt;3,0,VLOOKUP($A89,'4.kolo'!$O$3:$Q$66,3,0)),VLOOKUP($A89,'4.kolo'!$L$3:$N$66,3,0))</f>
        <v>0</v>
      </c>
      <c r="BK89" s="318">
        <f t="shared" ca="1" si="56"/>
        <v>0</v>
      </c>
      <c r="BL89" s="397" t="s">
        <v>1869</v>
      </c>
      <c r="BM89" s="424" t="str">
        <f ca="1">IF(BL89="","",CONCATENATE(TEXT($O89,"0"),IF(Start.listina!$Y$5="","",TEXT(500+$P89,"000")),TEXT(999999*RAND(),"000000")))</f>
        <v/>
      </c>
      <c r="BN89" s="318">
        <f t="shared" ca="1" si="39"/>
        <v>0</v>
      </c>
      <c r="BQ89" s="318" t="str">
        <f ca="1">IF(TYPE(VLOOKUP($A89,'5.kolo'!$L$3:$L$66,1,0))&gt;3,IF(TYPE(VLOOKUP($A89,'5.kolo'!$K$3:$L$66,2,0))&gt;3,0,VLOOKUP($A89,'5.kolo'!$K$3:$L$66,2,0)),VLOOKUP($A89,'5.kolo'!$L$3:$O$66,4,0))</f>
        <v/>
      </c>
      <c r="BR89" s="318">
        <f ca="1">IF(TYPE(VLOOKUP($A89,'5.kolo'!$L$3:$L$66,1,0))&gt;3,IF(TYPE(VLOOKUP($A89,'5.kolo'!$O$3:$Q$66,2,0))&gt;3,0,VLOOKUP($A89,'5.kolo'!$O$3:$Q$66,2,0)),VLOOKUP($A89,'5.kolo'!$L$3:$N$66,2,0))</f>
        <v>0</v>
      </c>
      <c r="BS89" s="318">
        <f ca="1">IF(TYPE(VLOOKUP($A89,'5.kolo'!$L$3:$L$66,1,0))&gt;3,IF(TYPE(VLOOKUP($A89,'5.kolo'!$O$3:$Q$66,3,0))&gt;3,0,VLOOKUP($A89,'5.kolo'!$O$3:$Q$66,3,0)),VLOOKUP($A89,'5.kolo'!$L$3:$N$66,3,0))</f>
        <v>0</v>
      </c>
      <c r="BT89" s="318">
        <f t="shared" ca="1" si="57"/>
        <v>0</v>
      </c>
      <c r="BU89" s="397"/>
      <c r="BV89" s="424" t="str">
        <f ca="1">IF(BU89="","",CONCATENATE(TEXT($O89,"0"),IF(Start.listina!$Y$5="","",TEXT(500+$P89,"000")),TEXT(999999*RAND(),"000000")))</f>
        <v/>
      </c>
      <c r="BW89" s="318">
        <f t="shared" ca="1" si="40"/>
        <v>0</v>
      </c>
      <c r="BZ89" s="318" t="str">
        <f ca="1">IF(TYPE(VLOOKUP($A89,'6.kolo'!$L$3:$L$66,1,0))&gt;3,IF(TYPE(VLOOKUP($A89,'6.kolo'!$K$3:$L$66,2,0))&gt;3,0,VLOOKUP($A89,'6.kolo'!$K$3:$L$66,2,0)),VLOOKUP($A89,'6.kolo'!$L$3:$O$66,4,0))</f>
        <v/>
      </c>
      <c r="CA89" s="318">
        <f ca="1">IF(TYPE(VLOOKUP($A89,'6.kolo'!$L$3:$L$66,1,0))&gt;3,IF(TYPE(VLOOKUP($A89,'6.kolo'!$O$3:$Q$66,2,0))&gt;3,0,VLOOKUP($A89,'6.kolo'!$O$3:$Q$66,2,0)),VLOOKUP($A89,'6.kolo'!$L$3:$N$66,2,0))</f>
        <v>0</v>
      </c>
      <c r="CB89" s="318">
        <f ca="1">IF(TYPE(VLOOKUP($A89,'6.kolo'!$L$3:$L$66,1,0))&gt;3,IF(TYPE(VLOOKUP($A89,'6.kolo'!$O$3:$Q$66,3,0))&gt;3,0,VLOOKUP($A89,'6.kolo'!$O$3:$Q$66,3,0)),VLOOKUP($A89,'6.kolo'!$L$3:$N$66,3,0))</f>
        <v>0</v>
      </c>
      <c r="CC89" s="318">
        <f t="shared" ca="1" si="58"/>
        <v>0</v>
      </c>
      <c r="CD89" s="397"/>
      <c r="CE89" s="424" t="str">
        <f ca="1">IF(CD89="","",CONCATENATE(TEXT($O89,"0"),IF(Start.listina!$Y$5="","",TEXT(500+$P89,"000")),TEXT(999999*RAND(),"000000")))</f>
        <v/>
      </c>
      <c r="CF89" s="318">
        <f t="shared" ca="1" si="41"/>
        <v>0</v>
      </c>
    </row>
    <row r="90" spans="1:84" x14ac:dyDescent="0.4">
      <c r="A90" s="318" t="str">
        <f ca="1">IF(OR(Start.listina!H98&gt;Start.listina!$K$7,Start.listina!G98=TRUE),"",Start.listina!H98)</f>
        <v/>
      </c>
      <c r="B90" s="318" t="str">
        <f ca="1">IF($A90&gt;Start.listina!$K$7,"",INT(($A90-1)/Start.listina!$O$7)+1)</f>
        <v/>
      </c>
      <c r="C90" s="421" t="str">
        <f ca="1">IF(OR(Start.listina!H98&gt;Start.listina!$K$7,Start.listina!G98=TRUE)," - ",Start.listina!AL98)</f>
        <v xml:space="preserve"> - </v>
      </c>
      <c r="D90" s="318" t="str">
        <f ca="1">IF(OR(A90&gt;Start.listina!$K$7,TYPE(VLOOKUP(A90,$V$3:$X$130,3,0))&gt;3),"",VLOOKUP(A90,$V$3:$X$130,3,0))</f>
        <v/>
      </c>
      <c r="E90" s="422" t="str">
        <f ca="1">IF(A90&gt;Start.listina!$K$7,"",IF(MIN(F90:K90)&gt;Start.listina!$Y$4,D90,MIN(F90:K90)))</f>
        <v/>
      </c>
      <c r="F90" s="318">
        <f ca="1">IF(TYPE(VLOOKUP(C90,Konečné_pořadí_1_16!$B$2:$D$17,3,0))&lt;4,VLOOKUP(C90,Konečné_pořadí_1_16!$B$2:$D$17,3,0),999)</f>
        <v>999</v>
      </c>
      <c r="G90" s="318">
        <f ca="1">IF(TYPE(VLOOKUP(C90,'KO64'!$D$4:$D$129,1,0))&lt;4,64,999)</f>
        <v>64</v>
      </c>
      <c r="H90" s="318">
        <f ca="1">IF(TYPE(VLOOKUP(C90,'KO32'!$D$4:$D$65,1,0))&lt;4,32,999)</f>
        <v>32</v>
      </c>
      <c r="I90" s="318">
        <f ca="1">IF(TYPE(VLOOKUP(C90,'KO16'!$D$4:$D$33,1,0))&lt;4,16,999)</f>
        <v>999</v>
      </c>
      <c r="J90" s="318">
        <f ca="1">IF(TYPE(VLOOKUP(C90,'KO8'!$D$4:$D$17,1,0))&lt;4,8,999)</f>
        <v>999</v>
      </c>
      <c r="K90" s="318">
        <f ca="1">IF(TYPE(VLOOKUP(C90,'KO4'!$D$4:$D$9,1,0))&lt;4,4,999)</f>
        <v>999</v>
      </c>
      <c r="M90" s="319">
        <v>88</v>
      </c>
      <c r="O90" s="318">
        <f t="shared" ca="1" si="42"/>
        <v>0</v>
      </c>
      <c r="P90" s="318">
        <f t="shared" ca="1" si="43"/>
        <v>0</v>
      </c>
      <c r="Q90" s="318">
        <f t="shared" ca="1" si="34"/>
        <v>2</v>
      </c>
      <c r="R90" s="318">
        <f t="shared" ca="1" si="35"/>
        <v>0</v>
      </c>
      <c r="S90" s="318">
        <f t="shared" ca="1" si="44"/>
        <v>18</v>
      </c>
      <c r="T90" s="318">
        <f t="shared" ca="1" si="45"/>
        <v>0</v>
      </c>
      <c r="U90" s="397">
        <f t="shared" si="59"/>
        <v>88</v>
      </c>
      <c r="V90" s="397" t="s">
        <v>1869</v>
      </c>
      <c r="W90" s="423" t="str">
        <f ca="1">IF($V90="","",CONCATENATE(TEXT($O90,"0"),IF(Start.listina!$Y$5="","",TEXT(500+$P90,"0000")),IF(Start.listina!$Y$6="","",CHOOSE(Start.listina!$Y$7,TEXT($Q90,"00"),CONCATENATE(TEXT($Q90,"00"),TEXT($S90,"000")), TEXT($R90,"00"))),TEXT(500+$P90,"0000"),IF(Start.listina!$Y$8="","",TEXT($T90,"0")),TEXT(999999*RAND(),"000000")))</f>
        <v/>
      </c>
      <c r="X90" s="399">
        <f t="shared" si="46"/>
        <v>88</v>
      </c>
      <c r="Y90" s="397">
        <f t="shared" ca="1" si="36"/>
        <v>0</v>
      </c>
      <c r="Z90" s="318">
        <f t="shared" ca="1" si="47"/>
        <v>57</v>
      </c>
      <c r="AA90" s="318" t="str">
        <f t="shared" ca="1" si="48"/>
        <v/>
      </c>
      <c r="AB90" s="318" t="str">
        <f t="shared" ca="1" si="49"/>
        <v/>
      </c>
      <c r="AC90" s="318" t="str">
        <f t="shared" ca="1" si="50"/>
        <v/>
      </c>
      <c r="AD90" s="318" t="str">
        <f t="shared" ca="1" si="51"/>
        <v/>
      </c>
      <c r="AE90" s="318" t="str">
        <f t="shared" ca="1" si="52"/>
        <v/>
      </c>
      <c r="AG90" s="318">
        <f ca="1">IF(TYPE(VLOOKUP($A90,'1.kolo'!$L$3:$L$66,1,0))&gt;3,VLOOKUP($A90,'1.kolo'!$K$3:$L$66,2,0),VLOOKUP($A90,'1.kolo'!$L$3:$O$66,4,0))</f>
        <v>57</v>
      </c>
      <c r="AH90" s="318">
        <f ca="1">IF(TYPE(VLOOKUP($A90,'1.kolo'!$L$3:$L$66,1,0))&gt;3,VLOOKUP($A90,'1.kolo'!$O$3:$Q$66,2,0),VLOOKUP($A90,'1.kolo'!$L$3:$N$66,2,0))</f>
        <v>0</v>
      </c>
      <c r="AI90" s="318">
        <f ca="1">IF(TYPE(VLOOKUP($A90,'1.kolo'!$L$3:$L$66,1,0))&gt;3,VLOOKUP($A90,'1.kolo'!$O$3:$Q$66,3,0),VLOOKUP($A90,'1.kolo'!$L$3:$N$66,3,0))</f>
        <v>0</v>
      </c>
      <c r="AJ90" s="318">
        <f t="shared" ca="1" si="53"/>
        <v>0</v>
      </c>
      <c r="AK90" s="318">
        <v>88</v>
      </c>
      <c r="AL90" s="424"/>
      <c r="AP90" s="318" t="str">
        <f ca="1">IF(TYPE(VLOOKUP($A90,'2.kolo'!$L$3:$L$66,1,0))&gt;3,IF(TYPE(VLOOKUP($A90,'2.kolo'!$K$3:$L$66,2,0))&gt;3,0,VLOOKUP($A90,'2.kolo'!$K$3:$L$66,2,0)),VLOOKUP($A90,'2.kolo'!$L$3:$O$66,4,0))</f>
        <v/>
      </c>
      <c r="AQ90" s="318">
        <f ca="1">IF(TYPE(VLOOKUP($A90,'2.kolo'!$L$3:$L$66,1,0))&gt;3,IF(TYPE(VLOOKUP($A90,'2.kolo'!$O$3:$Q$66,2,0))&gt;3,0,VLOOKUP($A90,'2.kolo'!$O$3:$Q$66,2,0)),VLOOKUP($A90,'2.kolo'!$L$3:$N$66,2,0))</f>
        <v>0</v>
      </c>
      <c r="AR90" s="318">
        <f ca="1">IF(TYPE(VLOOKUP($A90,'2.kolo'!$L$3:$L$66,1,0))&gt;3,IF(TYPE(VLOOKUP($A90,'2.kolo'!$O$3:$Q$66,3,0))&gt;3,0,VLOOKUP($A90,'2.kolo'!$O$3:$Q$66,3,0)),VLOOKUP($A90,'2.kolo'!$L$3:$N$66,3,0))</f>
        <v>0</v>
      </c>
      <c r="AS90" s="318">
        <f t="shared" ca="1" si="54"/>
        <v>0</v>
      </c>
      <c r="AT90" s="397" t="s">
        <v>1869</v>
      </c>
      <c r="AU90" s="424" t="str">
        <f ca="1">IF(AT90="","",CONCATENATE(TEXT($O90,"0"),IF(Start.listina!$Y$5="","",TEXT(500+$P90,"000")),TEXT(999999*RAND(),"000000")))</f>
        <v/>
      </c>
      <c r="AV90" s="318">
        <f t="shared" ca="1" si="37"/>
        <v>0</v>
      </c>
      <c r="AY90" s="318" t="str">
        <f ca="1">IF(TYPE(VLOOKUP($A90,'3.kolo'!$L$3:$L$66,1,0))&gt;3,IF(TYPE(VLOOKUP($A90,'3.kolo'!$K$3:$L$66,2,0))&gt;3,0,VLOOKUP($A90,'3.kolo'!$K$3:$L$66,2,0)),VLOOKUP($A90,'3.kolo'!$L$3:$O$66,4,0))</f>
        <v/>
      </c>
      <c r="AZ90" s="318">
        <f ca="1">IF(TYPE(VLOOKUP($A90,'3.kolo'!$L$3:$L$66,1,0))&gt;3,IF(TYPE(VLOOKUP($A90,'3.kolo'!$O$3:$Q$66,2,0))&gt;3,0,VLOOKUP($A90,'3.kolo'!$O$3:$Q$66,2,0)),VLOOKUP($A90,'3.kolo'!$L$3:$N$66,2,0))</f>
        <v>0</v>
      </c>
      <c r="BA90" s="318">
        <f ca="1">IF(TYPE(VLOOKUP($A90,'3.kolo'!$L$3:$L$66,1,0))&gt;3,IF(TYPE(VLOOKUP($A90,'3.kolo'!$O$3:$Q$66,3,0))&gt;3,0,VLOOKUP($A90,'3.kolo'!$O$3:$Q$66,3,0)),VLOOKUP($A90,'3.kolo'!$L$3:$N$66,3,0))</f>
        <v>0</v>
      </c>
      <c r="BB90" s="318">
        <f t="shared" ca="1" si="55"/>
        <v>0</v>
      </c>
      <c r="BC90" s="397" t="s">
        <v>1869</v>
      </c>
      <c r="BD90" s="424" t="str">
        <f ca="1">IF(BC90="","",CONCATENATE(TEXT($O90,"0"),IF(Start.listina!$Y$5="","",TEXT(500+$P90,"000")),TEXT(999999*RAND(),"000000")))</f>
        <v/>
      </c>
      <c r="BE90" s="318">
        <f t="shared" ca="1" si="38"/>
        <v>0</v>
      </c>
      <c r="BH90" s="318" t="str">
        <f ca="1">IF(TYPE(VLOOKUP($A90,'4.kolo'!$L$3:$L$66,1,0))&gt;3,IF(TYPE(VLOOKUP($A90,'4.kolo'!$K$3:$L$66,2,0))&gt;3,0,VLOOKUP($A90,'4.kolo'!$K$3:$L$66,2,0)),VLOOKUP($A90,'4.kolo'!$L$3:$O$66,4,0))</f>
        <v/>
      </c>
      <c r="BI90" s="318">
        <f ca="1">IF(TYPE(VLOOKUP($A90,'4.kolo'!$L$3:$L$66,1,0))&gt;3,IF(TYPE(VLOOKUP($A90,'4.kolo'!$O$3:$Q$66,2,0))&gt;3,0,VLOOKUP($A90,'4.kolo'!$O$3:$Q$66,2,0)),VLOOKUP($A90,'4.kolo'!$L$3:$N$66,2,0))</f>
        <v>0</v>
      </c>
      <c r="BJ90" s="318">
        <f ca="1">IF(TYPE(VLOOKUP($A90,'4.kolo'!$L$3:$L$66,1,0))&gt;3,IF(TYPE(VLOOKUP($A90,'4.kolo'!$O$3:$Q$66,3,0))&gt;3,0,VLOOKUP($A90,'4.kolo'!$O$3:$Q$66,3,0)),VLOOKUP($A90,'4.kolo'!$L$3:$N$66,3,0))</f>
        <v>0</v>
      </c>
      <c r="BK90" s="318">
        <f t="shared" ca="1" si="56"/>
        <v>0</v>
      </c>
      <c r="BL90" s="397" t="s">
        <v>1869</v>
      </c>
      <c r="BM90" s="424" t="str">
        <f ca="1">IF(BL90="","",CONCATENATE(TEXT($O90,"0"),IF(Start.listina!$Y$5="","",TEXT(500+$P90,"000")),TEXT(999999*RAND(),"000000")))</f>
        <v/>
      </c>
      <c r="BN90" s="318">
        <f t="shared" ca="1" si="39"/>
        <v>0</v>
      </c>
      <c r="BQ90" s="318" t="str">
        <f ca="1">IF(TYPE(VLOOKUP($A90,'5.kolo'!$L$3:$L$66,1,0))&gt;3,IF(TYPE(VLOOKUP($A90,'5.kolo'!$K$3:$L$66,2,0))&gt;3,0,VLOOKUP($A90,'5.kolo'!$K$3:$L$66,2,0)),VLOOKUP($A90,'5.kolo'!$L$3:$O$66,4,0))</f>
        <v/>
      </c>
      <c r="BR90" s="318">
        <f ca="1">IF(TYPE(VLOOKUP($A90,'5.kolo'!$L$3:$L$66,1,0))&gt;3,IF(TYPE(VLOOKUP($A90,'5.kolo'!$O$3:$Q$66,2,0))&gt;3,0,VLOOKUP($A90,'5.kolo'!$O$3:$Q$66,2,0)),VLOOKUP($A90,'5.kolo'!$L$3:$N$66,2,0))</f>
        <v>0</v>
      </c>
      <c r="BS90" s="318">
        <f ca="1">IF(TYPE(VLOOKUP($A90,'5.kolo'!$L$3:$L$66,1,0))&gt;3,IF(TYPE(VLOOKUP($A90,'5.kolo'!$O$3:$Q$66,3,0))&gt;3,0,VLOOKUP($A90,'5.kolo'!$O$3:$Q$66,3,0)),VLOOKUP($A90,'5.kolo'!$L$3:$N$66,3,0))</f>
        <v>0</v>
      </c>
      <c r="BT90" s="318">
        <f t="shared" ca="1" si="57"/>
        <v>0</v>
      </c>
      <c r="BU90" s="397"/>
      <c r="BV90" s="424" t="str">
        <f ca="1">IF(BU90="","",CONCATENATE(TEXT($O90,"0"),IF(Start.listina!$Y$5="","",TEXT(500+$P90,"000")),TEXT(999999*RAND(),"000000")))</f>
        <v/>
      </c>
      <c r="BW90" s="318">
        <f t="shared" ca="1" si="40"/>
        <v>0</v>
      </c>
      <c r="BZ90" s="318" t="str">
        <f ca="1">IF(TYPE(VLOOKUP($A90,'6.kolo'!$L$3:$L$66,1,0))&gt;3,IF(TYPE(VLOOKUP($A90,'6.kolo'!$K$3:$L$66,2,0))&gt;3,0,VLOOKUP($A90,'6.kolo'!$K$3:$L$66,2,0)),VLOOKUP($A90,'6.kolo'!$L$3:$O$66,4,0))</f>
        <v/>
      </c>
      <c r="CA90" s="318">
        <f ca="1">IF(TYPE(VLOOKUP($A90,'6.kolo'!$L$3:$L$66,1,0))&gt;3,IF(TYPE(VLOOKUP($A90,'6.kolo'!$O$3:$Q$66,2,0))&gt;3,0,VLOOKUP($A90,'6.kolo'!$O$3:$Q$66,2,0)),VLOOKUP($A90,'6.kolo'!$L$3:$N$66,2,0))</f>
        <v>0</v>
      </c>
      <c r="CB90" s="318">
        <f ca="1">IF(TYPE(VLOOKUP($A90,'6.kolo'!$L$3:$L$66,1,0))&gt;3,IF(TYPE(VLOOKUP($A90,'6.kolo'!$O$3:$Q$66,3,0))&gt;3,0,VLOOKUP($A90,'6.kolo'!$O$3:$Q$66,3,0)),VLOOKUP($A90,'6.kolo'!$L$3:$N$66,3,0))</f>
        <v>0</v>
      </c>
      <c r="CC90" s="318">
        <f t="shared" ca="1" si="58"/>
        <v>0</v>
      </c>
      <c r="CD90" s="397"/>
      <c r="CE90" s="424" t="str">
        <f ca="1">IF(CD90="","",CONCATENATE(TEXT($O90,"0"),IF(Start.listina!$Y$5="","",TEXT(500+$P90,"000")),TEXT(999999*RAND(),"000000")))</f>
        <v/>
      </c>
      <c r="CF90" s="318">
        <f t="shared" ca="1" si="41"/>
        <v>0</v>
      </c>
    </row>
    <row r="91" spans="1:84" x14ac:dyDescent="0.4">
      <c r="A91" s="318" t="str">
        <f ca="1">IF(OR(Start.listina!H99&gt;Start.listina!$K$7,Start.listina!G99=TRUE),"",Start.listina!H99)</f>
        <v/>
      </c>
      <c r="B91" s="318" t="str">
        <f ca="1">IF($A91&gt;Start.listina!$K$7,"",INT(($A91-1)/Start.listina!$O$7)+1)</f>
        <v/>
      </c>
      <c r="C91" s="421" t="str">
        <f ca="1">IF(OR(Start.listina!H99&gt;Start.listina!$K$7,Start.listina!G99=TRUE)," - ",Start.listina!AL99)</f>
        <v xml:space="preserve"> - </v>
      </c>
      <c r="D91" s="318" t="str">
        <f ca="1">IF(OR(A91&gt;Start.listina!$K$7,TYPE(VLOOKUP(A91,$V$3:$X$130,3,0))&gt;3),"",VLOOKUP(A91,$V$3:$X$130,3,0))</f>
        <v/>
      </c>
      <c r="E91" s="422" t="str">
        <f ca="1">IF(A91&gt;Start.listina!$K$7,"",IF(MIN(F91:K91)&gt;Start.listina!$Y$4,D91,MIN(F91:K91)))</f>
        <v/>
      </c>
      <c r="F91" s="318">
        <f ca="1">IF(TYPE(VLOOKUP(C91,Konečné_pořadí_1_16!$B$2:$D$17,3,0))&lt;4,VLOOKUP(C91,Konečné_pořadí_1_16!$B$2:$D$17,3,0),999)</f>
        <v>999</v>
      </c>
      <c r="G91" s="318">
        <f ca="1">IF(TYPE(VLOOKUP(C91,'KO64'!$D$4:$D$129,1,0))&lt;4,64,999)</f>
        <v>64</v>
      </c>
      <c r="H91" s="318">
        <f ca="1">IF(TYPE(VLOOKUP(C91,'KO32'!$D$4:$D$65,1,0))&lt;4,32,999)</f>
        <v>32</v>
      </c>
      <c r="I91" s="318">
        <f ca="1">IF(TYPE(VLOOKUP(C91,'KO16'!$D$4:$D$33,1,0))&lt;4,16,999)</f>
        <v>999</v>
      </c>
      <c r="J91" s="318">
        <f ca="1">IF(TYPE(VLOOKUP(C91,'KO8'!$D$4:$D$17,1,0))&lt;4,8,999)</f>
        <v>999</v>
      </c>
      <c r="K91" s="318">
        <f ca="1">IF(TYPE(VLOOKUP(C91,'KO4'!$D$4:$D$9,1,0))&lt;4,4,999)</f>
        <v>999</v>
      </c>
      <c r="M91" s="319">
        <v>89</v>
      </c>
      <c r="O91" s="318">
        <f t="shared" ca="1" si="42"/>
        <v>0</v>
      </c>
      <c r="P91" s="318">
        <f t="shared" ca="1" si="43"/>
        <v>0</v>
      </c>
      <c r="Q91" s="318">
        <f t="shared" ca="1" si="34"/>
        <v>2</v>
      </c>
      <c r="R91" s="318">
        <f t="shared" ca="1" si="35"/>
        <v>0</v>
      </c>
      <c r="S91" s="318">
        <f t="shared" ca="1" si="44"/>
        <v>18</v>
      </c>
      <c r="T91" s="318">
        <f t="shared" ca="1" si="45"/>
        <v>0</v>
      </c>
      <c r="U91" s="397">
        <f t="shared" si="59"/>
        <v>89</v>
      </c>
      <c r="V91" s="397" t="s">
        <v>1869</v>
      </c>
      <c r="W91" s="423" t="str">
        <f ca="1">IF($V91="","",CONCATENATE(TEXT($O91,"0"),IF(Start.listina!$Y$5="","",TEXT(500+$P91,"0000")),IF(Start.listina!$Y$6="","",CHOOSE(Start.listina!$Y$7,TEXT($Q91,"00"),CONCATENATE(TEXT($Q91,"00"),TEXT($S91,"000")), TEXT($R91,"00"))),TEXT(500+$P91,"0000"),IF(Start.listina!$Y$8="","",TEXT($T91,"0")),TEXT(999999*RAND(),"000000")))</f>
        <v/>
      </c>
      <c r="X91" s="399">
        <f t="shared" si="46"/>
        <v>89</v>
      </c>
      <c r="Y91" s="397">
        <f t="shared" ca="1" si="36"/>
        <v>0</v>
      </c>
      <c r="Z91" s="318">
        <f t="shared" ca="1" si="47"/>
        <v>57</v>
      </c>
      <c r="AA91" s="318" t="str">
        <f t="shared" ca="1" si="48"/>
        <v/>
      </c>
      <c r="AB91" s="318" t="str">
        <f t="shared" ca="1" si="49"/>
        <v/>
      </c>
      <c r="AC91" s="318" t="str">
        <f t="shared" ca="1" si="50"/>
        <v/>
      </c>
      <c r="AD91" s="318" t="str">
        <f t="shared" ca="1" si="51"/>
        <v/>
      </c>
      <c r="AE91" s="318" t="str">
        <f t="shared" ca="1" si="52"/>
        <v/>
      </c>
      <c r="AG91" s="318">
        <f ca="1">IF(TYPE(VLOOKUP($A91,'1.kolo'!$L$3:$L$66,1,0))&gt;3,VLOOKUP($A91,'1.kolo'!$K$3:$L$66,2,0),VLOOKUP($A91,'1.kolo'!$L$3:$O$66,4,0))</f>
        <v>57</v>
      </c>
      <c r="AH91" s="318">
        <f ca="1">IF(TYPE(VLOOKUP($A91,'1.kolo'!$L$3:$L$66,1,0))&gt;3,VLOOKUP($A91,'1.kolo'!$O$3:$Q$66,2,0),VLOOKUP($A91,'1.kolo'!$L$3:$N$66,2,0))</f>
        <v>0</v>
      </c>
      <c r="AI91" s="318">
        <f ca="1">IF(TYPE(VLOOKUP($A91,'1.kolo'!$L$3:$L$66,1,0))&gt;3,VLOOKUP($A91,'1.kolo'!$O$3:$Q$66,3,0),VLOOKUP($A91,'1.kolo'!$L$3:$N$66,3,0))</f>
        <v>0</v>
      </c>
      <c r="AJ91" s="318">
        <f t="shared" ca="1" si="53"/>
        <v>0</v>
      </c>
      <c r="AK91" s="318">
        <v>89</v>
      </c>
      <c r="AL91" s="424"/>
      <c r="AP91" s="318" t="str">
        <f ca="1">IF(TYPE(VLOOKUP($A91,'2.kolo'!$L$3:$L$66,1,0))&gt;3,IF(TYPE(VLOOKUP($A91,'2.kolo'!$K$3:$L$66,2,0))&gt;3,0,VLOOKUP($A91,'2.kolo'!$K$3:$L$66,2,0)),VLOOKUP($A91,'2.kolo'!$L$3:$O$66,4,0))</f>
        <v/>
      </c>
      <c r="AQ91" s="318">
        <f ca="1">IF(TYPE(VLOOKUP($A91,'2.kolo'!$L$3:$L$66,1,0))&gt;3,IF(TYPE(VLOOKUP($A91,'2.kolo'!$O$3:$Q$66,2,0))&gt;3,0,VLOOKUP($A91,'2.kolo'!$O$3:$Q$66,2,0)),VLOOKUP($A91,'2.kolo'!$L$3:$N$66,2,0))</f>
        <v>0</v>
      </c>
      <c r="AR91" s="318">
        <f ca="1">IF(TYPE(VLOOKUP($A91,'2.kolo'!$L$3:$L$66,1,0))&gt;3,IF(TYPE(VLOOKUP($A91,'2.kolo'!$O$3:$Q$66,3,0))&gt;3,0,VLOOKUP($A91,'2.kolo'!$O$3:$Q$66,3,0)),VLOOKUP($A91,'2.kolo'!$L$3:$N$66,3,0))</f>
        <v>0</v>
      </c>
      <c r="AS91" s="318">
        <f t="shared" ca="1" si="54"/>
        <v>0</v>
      </c>
      <c r="AT91" s="397" t="s">
        <v>1869</v>
      </c>
      <c r="AU91" s="424" t="str">
        <f ca="1">IF(AT91="","",CONCATENATE(TEXT($O91,"0"),IF(Start.listina!$Y$5="","",TEXT(500+$P91,"000")),TEXT(999999*RAND(),"000000")))</f>
        <v/>
      </c>
      <c r="AV91" s="318">
        <f t="shared" ca="1" si="37"/>
        <v>0</v>
      </c>
      <c r="AY91" s="318" t="str">
        <f ca="1">IF(TYPE(VLOOKUP($A91,'3.kolo'!$L$3:$L$66,1,0))&gt;3,IF(TYPE(VLOOKUP($A91,'3.kolo'!$K$3:$L$66,2,0))&gt;3,0,VLOOKUP($A91,'3.kolo'!$K$3:$L$66,2,0)),VLOOKUP($A91,'3.kolo'!$L$3:$O$66,4,0))</f>
        <v/>
      </c>
      <c r="AZ91" s="318">
        <f ca="1">IF(TYPE(VLOOKUP($A91,'3.kolo'!$L$3:$L$66,1,0))&gt;3,IF(TYPE(VLOOKUP($A91,'3.kolo'!$O$3:$Q$66,2,0))&gt;3,0,VLOOKUP($A91,'3.kolo'!$O$3:$Q$66,2,0)),VLOOKUP($A91,'3.kolo'!$L$3:$N$66,2,0))</f>
        <v>0</v>
      </c>
      <c r="BA91" s="318">
        <f ca="1">IF(TYPE(VLOOKUP($A91,'3.kolo'!$L$3:$L$66,1,0))&gt;3,IF(TYPE(VLOOKUP($A91,'3.kolo'!$O$3:$Q$66,3,0))&gt;3,0,VLOOKUP($A91,'3.kolo'!$O$3:$Q$66,3,0)),VLOOKUP($A91,'3.kolo'!$L$3:$N$66,3,0))</f>
        <v>0</v>
      </c>
      <c r="BB91" s="318">
        <f t="shared" ca="1" si="55"/>
        <v>0</v>
      </c>
      <c r="BC91" s="397" t="s">
        <v>1869</v>
      </c>
      <c r="BD91" s="424" t="str">
        <f ca="1">IF(BC91="","",CONCATENATE(TEXT($O91,"0"),IF(Start.listina!$Y$5="","",TEXT(500+$P91,"000")),TEXT(999999*RAND(),"000000")))</f>
        <v/>
      </c>
      <c r="BE91" s="318">
        <f t="shared" ca="1" si="38"/>
        <v>0</v>
      </c>
      <c r="BH91" s="318" t="str">
        <f ca="1">IF(TYPE(VLOOKUP($A91,'4.kolo'!$L$3:$L$66,1,0))&gt;3,IF(TYPE(VLOOKUP($A91,'4.kolo'!$K$3:$L$66,2,0))&gt;3,0,VLOOKUP($A91,'4.kolo'!$K$3:$L$66,2,0)),VLOOKUP($A91,'4.kolo'!$L$3:$O$66,4,0))</f>
        <v/>
      </c>
      <c r="BI91" s="318">
        <f ca="1">IF(TYPE(VLOOKUP($A91,'4.kolo'!$L$3:$L$66,1,0))&gt;3,IF(TYPE(VLOOKUP($A91,'4.kolo'!$O$3:$Q$66,2,0))&gt;3,0,VLOOKUP($A91,'4.kolo'!$O$3:$Q$66,2,0)),VLOOKUP($A91,'4.kolo'!$L$3:$N$66,2,0))</f>
        <v>0</v>
      </c>
      <c r="BJ91" s="318">
        <f ca="1">IF(TYPE(VLOOKUP($A91,'4.kolo'!$L$3:$L$66,1,0))&gt;3,IF(TYPE(VLOOKUP($A91,'4.kolo'!$O$3:$Q$66,3,0))&gt;3,0,VLOOKUP($A91,'4.kolo'!$O$3:$Q$66,3,0)),VLOOKUP($A91,'4.kolo'!$L$3:$N$66,3,0))</f>
        <v>0</v>
      </c>
      <c r="BK91" s="318">
        <f t="shared" ca="1" si="56"/>
        <v>0</v>
      </c>
      <c r="BL91" s="397" t="s">
        <v>1869</v>
      </c>
      <c r="BM91" s="424" t="str">
        <f ca="1">IF(BL91="","",CONCATENATE(TEXT($O91,"0"),IF(Start.listina!$Y$5="","",TEXT(500+$P91,"000")),TEXT(999999*RAND(),"000000")))</f>
        <v/>
      </c>
      <c r="BN91" s="318">
        <f t="shared" ca="1" si="39"/>
        <v>0</v>
      </c>
      <c r="BQ91" s="318" t="str">
        <f ca="1">IF(TYPE(VLOOKUP($A91,'5.kolo'!$L$3:$L$66,1,0))&gt;3,IF(TYPE(VLOOKUP($A91,'5.kolo'!$K$3:$L$66,2,0))&gt;3,0,VLOOKUP($A91,'5.kolo'!$K$3:$L$66,2,0)),VLOOKUP($A91,'5.kolo'!$L$3:$O$66,4,0))</f>
        <v/>
      </c>
      <c r="BR91" s="318">
        <f ca="1">IF(TYPE(VLOOKUP($A91,'5.kolo'!$L$3:$L$66,1,0))&gt;3,IF(TYPE(VLOOKUP($A91,'5.kolo'!$O$3:$Q$66,2,0))&gt;3,0,VLOOKUP($A91,'5.kolo'!$O$3:$Q$66,2,0)),VLOOKUP($A91,'5.kolo'!$L$3:$N$66,2,0))</f>
        <v>0</v>
      </c>
      <c r="BS91" s="318">
        <f ca="1">IF(TYPE(VLOOKUP($A91,'5.kolo'!$L$3:$L$66,1,0))&gt;3,IF(TYPE(VLOOKUP($A91,'5.kolo'!$O$3:$Q$66,3,0))&gt;3,0,VLOOKUP($A91,'5.kolo'!$O$3:$Q$66,3,0)),VLOOKUP($A91,'5.kolo'!$L$3:$N$66,3,0))</f>
        <v>0</v>
      </c>
      <c r="BT91" s="318">
        <f t="shared" ca="1" si="57"/>
        <v>0</v>
      </c>
      <c r="BU91" s="397"/>
      <c r="BV91" s="424" t="str">
        <f ca="1">IF(BU91="","",CONCATENATE(TEXT($O91,"0"),IF(Start.listina!$Y$5="","",TEXT(500+$P91,"000")),TEXT(999999*RAND(),"000000")))</f>
        <v/>
      </c>
      <c r="BW91" s="318">
        <f t="shared" ca="1" si="40"/>
        <v>0</v>
      </c>
      <c r="BZ91" s="318" t="str">
        <f ca="1">IF(TYPE(VLOOKUP($A91,'6.kolo'!$L$3:$L$66,1,0))&gt;3,IF(TYPE(VLOOKUP($A91,'6.kolo'!$K$3:$L$66,2,0))&gt;3,0,VLOOKUP($A91,'6.kolo'!$K$3:$L$66,2,0)),VLOOKUP($A91,'6.kolo'!$L$3:$O$66,4,0))</f>
        <v/>
      </c>
      <c r="CA91" s="318">
        <f ca="1">IF(TYPE(VLOOKUP($A91,'6.kolo'!$L$3:$L$66,1,0))&gt;3,IF(TYPE(VLOOKUP($A91,'6.kolo'!$O$3:$Q$66,2,0))&gt;3,0,VLOOKUP($A91,'6.kolo'!$O$3:$Q$66,2,0)),VLOOKUP($A91,'6.kolo'!$L$3:$N$66,2,0))</f>
        <v>0</v>
      </c>
      <c r="CB91" s="318">
        <f ca="1">IF(TYPE(VLOOKUP($A91,'6.kolo'!$L$3:$L$66,1,0))&gt;3,IF(TYPE(VLOOKUP($A91,'6.kolo'!$O$3:$Q$66,3,0))&gt;3,0,VLOOKUP($A91,'6.kolo'!$O$3:$Q$66,3,0)),VLOOKUP($A91,'6.kolo'!$L$3:$N$66,3,0))</f>
        <v>0</v>
      </c>
      <c r="CC91" s="318">
        <f t="shared" ca="1" si="58"/>
        <v>0</v>
      </c>
      <c r="CD91" s="397"/>
      <c r="CE91" s="424" t="str">
        <f ca="1">IF(CD91="","",CONCATENATE(TEXT($O91,"0"),IF(Start.listina!$Y$5="","",TEXT(500+$P91,"000")),TEXT(999999*RAND(),"000000")))</f>
        <v/>
      </c>
      <c r="CF91" s="318">
        <f t="shared" ca="1" si="41"/>
        <v>0</v>
      </c>
    </row>
    <row r="92" spans="1:84" x14ac:dyDescent="0.4">
      <c r="A92" s="318" t="str">
        <f ca="1">IF(OR(Start.listina!H100&gt;Start.listina!$K$7,Start.listina!G100=TRUE),"",Start.listina!H100)</f>
        <v/>
      </c>
      <c r="B92" s="318" t="str">
        <f ca="1">IF($A92&gt;Start.listina!$K$7,"",INT(($A92-1)/Start.listina!$O$7)+1)</f>
        <v/>
      </c>
      <c r="C92" s="421" t="str">
        <f ca="1">IF(OR(Start.listina!H100&gt;Start.listina!$K$7,Start.listina!G100=TRUE)," - ",Start.listina!AL100)</f>
        <v xml:space="preserve"> - </v>
      </c>
      <c r="D92" s="318" t="str">
        <f ca="1">IF(OR(A92&gt;Start.listina!$K$7,TYPE(VLOOKUP(A92,$V$3:$X$130,3,0))&gt;3),"",VLOOKUP(A92,$V$3:$X$130,3,0))</f>
        <v/>
      </c>
      <c r="E92" s="422" t="str">
        <f ca="1">IF(A92&gt;Start.listina!$K$7,"",IF(MIN(F92:K92)&gt;Start.listina!$Y$4,D92,MIN(F92:K92)))</f>
        <v/>
      </c>
      <c r="F92" s="318">
        <f ca="1">IF(TYPE(VLOOKUP(C92,Konečné_pořadí_1_16!$B$2:$D$17,3,0))&lt;4,VLOOKUP(C92,Konečné_pořadí_1_16!$B$2:$D$17,3,0),999)</f>
        <v>999</v>
      </c>
      <c r="G92" s="318">
        <f ca="1">IF(TYPE(VLOOKUP(C92,'KO64'!$D$4:$D$129,1,0))&lt;4,64,999)</f>
        <v>64</v>
      </c>
      <c r="H92" s="318">
        <f ca="1">IF(TYPE(VLOOKUP(C92,'KO32'!$D$4:$D$65,1,0))&lt;4,32,999)</f>
        <v>32</v>
      </c>
      <c r="I92" s="318">
        <f ca="1">IF(TYPE(VLOOKUP(C92,'KO16'!$D$4:$D$33,1,0))&lt;4,16,999)</f>
        <v>999</v>
      </c>
      <c r="J92" s="318">
        <f ca="1">IF(TYPE(VLOOKUP(C92,'KO8'!$D$4:$D$17,1,0))&lt;4,8,999)</f>
        <v>999</v>
      </c>
      <c r="K92" s="318">
        <f ca="1">IF(TYPE(VLOOKUP(C92,'KO4'!$D$4:$D$9,1,0))&lt;4,4,999)</f>
        <v>999</v>
      </c>
      <c r="M92" s="319">
        <v>90</v>
      </c>
      <c r="O92" s="318">
        <f t="shared" ca="1" si="42"/>
        <v>0</v>
      </c>
      <c r="P92" s="318">
        <f t="shared" ca="1" si="43"/>
        <v>0</v>
      </c>
      <c r="Q92" s="318">
        <f t="shared" ca="1" si="34"/>
        <v>2</v>
      </c>
      <c r="R92" s="318">
        <f t="shared" ca="1" si="35"/>
        <v>0</v>
      </c>
      <c r="S92" s="318">
        <f t="shared" ca="1" si="44"/>
        <v>18</v>
      </c>
      <c r="T92" s="318">
        <f t="shared" ca="1" si="45"/>
        <v>0</v>
      </c>
      <c r="U92" s="397">
        <f t="shared" si="59"/>
        <v>90</v>
      </c>
      <c r="V92" s="397" t="s">
        <v>1869</v>
      </c>
      <c r="W92" s="423" t="str">
        <f ca="1">IF($V92="","",CONCATENATE(TEXT($O92,"0"),IF(Start.listina!$Y$5="","",TEXT(500+$P92,"0000")),IF(Start.listina!$Y$6="","",CHOOSE(Start.listina!$Y$7,TEXT($Q92,"00"),CONCATENATE(TEXT($Q92,"00"),TEXT($S92,"000")), TEXT($R92,"00"))),TEXT(500+$P92,"0000"),IF(Start.listina!$Y$8="","",TEXT($T92,"0")),TEXT(999999*RAND(),"000000")))</f>
        <v/>
      </c>
      <c r="X92" s="399">
        <f t="shared" si="46"/>
        <v>90</v>
      </c>
      <c r="Y92" s="397">
        <f t="shared" ca="1" si="36"/>
        <v>0</v>
      </c>
      <c r="Z92" s="318">
        <f t="shared" ca="1" si="47"/>
        <v>57</v>
      </c>
      <c r="AA92" s="318" t="str">
        <f t="shared" ca="1" si="48"/>
        <v/>
      </c>
      <c r="AB92" s="318" t="str">
        <f t="shared" ca="1" si="49"/>
        <v/>
      </c>
      <c r="AC92" s="318" t="str">
        <f t="shared" ca="1" si="50"/>
        <v/>
      </c>
      <c r="AD92" s="318" t="str">
        <f t="shared" ca="1" si="51"/>
        <v/>
      </c>
      <c r="AE92" s="318" t="str">
        <f t="shared" ca="1" si="52"/>
        <v/>
      </c>
      <c r="AG92" s="318">
        <f ca="1">IF(TYPE(VLOOKUP($A92,'1.kolo'!$L$3:$L$66,1,0))&gt;3,VLOOKUP($A92,'1.kolo'!$K$3:$L$66,2,0),VLOOKUP($A92,'1.kolo'!$L$3:$O$66,4,0))</f>
        <v>57</v>
      </c>
      <c r="AH92" s="318">
        <f ca="1">IF(TYPE(VLOOKUP($A92,'1.kolo'!$L$3:$L$66,1,0))&gt;3,VLOOKUP($A92,'1.kolo'!$O$3:$Q$66,2,0),VLOOKUP($A92,'1.kolo'!$L$3:$N$66,2,0))</f>
        <v>0</v>
      </c>
      <c r="AI92" s="318">
        <f ca="1">IF(TYPE(VLOOKUP($A92,'1.kolo'!$L$3:$L$66,1,0))&gt;3,VLOOKUP($A92,'1.kolo'!$O$3:$Q$66,3,0),VLOOKUP($A92,'1.kolo'!$L$3:$N$66,3,0))</f>
        <v>0</v>
      </c>
      <c r="AJ92" s="318">
        <f t="shared" ca="1" si="53"/>
        <v>0</v>
      </c>
      <c r="AK92" s="318">
        <v>90</v>
      </c>
      <c r="AL92" s="424"/>
      <c r="AP92" s="318" t="str">
        <f ca="1">IF(TYPE(VLOOKUP($A92,'2.kolo'!$L$3:$L$66,1,0))&gt;3,IF(TYPE(VLOOKUP($A92,'2.kolo'!$K$3:$L$66,2,0))&gt;3,0,VLOOKUP($A92,'2.kolo'!$K$3:$L$66,2,0)),VLOOKUP($A92,'2.kolo'!$L$3:$O$66,4,0))</f>
        <v/>
      </c>
      <c r="AQ92" s="318">
        <f ca="1">IF(TYPE(VLOOKUP($A92,'2.kolo'!$L$3:$L$66,1,0))&gt;3,IF(TYPE(VLOOKUP($A92,'2.kolo'!$O$3:$Q$66,2,0))&gt;3,0,VLOOKUP($A92,'2.kolo'!$O$3:$Q$66,2,0)),VLOOKUP($A92,'2.kolo'!$L$3:$N$66,2,0))</f>
        <v>0</v>
      </c>
      <c r="AR92" s="318">
        <f ca="1">IF(TYPE(VLOOKUP($A92,'2.kolo'!$L$3:$L$66,1,0))&gt;3,IF(TYPE(VLOOKUP($A92,'2.kolo'!$O$3:$Q$66,3,0))&gt;3,0,VLOOKUP($A92,'2.kolo'!$O$3:$Q$66,3,0)),VLOOKUP($A92,'2.kolo'!$L$3:$N$66,3,0))</f>
        <v>0</v>
      </c>
      <c r="AS92" s="318">
        <f t="shared" ca="1" si="54"/>
        <v>0</v>
      </c>
      <c r="AT92" s="397" t="s">
        <v>1869</v>
      </c>
      <c r="AU92" s="424" t="str">
        <f ca="1">IF(AT92="","",CONCATENATE(TEXT($O92,"0"),IF(Start.listina!$Y$5="","",TEXT(500+$P92,"000")),TEXT(999999*RAND(),"000000")))</f>
        <v/>
      </c>
      <c r="AV92" s="318">
        <f t="shared" ca="1" si="37"/>
        <v>0</v>
      </c>
      <c r="AY92" s="318" t="str">
        <f ca="1">IF(TYPE(VLOOKUP($A92,'3.kolo'!$L$3:$L$66,1,0))&gt;3,IF(TYPE(VLOOKUP($A92,'3.kolo'!$K$3:$L$66,2,0))&gt;3,0,VLOOKUP($A92,'3.kolo'!$K$3:$L$66,2,0)),VLOOKUP($A92,'3.kolo'!$L$3:$O$66,4,0))</f>
        <v/>
      </c>
      <c r="AZ92" s="318">
        <f ca="1">IF(TYPE(VLOOKUP($A92,'3.kolo'!$L$3:$L$66,1,0))&gt;3,IF(TYPE(VLOOKUP($A92,'3.kolo'!$O$3:$Q$66,2,0))&gt;3,0,VLOOKUP($A92,'3.kolo'!$O$3:$Q$66,2,0)),VLOOKUP($A92,'3.kolo'!$L$3:$N$66,2,0))</f>
        <v>0</v>
      </c>
      <c r="BA92" s="318">
        <f ca="1">IF(TYPE(VLOOKUP($A92,'3.kolo'!$L$3:$L$66,1,0))&gt;3,IF(TYPE(VLOOKUP($A92,'3.kolo'!$O$3:$Q$66,3,0))&gt;3,0,VLOOKUP($A92,'3.kolo'!$O$3:$Q$66,3,0)),VLOOKUP($A92,'3.kolo'!$L$3:$N$66,3,0))</f>
        <v>0</v>
      </c>
      <c r="BB92" s="318">
        <f t="shared" ca="1" si="55"/>
        <v>0</v>
      </c>
      <c r="BC92" s="397" t="s">
        <v>1869</v>
      </c>
      <c r="BD92" s="424" t="str">
        <f ca="1">IF(BC92="","",CONCATENATE(TEXT($O92,"0"),IF(Start.listina!$Y$5="","",TEXT(500+$P92,"000")),TEXT(999999*RAND(),"000000")))</f>
        <v/>
      </c>
      <c r="BE92" s="318">
        <f t="shared" ca="1" si="38"/>
        <v>0</v>
      </c>
      <c r="BH92" s="318" t="str">
        <f ca="1">IF(TYPE(VLOOKUP($A92,'4.kolo'!$L$3:$L$66,1,0))&gt;3,IF(TYPE(VLOOKUP($A92,'4.kolo'!$K$3:$L$66,2,0))&gt;3,0,VLOOKUP($A92,'4.kolo'!$K$3:$L$66,2,0)),VLOOKUP($A92,'4.kolo'!$L$3:$O$66,4,0))</f>
        <v/>
      </c>
      <c r="BI92" s="318">
        <f ca="1">IF(TYPE(VLOOKUP($A92,'4.kolo'!$L$3:$L$66,1,0))&gt;3,IF(TYPE(VLOOKUP($A92,'4.kolo'!$O$3:$Q$66,2,0))&gt;3,0,VLOOKUP($A92,'4.kolo'!$O$3:$Q$66,2,0)),VLOOKUP($A92,'4.kolo'!$L$3:$N$66,2,0))</f>
        <v>0</v>
      </c>
      <c r="BJ92" s="318">
        <f ca="1">IF(TYPE(VLOOKUP($A92,'4.kolo'!$L$3:$L$66,1,0))&gt;3,IF(TYPE(VLOOKUP($A92,'4.kolo'!$O$3:$Q$66,3,0))&gt;3,0,VLOOKUP($A92,'4.kolo'!$O$3:$Q$66,3,0)),VLOOKUP($A92,'4.kolo'!$L$3:$N$66,3,0))</f>
        <v>0</v>
      </c>
      <c r="BK92" s="318">
        <f t="shared" ca="1" si="56"/>
        <v>0</v>
      </c>
      <c r="BL92" s="397" t="s">
        <v>1869</v>
      </c>
      <c r="BM92" s="424" t="str">
        <f ca="1">IF(BL92="","",CONCATENATE(TEXT($O92,"0"),IF(Start.listina!$Y$5="","",TEXT(500+$P92,"000")),TEXT(999999*RAND(),"000000")))</f>
        <v/>
      </c>
      <c r="BN92" s="318">
        <f t="shared" ca="1" si="39"/>
        <v>0</v>
      </c>
      <c r="BQ92" s="318" t="str">
        <f ca="1">IF(TYPE(VLOOKUP($A92,'5.kolo'!$L$3:$L$66,1,0))&gt;3,IF(TYPE(VLOOKUP($A92,'5.kolo'!$K$3:$L$66,2,0))&gt;3,0,VLOOKUP($A92,'5.kolo'!$K$3:$L$66,2,0)),VLOOKUP($A92,'5.kolo'!$L$3:$O$66,4,0))</f>
        <v/>
      </c>
      <c r="BR92" s="318">
        <f ca="1">IF(TYPE(VLOOKUP($A92,'5.kolo'!$L$3:$L$66,1,0))&gt;3,IF(TYPE(VLOOKUP($A92,'5.kolo'!$O$3:$Q$66,2,0))&gt;3,0,VLOOKUP($A92,'5.kolo'!$O$3:$Q$66,2,0)),VLOOKUP($A92,'5.kolo'!$L$3:$N$66,2,0))</f>
        <v>0</v>
      </c>
      <c r="BS92" s="318">
        <f ca="1">IF(TYPE(VLOOKUP($A92,'5.kolo'!$L$3:$L$66,1,0))&gt;3,IF(TYPE(VLOOKUP($A92,'5.kolo'!$O$3:$Q$66,3,0))&gt;3,0,VLOOKUP($A92,'5.kolo'!$O$3:$Q$66,3,0)),VLOOKUP($A92,'5.kolo'!$L$3:$N$66,3,0))</f>
        <v>0</v>
      </c>
      <c r="BT92" s="318">
        <f t="shared" ca="1" si="57"/>
        <v>0</v>
      </c>
      <c r="BU92" s="397"/>
      <c r="BV92" s="424" t="str">
        <f ca="1">IF(BU92="","",CONCATENATE(TEXT($O92,"0"),IF(Start.listina!$Y$5="","",TEXT(500+$P92,"000")),TEXT(999999*RAND(),"000000")))</f>
        <v/>
      </c>
      <c r="BW92" s="318">
        <f t="shared" ca="1" si="40"/>
        <v>0</v>
      </c>
      <c r="BZ92" s="318" t="str">
        <f ca="1">IF(TYPE(VLOOKUP($A92,'6.kolo'!$L$3:$L$66,1,0))&gt;3,IF(TYPE(VLOOKUP($A92,'6.kolo'!$K$3:$L$66,2,0))&gt;3,0,VLOOKUP($A92,'6.kolo'!$K$3:$L$66,2,0)),VLOOKUP($A92,'6.kolo'!$L$3:$O$66,4,0))</f>
        <v/>
      </c>
      <c r="CA92" s="318">
        <f ca="1">IF(TYPE(VLOOKUP($A92,'6.kolo'!$L$3:$L$66,1,0))&gt;3,IF(TYPE(VLOOKUP($A92,'6.kolo'!$O$3:$Q$66,2,0))&gt;3,0,VLOOKUP($A92,'6.kolo'!$O$3:$Q$66,2,0)),VLOOKUP($A92,'6.kolo'!$L$3:$N$66,2,0))</f>
        <v>0</v>
      </c>
      <c r="CB92" s="318">
        <f ca="1">IF(TYPE(VLOOKUP($A92,'6.kolo'!$L$3:$L$66,1,0))&gt;3,IF(TYPE(VLOOKUP($A92,'6.kolo'!$O$3:$Q$66,3,0))&gt;3,0,VLOOKUP($A92,'6.kolo'!$O$3:$Q$66,3,0)),VLOOKUP($A92,'6.kolo'!$L$3:$N$66,3,0))</f>
        <v>0</v>
      </c>
      <c r="CC92" s="318">
        <f t="shared" ca="1" si="58"/>
        <v>0</v>
      </c>
      <c r="CD92" s="397"/>
      <c r="CE92" s="424" t="str">
        <f ca="1">IF(CD92="","",CONCATENATE(TEXT($O92,"0"),IF(Start.listina!$Y$5="","",TEXT(500+$P92,"000")),TEXT(999999*RAND(),"000000")))</f>
        <v/>
      </c>
      <c r="CF92" s="318">
        <f t="shared" ca="1" si="41"/>
        <v>0</v>
      </c>
    </row>
    <row r="93" spans="1:84" x14ac:dyDescent="0.4">
      <c r="A93" s="318" t="str">
        <f ca="1">IF(OR(Start.listina!H101&gt;Start.listina!$K$7,Start.listina!G101=TRUE),"",Start.listina!H101)</f>
        <v/>
      </c>
      <c r="B93" s="318" t="str">
        <f ca="1">IF($A93&gt;Start.listina!$K$7,"",INT(($A93-1)/Start.listina!$O$7)+1)</f>
        <v/>
      </c>
      <c r="C93" s="421" t="str">
        <f ca="1">IF(OR(Start.listina!H101&gt;Start.listina!$K$7,Start.listina!G101=TRUE)," - ",Start.listina!AL101)</f>
        <v xml:space="preserve"> - </v>
      </c>
      <c r="D93" s="318" t="str">
        <f ca="1">IF(OR(A93&gt;Start.listina!$K$7,TYPE(VLOOKUP(A93,$V$3:$X$130,3,0))&gt;3),"",VLOOKUP(A93,$V$3:$X$130,3,0))</f>
        <v/>
      </c>
      <c r="E93" s="422" t="str">
        <f ca="1">IF(A93&gt;Start.listina!$K$7,"",IF(MIN(F93:K93)&gt;Start.listina!$Y$4,D93,MIN(F93:K93)))</f>
        <v/>
      </c>
      <c r="F93" s="318">
        <f ca="1">IF(TYPE(VLOOKUP(C93,Konečné_pořadí_1_16!$B$2:$D$17,3,0))&lt;4,VLOOKUP(C93,Konečné_pořadí_1_16!$B$2:$D$17,3,0),999)</f>
        <v>999</v>
      </c>
      <c r="G93" s="318">
        <f ca="1">IF(TYPE(VLOOKUP(C93,'KO64'!$D$4:$D$129,1,0))&lt;4,64,999)</f>
        <v>64</v>
      </c>
      <c r="H93" s="318">
        <f ca="1">IF(TYPE(VLOOKUP(C93,'KO32'!$D$4:$D$65,1,0))&lt;4,32,999)</f>
        <v>32</v>
      </c>
      <c r="I93" s="318">
        <f ca="1">IF(TYPE(VLOOKUP(C93,'KO16'!$D$4:$D$33,1,0))&lt;4,16,999)</f>
        <v>999</v>
      </c>
      <c r="J93" s="318">
        <f ca="1">IF(TYPE(VLOOKUP(C93,'KO8'!$D$4:$D$17,1,0))&lt;4,8,999)</f>
        <v>999</v>
      </c>
      <c r="K93" s="318">
        <f ca="1">IF(TYPE(VLOOKUP(C93,'KO4'!$D$4:$D$9,1,0))&lt;4,4,999)</f>
        <v>999</v>
      </c>
      <c r="M93" s="319">
        <v>91</v>
      </c>
      <c r="O93" s="318">
        <f t="shared" ca="1" si="42"/>
        <v>0</v>
      </c>
      <c r="P93" s="318">
        <f t="shared" ca="1" si="43"/>
        <v>0</v>
      </c>
      <c r="Q93" s="318">
        <f t="shared" ca="1" si="34"/>
        <v>2</v>
      </c>
      <c r="R93" s="318">
        <f t="shared" ca="1" si="35"/>
        <v>0</v>
      </c>
      <c r="S93" s="318">
        <f t="shared" ca="1" si="44"/>
        <v>18</v>
      </c>
      <c r="T93" s="318">
        <f t="shared" ca="1" si="45"/>
        <v>0</v>
      </c>
      <c r="U93" s="397">
        <f t="shared" si="59"/>
        <v>91</v>
      </c>
      <c r="V93" s="397" t="s">
        <v>1869</v>
      </c>
      <c r="W93" s="423" t="str">
        <f ca="1">IF($V93="","",CONCATENATE(TEXT($O93,"0"),IF(Start.listina!$Y$5="","",TEXT(500+$P93,"0000")),IF(Start.listina!$Y$6="","",CHOOSE(Start.listina!$Y$7,TEXT($Q93,"00"),CONCATENATE(TEXT($Q93,"00"),TEXT($S93,"000")), TEXT($R93,"00"))),TEXT(500+$P93,"0000"),IF(Start.listina!$Y$8="","",TEXT($T93,"0")),TEXT(999999*RAND(),"000000")))</f>
        <v/>
      </c>
      <c r="X93" s="399">
        <f t="shared" si="46"/>
        <v>91</v>
      </c>
      <c r="Y93" s="397">
        <f t="shared" ca="1" si="36"/>
        <v>0</v>
      </c>
      <c r="Z93" s="318">
        <f t="shared" ca="1" si="47"/>
        <v>57</v>
      </c>
      <c r="AA93" s="318" t="str">
        <f t="shared" ca="1" si="48"/>
        <v/>
      </c>
      <c r="AB93" s="318" t="str">
        <f t="shared" ca="1" si="49"/>
        <v/>
      </c>
      <c r="AC93" s="318" t="str">
        <f t="shared" ca="1" si="50"/>
        <v/>
      </c>
      <c r="AD93" s="318" t="str">
        <f t="shared" ca="1" si="51"/>
        <v/>
      </c>
      <c r="AE93" s="318" t="str">
        <f t="shared" ca="1" si="52"/>
        <v/>
      </c>
      <c r="AG93" s="318">
        <f ca="1">IF(TYPE(VLOOKUP($A93,'1.kolo'!$L$3:$L$66,1,0))&gt;3,VLOOKUP($A93,'1.kolo'!$K$3:$L$66,2,0),VLOOKUP($A93,'1.kolo'!$L$3:$O$66,4,0))</f>
        <v>57</v>
      </c>
      <c r="AH93" s="318">
        <f ca="1">IF(TYPE(VLOOKUP($A93,'1.kolo'!$L$3:$L$66,1,0))&gt;3,VLOOKUP($A93,'1.kolo'!$O$3:$Q$66,2,0),VLOOKUP($A93,'1.kolo'!$L$3:$N$66,2,0))</f>
        <v>0</v>
      </c>
      <c r="AI93" s="318">
        <f ca="1">IF(TYPE(VLOOKUP($A93,'1.kolo'!$L$3:$L$66,1,0))&gt;3,VLOOKUP($A93,'1.kolo'!$O$3:$Q$66,3,0),VLOOKUP($A93,'1.kolo'!$L$3:$N$66,3,0))</f>
        <v>0</v>
      </c>
      <c r="AJ93" s="318">
        <f t="shared" ca="1" si="53"/>
        <v>0</v>
      </c>
      <c r="AK93" s="318">
        <v>91</v>
      </c>
      <c r="AL93" s="424"/>
      <c r="AP93" s="318" t="str">
        <f ca="1">IF(TYPE(VLOOKUP($A93,'2.kolo'!$L$3:$L$66,1,0))&gt;3,IF(TYPE(VLOOKUP($A93,'2.kolo'!$K$3:$L$66,2,0))&gt;3,0,VLOOKUP($A93,'2.kolo'!$K$3:$L$66,2,0)),VLOOKUP($A93,'2.kolo'!$L$3:$O$66,4,0))</f>
        <v/>
      </c>
      <c r="AQ93" s="318">
        <f ca="1">IF(TYPE(VLOOKUP($A93,'2.kolo'!$L$3:$L$66,1,0))&gt;3,IF(TYPE(VLOOKUP($A93,'2.kolo'!$O$3:$Q$66,2,0))&gt;3,0,VLOOKUP($A93,'2.kolo'!$O$3:$Q$66,2,0)),VLOOKUP($A93,'2.kolo'!$L$3:$N$66,2,0))</f>
        <v>0</v>
      </c>
      <c r="AR93" s="318">
        <f ca="1">IF(TYPE(VLOOKUP($A93,'2.kolo'!$L$3:$L$66,1,0))&gt;3,IF(TYPE(VLOOKUP($A93,'2.kolo'!$O$3:$Q$66,3,0))&gt;3,0,VLOOKUP($A93,'2.kolo'!$O$3:$Q$66,3,0)),VLOOKUP($A93,'2.kolo'!$L$3:$N$66,3,0))</f>
        <v>0</v>
      </c>
      <c r="AS93" s="318">
        <f t="shared" ca="1" si="54"/>
        <v>0</v>
      </c>
      <c r="AT93" s="397" t="s">
        <v>1869</v>
      </c>
      <c r="AU93" s="424" t="str">
        <f ca="1">IF(AT93="","",CONCATENATE(TEXT($O93,"0"),IF(Start.listina!$Y$5="","",TEXT(500+$P93,"000")),TEXT(999999*RAND(),"000000")))</f>
        <v/>
      </c>
      <c r="AV93" s="318">
        <f t="shared" ca="1" si="37"/>
        <v>0</v>
      </c>
      <c r="AY93" s="318" t="str">
        <f ca="1">IF(TYPE(VLOOKUP($A93,'3.kolo'!$L$3:$L$66,1,0))&gt;3,IF(TYPE(VLOOKUP($A93,'3.kolo'!$K$3:$L$66,2,0))&gt;3,0,VLOOKUP($A93,'3.kolo'!$K$3:$L$66,2,0)),VLOOKUP($A93,'3.kolo'!$L$3:$O$66,4,0))</f>
        <v/>
      </c>
      <c r="AZ93" s="318">
        <f ca="1">IF(TYPE(VLOOKUP($A93,'3.kolo'!$L$3:$L$66,1,0))&gt;3,IF(TYPE(VLOOKUP($A93,'3.kolo'!$O$3:$Q$66,2,0))&gt;3,0,VLOOKUP($A93,'3.kolo'!$O$3:$Q$66,2,0)),VLOOKUP($A93,'3.kolo'!$L$3:$N$66,2,0))</f>
        <v>0</v>
      </c>
      <c r="BA93" s="318">
        <f ca="1">IF(TYPE(VLOOKUP($A93,'3.kolo'!$L$3:$L$66,1,0))&gt;3,IF(TYPE(VLOOKUP($A93,'3.kolo'!$O$3:$Q$66,3,0))&gt;3,0,VLOOKUP($A93,'3.kolo'!$O$3:$Q$66,3,0)),VLOOKUP($A93,'3.kolo'!$L$3:$N$66,3,0))</f>
        <v>0</v>
      </c>
      <c r="BB93" s="318">
        <f t="shared" ca="1" si="55"/>
        <v>0</v>
      </c>
      <c r="BC93" s="397" t="s">
        <v>1869</v>
      </c>
      <c r="BD93" s="424" t="str">
        <f ca="1">IF(BC93="","",CONCATENATE(TEXT($O93,"0"),IF(Start.listina!$Y$5="","",TEXT(500+$P93,"000")),TEXT(999999*RAND(),"000000")))</f>
        <v/>
      </c>
      <c r="BE93" s="318">
        <f t="shared" ca="1" si="38"/>
        <v>0</v>
      </c>
      <c r="BH93" s="318" t="str">
        <f ca="1">IF(TYPE(VLOOKUP($A93,'4.kolo'!$L$3:$L$66,1,0))&gt;3,IF(TYPE(VLOOKUP($A93,'4.kolo'!$K$3:$L$66,2,0))&gt;3,0,VLOOKUP($A93,'4.kolo'!$K$3:$L$66,2,0)),VLOOKUP($A93,'4.kolo'!$L$3:$O$66,4,0))</f>
        <v/>
      </c>
      <c r="BI93" s="318">
        <f ca="1">IF(TYPE(VLOOKUP($A93,'4.kolo'!$L$3:$L$66,1,0))&gt;3,IF(TYPE(VLOOKUP($A93,'4.kolo'!$O$3:$Q$66,2,0))&gt;3,0,VLOOKUP($A93,'4.kolo'!$O$3:$Q$66,2,0)),VLOOKUP($A93,'4.kolo'!$L$3:$N$66,2,0))</f>
        <v>0</v>
      </c>
      <c r="BJ93" s="318">
        <f ca="1">IF(TYPE(VLOOKUP($A93,'4.kolo'!$L$3:$L$66,1,0))&gt;3,IF(TYPE(VLOOKUP($A93,'4.kolo'!$O$3:$Q$66,3,0))&gt;3,0,VLOOKUP($A93,'4.kolo'!$O$3:$Q$66,3,0)),VLOOKUP($A93,'4.kolo'!$L$3:$N$66,3,0))</f>
        <v>0</v>
      </c>
      <c r="BK93" s="318">
        <f t="shared" ca="1" si="56"/>
        <v>0</v>
      </c>
      <c r="BL93" s="397" t="s">
        <v>1869</v>
      </c>
      <c r="BM93" s="424" t="str">
        <f ca="1">IF(BL93="","",CONCATENATE(TEXT($O93,"0"),IF(Start.listina!$Y$5="","",TEXT(500+$P93,"000")),TEXT(999999*RAND(),"000000")))</f>
        <v/>
      </c>
      <c r="BN93" s="318">
        <f t="shared" ca="1" si="39"/>
        <v>0</v>
      </c>
      <c r="BQ93" s="318" t="str">
        <f ca="1">IF(TYPE(VLOOKUP($A93,'5.kolo'!$L$3:$L$66,1,0))&gt;3,IF(TYPE(VLOOKUP($A93,'5.kolo'!$K$3:$L$66,2,0))&gt;3,0,VLOOKUP($A93,'5.kolo'!$K$3:$L$66,2,0)),VLOOKUP($A93,'5.kolo'!$L$3:$O$66,4,0))</f>
        <v/>
      </c>
      <c r="BR93" s="318">
        <f ca="1">IF(TYPE(VLOOKUP($A93,'5.kolo'!$L$3:$L$66,1,0))&gt;3,IF(TYPE(VLOOKUP($A93,'5.kolo'!$O$3:$Q$66,2,0))&gt;3,0,VLOOKUP($A93,'5.kolo'!$O$3:$Q$66,2,0)),VLOOKUP($A93,'5.kolo'!$L$3:$N$66,2,0))</f>
        <v>0</v>
      </c>
      <c r="BS93" s="318">
        <f ca="1">IF(TYPE(VLOOKUP($A93,'5.kolo'!$L$3:$L$66,1,0))&gt;3,IF(TYPE(VLOOKUP($A93,'5.kolo'!$O$3:$Q$66,3,0))&gt;3,0,VLOOKUP($A93,'5.kolo'!$O$3:$Q$66,3,0)),VLOOKUP($A93,'5.kolo'!$L$3:$N$66,3,0))</f>
        <v>0</v>
      </c>
      <c r="BT93" s="318">
        <f t="shared" ca="1" si="57"/>
        <v>0</v>
      </c>
      <c r="BU93" s="397"/>
      <c r="BV93" s="424" t="str">
        <f ca="1">IF(BU93="","",CONCATENATE(TEXT($O93,"0"),IF(Start.listina!$Y$5="","",TEXT(500+$P93,"000")),TEXT(999999*RAND(),"000000")))</f>
        <v/>
      </c>
      <c r="BW93" s="318">
        <f t="shared" ca="1" si="40"/>
        <v>0</v>
      </c>
      <c r="BZ93" s="318" t="str">
        <f ca="1">IF(TYPE(VLOOKUP($A93,'6.kolo'!$L$3:$L$66,1,0))&gt;3,IF(TYPE(VLOOKUP($A93,'6.kolo'!$K$3:$L$66,2,0))&gt;3,0,VLOOKUP($A93,'6.kolo'!$K$3:$L$66,2,0)),VLOOKUP($A93,'6.kolo'!$L$3:$O$66,4,0))</f>
        <v/>
      </c>
      <c r="CA93" s="318">
        <f ca="1">IF(TYPE(VLOOKUP($A93,'6.kolo'!$L$3:$L$66,1,0))&gt;3,IF(TYPE(VLOOKUP($A93,'6.kolo'!$O$3:$Q$66,2,0))&gt;3,0,VLOOKUP($A93,'6.kolo'!$O$3:$Q$66,2,0)),VLOOKUP($A93,'6.kolo'!$L$3:$N$66,2,0))</f>
        <v>0</v>
      </c>
      <c r="CB93" s="318">
        <f ca="1">IF(TYPE(VLOOKUP($A93,'6.kolo'!$L$3:$L$66,1,0))&gt;3,IF(TYPE(VLOOKUP($A93,'6.kolo'!$O$3:$Q$66,3,0))&gt;3,0,VLOOKUP($A93,'6.kolo'!$O$3:$Q$66,3,0)),VLOOKUP($A93,'6.kolo'!$L$3:$N$66,3,0))</f>
        <v>0</v>
      </c>
      <c r="CC93" s="318">
        <f t="shared" ca="1" si="58"/>
        <v>0</v>
      </c>
      <c r="CD93" s="397"/>
      <c r="CE93" s="424" t="str">
        <f ca="1">IF(CD93="","",CONCATENATE(TEXT($O93,"0"),IF(Start.listina!$Y$5="","",TEXT(500+$P93,"000")),TEXT(999999*RAND(),"000000")))</f>
        <v/>
      </c>
      <c r="CF93" s="318">
        <f t="shared" ca="1" si="41"/>
        <v>0</v>
      </c>
    </row>
    <row r="94" spans="1:84" x14ac:dyDescent="0.4">
      <c r="A94" s="318" t="str">
        <f ca="1">IF(OR(Start.listina!H102&gt;Start.listina!$K$7,Start.listina!G102=TRUE),"",Start.listina!H102)</f>
        <v/>
      </c>
      <c r="B94" s="318" t="str">
        <f ca="1">IF($A94&gt;Start.listina!$K$7,"",INT(($A94-1)/Start.listina!$O$7)+1)</f>
        <v/>
      </c>
      <c r="C94" s="421" t="str">
        <f ca="1">IF(OR(Start.listina!H102&gt;Start.listina!$K$7,Start.listina!G102=TRUE)," - ",Start.listina!AL102)</f>
        <v xml:space="preserve"> - </v>
      </c>
      <c r="D94" s="318" t="str">
        <f ca="1">IF(OR(A94&gt;Start.listina!$K$7,TYPE(VLOOKUP(A94,$V$3:$X$130,3,0))&gt;3),"",VLOOKUP(A94,$V$3:$X$130,3,0))</f>
        <v/>
      </c>
      <c r="E94" s="422" t="str">
        <f ca="1">IF(A94&gt;Start.listina!$K$7,"",IF(MIN(F94:K94)&gt;Start.listina!$Y$4,D94,MIN(F94:K94)))</f>
        <v/>
      </c>
      <c r="F94" s="318">
        <f ca="1">IF(TYPE(VLOOKUP(C94,Konečné_pořadí_1_16!$B$2:$D$17,3,0))&lt;4,VLOOKUP(C94,Konečné_pořadí_1_16!$B$2:$D$17,3,0),999)</f>
        <v>999</v>
      </c>
      <c r="G94" s="318">
        <f ca="1">IF(TYPE(VLOOKUP(C94,'KO64'!$D$4:$D$129,1,0))&lt;4,64,999)</f>
        <v>64</v>
      </c>
      <c r="H94" s="318">
        <f ca="1">IF(TYPE(VLOOKUP(C94,'KO32'!$D$4:$D$65,1,0))&lt;4,32,999)</f>
        <v>32</v>
      </c>
      <c r="I94" s="318">
        <f ca="1">IF(TYPE(VLOOKUP(C94,'KO16'!$D$4:$D$33,1,0))&lt;4,16,999)</f>
        <v>999</v>
      </c>
      <c r="J94" s="318">
        <f ca="1">IF(TYPE(VLOOKUP(C94,'KO8'!$D$4:$D$17,1,0))&lt;4,8,999)</f>
        <v>999</v>
      </c>
      <c r="K94" s="318">
        <f ca="1">IF(TYPE(VLOOKUP(C94,'KO4'!$D$4:$D$9,1,0))&lt;4,4,999)</f>
        <v>999</v>
      </c>
      <c r="M94" s="319">
        <v>92</v>
      </c>
      <c r="O94" s="318">
        <f t="shared" ca="1" si="42"/>
        <v>0</v>
      </c>
      <c r="P94" s="318">
        <f t="shared" ca="1" si="43"/>
        <v>0</v>
      </c>
      <c r="Q94" s="318">
        <f t="shared" ca="1" si="34"/>
        <v>2</v>
      </c>
      <c r="R94" s="318">
        <f t="shared" ca="1" si="35"/>
        <v>0</v>
      </c>
      <c r="S94" s="318">
        <f t="shared" ca="1" si="44"/>
        <v>18</v>
      </c>
      <c r="T94" s="318">
        <f t="shared" ca="1" si="45"/>
        <v>0</v>
      </c>
      <c r="U94" s="397">
        <f t="shared" si="59"/>
        <v>92</v>
      </c>
      <c r="V94" s="397" t="s">
        <v>1869</v>
      </c>
      <c r="W94" s="423" t="str">
        <f ca="1">IF($V94="","",CONCATENATE(TEXT($O94,"0"),IF(Start.listina!$Y$5="","",TEXT(500+$P94,"0000")),IF(Start.listina!$Y$6="","",CHOOSE(Start.listina!$Y$7,TEXT($Q94,"00"),CONCATENATE(TEXT($Q94,"00"),TEXT($S94,"000")), TEXT($R94,"00"))),TEXT(500+$P94,"0000"),IF(Start.listina!$Y$8="","",TEXT($T94,"0")),TEXT(999999*RAND(),"000000")))</f>
        <v/>
      </c>
      <c r="X94" s="399">
        <f t="shared" si="46"/>
        <v>92</v>
      </c>
      <c r="Y94" s="397">
        <f t="shared" ca="1" si="36"/>
        <v>0</v>
      </c>
      <c r="Z94" s="318">
        <f t="shared" ca="1" si="47"/>
        <v>57</v>
      </c>
      <c r="AA94" s="318" t="str">
        <f t="shared" ca="1" si="48"/>
        <v/>
      </c>
      <c r="AB94" s="318" t="str">
        <f t="shared" ca="1" si="49"/>
        <v/>
      </c>
      <c r="AC94" s="318" t="str">
        <f t="shared" ca="1" si="50"/>
        <v/>
      </c>
      <c r="AD94" s="318" t="str">
        <f t="shared" ca="1" si="51"/>
        <v/>
      </c>
      <c r="AE94" s="318" t="str">
        <f t="shared" ca="1" si="52"/>
        <v/>
      </c>
      <c r="AG94" s="318">
        <f ca="1">IF(TYPE(VLOOKUP($A94,'1.kolo'!$L$3:$L$66,1,0))&gt;3,VLOOKUP($A94,'1.kolo'!$K$3:$L$66,2,0),VLOOKUP($A94,'1.kolo'!$L$3:$O$66,4,0))</f>
        <v>57</v>
      </c>
      <c r="AH94" s="318">
        <f ca="1">IF(TYPE(VLOOKUP($A94,'1.kolo'!$L$3:$L$66,1,0))&gt;3,VLOOKUP($A94,'1.kolo'!$O$3:$Q$66,2,0),VLOOKUP($A94,'1.kolo'!$L$3:$N$66,2,0))</f>
        <v>0</v>
      </c>
      <c r="AI94" s="318">
        <f ca="1">IF(TYPE(VLOOKUP($A94,'1.kolo'!$L$3:$L$66,1,0))&gt;3,VLOOKUP($A94,'1.kolo'!$O$3:$Q$66,3,0),VLOOKUP($A94,'1.kolo'!$L$3:$N$66,3,0))</f>
        <v>0</v>
      </c>
      <c r="AJ94" s="318">
        <f t="shared" ca="1" si="53"/>
        <v>0</v>
      </c>
      <c r="AK94" s="318">
        <v>92</v>
      </c>
      <c r="AL94" s="424"/>
      <c r="AP94" s="318" t="str">
        <f ca="1">IF(TYPE(VLOOKUP($A94,'2.kolo'!$L$3:$L$66,1,0))&gt;3,IF(TYPE(VLOOKUP($A94,'2.kolo'!$K$3:$L$66,2,0))&gt;3,0,VLOOKUP($A94,'2.kolo'!$K$3:$L$66,2,0)),VLOOKUP($A94,'2.kolo'!$L$3:$O$66,4,0))</f>
        <v/>
      </c>
      <c r="AQ94" s="318">
        <f ca="1">IF(TYPE(VLOOKUP($A94,'2.kolo'!$L$3:$L$66,1,0))&gt;3,IF(TYPE(VLOOKUP($A94,'2.kolo'!$O$3:$Q$66,2,0))&gt;3,0,VLOOKUP($A94,'2.kolo'!$O$3:$Q$66,2,0)),VLOOKUP($A94,'2.kolo'!$L$3:$N$66,2,0))</f>
        <v>0</v>
      </c>
      <c r="AR94" s="318">
        <f ca="1">IF(TYPE(VLOOKUP($A94,'2.kolo'!$L$3:$L$66,1,0))&gt;3,IF(TYPE(VLOOKUP($A94,'2.kolo'!$O$3:$Q$66,3,0))&gt;3,0,VLOOKUP($A94,'2.kolo'!$O$3:$Q$66,3,0)),VLOOKUP($A94,'2.kolo'!$L$3:$N$66,3,0))</f>
        <v>0</v>
      </c>
      <c r="AS94" s="318">
        <f t="shared" ca="1" si="54"/>
        <v>0</v>
      </c>
      <c r="AT94" s="397" t="s">
        <v>1869</v>
      </c>
      <c r="AU94" s="424" t="str">
        <f ca="1">IF(AT94="","",CONCATENATE(TEXT($O94,"0"),IF(Start.listina!$Y$5="","",TEXT(500+$P94,"000")),TEXT(999999*RAND(),"000000")))</f>
        <v/>
      </c>
      <c r="AV94" s="318">
        <f t="shared" ca="1" si="37"/>
        <v>0</v>
      </c>
      <c r="AY94" s="318" t="str">
        <f ca="1">IF(TYPE(VLOOKUP($A94,'3.kolo'!$L$3:$L$66,1,0))&gt;3,IF(TYPE(VLOOKUP($A94,'3.kolo'!$K$3:$L$66,2,0))&gt;3,0,VLOOKUP($A94,'3.kolo'!$K$3:$L$66,2,0)),VLOOKUP($A94,'3.kolo'!$L$3:$O$66,4,0))</f>
        <v/>
      </c>
      <c r="AZ94" s="318">
        <f ca="1">IF(TYPE(VLOOKUP($A94,'3.kolo'!$L$3:$L$66,1,0))&gt;3,IF(TYPE(VLOOKUP($A94,'3.kolo'!$O$3:$Q$66,2,0))&gt;3,0,VLOOKUP($A94,'3.kolo'!$O$3:$Q$66,2,0)),VLOOKUP($A94,'3.kolo'!$L$3:$N$66,2,0))</f>
        <v>0</v>
      </c>
      <c r="BA94" s="318">
        <f ca="1">IF(TYPE(VLOOKUP($A94,'3.kolo'!$L$3:$L$66,1,0))&gt;3,IF(TYPE(VLOOKUP($A94,'3.kolo'!$O$3:$Q$66,3,0))&gt;3,0,VLOOKUP($A94,'3.kolo'!$O$3:$Q$66,3,0)),VLOOKUP($A94,'3.kolo'!$L$3:$N$66,3,0))</f>
        <v>0</v>
      </c>
      <c r="BB94" s="318">
        <f t="shared" ca="1" si="55"/>
        <v>0</v>
      </c>
      <c r="BC94" s="397" t="s">
        <v>1869</v>
      </c>
      <c r="BD94" s="424" t="str">
        <f ca="1">IF(BC94="","",CONCATENATE(TEXT($O94,"0"),IF(Start.listina!$Y$5="","",TEXT(500+$P94,"000")),TEXT(999999*RAND(),"000000")))</f>
        <v/>
      </c>
      <c r="BE94" s="318">
        <f t="shared" ca="1" si="38"/>
        <v>0</v>
      </c>
      <c r="BH94" s="318" t="str">
        <f ca="1">IF(TYPE(VLOOKUP($A94,'4.kolo'!$L$3:$L$66,1,0))&gt;3,IF(TYPE(VLOOKUP($A94,'4.kolo'!$K$3:$L$66,2,0))&gt;3,0,VLOOKUP($A94,'4.kolo'!$K$3:$L$66,2,0)),VLOOKUP($A94,'4.kolo'!$L$3:$O$66,4,0))</f>
        <v/>
      </c>
      <c r="BI94" s="318">
        <f ca="1">IF(TYPE(VLOOKUP($A94,'4.kolo'!$L$3:$L$66,1,0))&gt;3,IF(TYPE(VLOOKUP($A94,'4.kolo'!$O$3:$Q$66,2,0))&gt;3,0,VLOOKUP($A94,'4.kolo'!$O$3:$Q$66,2,0)),VLOOKUP($A94,'4.kolo'!$L$3:$N$66,2,0))</f>
        <v>0</v>
      </c>
      <c r="BJ94" s="318">
        <f ca="1">IF(TYPE(VLOOKUP($A94,'4.kolo'!$L$3:$L$66,1,0))&gt;3,IF(TYPE(VLOOKUP($A94,'4.kolo'!$O$3:$Q$66,3,0))&gt;3,0,VLOOKUP($A94,'4.kolo'!$O$3:$Q$66,3,0)),VLOOKUP($A94,'4.kolo'!$L$3:$N$66,3,0))</f>
        <v>0</v>
      </c>
      <c r="BK94" s="318">
        <f t="shared" ca="1" si="56"/>
        <v>0</v>
      </c>
      <c r="BL94" s="397" t="s">
        <v>1869</v>
      </c>
      <c r="BM94" s="424" t="str">
        <f ca="1">IF(BL94="","",CONCATENATE(TEXT($O94,"0"),IF(Start.listina!$Y$5="","",TEXT(500+$P94,"000")),TEXT(999999*RAND(),"000000")))</f>
        <v/>
      </c>
      <c r="BN94" s="318">
        <f t="shared" ca="1" si="39"/>
        <v>0</v>
      </c>
      <c r="BQ94" s="318" t="str">
        <f ca="1">IF(TYPE(VLOOKUP($A94,'5.kolo'!$L$3:$L$66,1,0))&gt;3,IF(TYPE(VLOOKUP($A94,'5.kolo'!$K$3:$L$66,2,0))&gt;3,0,VLOOKUP($A94,'5.kolo'!$K$3:$L$66,2,0)),VLOOKUP($A94,'5.kolo'!$L$3:$O$66,4,0))</f>
        <v/>
      </c>
      <c r="BR94" s="318">
        <f ca="1">IF(TYPE(VLOOKUP($A94,'5.kolo'!$L$3:$L$66,1,0))&gt;3,IF(TYPE(VLOOKUP($A94,'5.kolo'!$O$3:$Q$66,2,0))&gt;3,0,VLOOKUP($A94,'5.kolo'!$O$3:$Q$66,2,0)),VLOOKUP($A94,'5.kolo'!$L$3:$N$66,2,0))</f>
        <v>0</v>
      </c>
      <c r="BS94" s="318">
        <f ca="1">IF(TYPE(VLOOKUP($A94,'5.kolo'!$L$3:$L$66,1,0))&gt;3,IF(TYPE(VLOOKUP($A94,'5.kolo'!$O$3:$Q$66,3,0))&gt;3,0,VLOOKUP($A94,'5.kolo'!$O$3:$Q$66,3,0)),VLOOKUP($A94,'5.kolo'!$L$3:$N$66,3,0))</f>
        <v>0</v>
      </c>
      <c r="BT94" s="318">
        <f t="shared" ca="1" si="57"/>
        <v>0</v>
      </c>
      <c r="BU94" s="397"/>
      <c r="BV94" s="424" t="str">
        <f ca="1">IF(BU94="","",CONCATENATE(TEXT($O94,"0"),IF(Start.listina!$Y$5="","",TEXT(500+$P94,"000")),TEXT(999999*RAND(),"000000")))</f>
        <v/>
      </c>
      <c r="BW94" s="318">
        <f t="shared" ca="1" si="40"/>
        <v>0</v>
      </c>
      <c r="BZ94" s="318" t="str">
        <f ca="1">IF(TYPE(VLOOKUP($A94,'6.kolo'!$L$3:$L$66,1,0))&gt;3,IF(TYPE(VLOOKUP($A94,'6.kolo'!$K$3:$L$66,2,0))&gt;3,0,VLOOKUP($A94,'6.kolo'!$K$3:$L$66,2,0)),VLOOKUP($A94,'6.kolo'!$L$3:$O$66,4,0))</f>
        <v/>
      </c>
      <c r="CA94" s="318">
        <f ca="1">IF(TYPE(VLOOKUP($A94,'6.kolo'!$L$3:$L$66,1,0))&gt;3,IF(TYPE(VLOOKUP($A94,'6.kolo'!$O$3:$Q$66,2,0))&gt;3,0,VLOOKUP($A94,'6.kolo'!$O$3:$Q$66,2,0)),VLOOKUP($A94,'6.kolo'!$L$3:$N$66,2,0))</f>
        <v>0</v>
      </c>
      <c r="CB94" s="318">
        <f ca="1">IF(TYPE(VLOOKUP($A94,'6.kolo'!$L$3:$L$66,1,0))&gt;3,IF(TYPE(VLOOKUP($A94,'6.kolo'!$O$3:$Q$66,3,0))&gt;3,0,VLOOKUP($A94,'6.kolo'!$O$3:$Q$66,3,0)),VLOOKUP($A94,'6.kolo'!$L$3:$N$66,3,0))</f>
        <v>0</v>
      </c>
      <c r="CC94" s="318">
        <f t="shared" ca="1" si="58"/>
        <v>0</v>
      </c>
      <c r="CD94" s="397"/>
      <c r="CE94" s="424" t="str">
        <f ca="1">IF(CD94="","",CONCATENATE(TEXT($O94,"0"),IF(Start.listina!$Y$5="","",TEXT(500+$P94,"000")),TEXT(999999*RAND(),"000000")))</f>
        <v/>
      </c>
      <c r="CF94" s="318">
        <f t="shared" ca="1" si="41"/>
        <v>0</v>
      </c>
    </row>
    <row r="95" spans="1:84" x14ac:dyDescent="0.4">
      <c r="A95" s="318" t="str">
        <f ca="1">IF(OR(Start.listina!H103&gt;Start.listina!$K$7,Start.listina!G103=TRUE),"",Start.listina!H103)</f>
        <v/>
      </c>
      <c r="B95" s="318" t="str">
        <f ca="1">IF($A95&gt;Start.listina!$K$7,"",INT(($A95-1)/Start.listina!$O$7)+1)</f>
        <v/>
      </c>
      <c r="C95" s="421" t="str">
        <f ca="1">IF(OR(Start.listina!H103&gt;Start.listina!$K$7,Start.listina!G103=TRUE)," - ",Start.listina!AL103)</f>
        <v xml:space="preserve"> - </v>
      </c>
      <c r="D95" s="318" t="str">
        <f ca="1">IF(OR(A95&gt;Start.listina!$K$7,TYPE(VLOOKUP(A95,$V$3:$X$130,3,0))&gt;3),"",VLOOKUP(A95,$V$3:$X$130,3,0))</f>
        <v/>
      </c>
      <c r="E95" s="422" t="str">
        <f ca="1">IF(A95&gt;Start.listina!$K$7,"",IF(MIN(F95:K95)&gt;Start.listina!$Y$4,D95,MIN(F95:K95)))</f>
        <v/>
      </c>
      <c r="F95" s="318">
        <f ca="1">IF(TYPE(VLOOKUP(C95,Konečné_pořadí_1_16!$B$2:$D$17,3,0))&lt;4,VLOOKUP(C95,Konečné_pořadí_1_16!$B$2:$D$17,3,0),999)</f>
        <v>999</v>
      </c>
      <c r="G95" s="318">
        <f ca="1">IF(TYPE(VLOOKUP(C95,'KO64'!$D$4:$D$129,1,0))&lt;4,64,999)</f>
        <v>64</v>
      </c>
      <c r="H95" s="318">
        <f ca="1">IF(TYPE(VLOOKUP(C95,'KO32'!$D$4:$D$65,1,0))&lt;4,32,999)</f>
        <v>32</v>
      </c>
      <c r="I95" s="318">
        <f ca="1">IF(TYPE(VLOOKUP(C95,'KO16'!$D$4:$D$33,1,0))&lt;4,16,999)</f>
        <v>999</v>
      </c>
      <c r="J95" s="318">
        <f ca="1">IF(TYPE(VLOOKUP(C95,'KO8'!$D$4:$D$17,1,0))&lt;4,8,999)</f>
        <v>999</v>
      </c>
      <c r="K95" s="318">
        <f ca="1">IF(TYPE(VLOOKUP(C95,'KO4'!$D$4:$D$9,1,0))&lt;4,4,999)</f>
        <v>999</v>
      </c>
      <c r="M95" s="319">
        <v>93</v>
      </c>
      <c r="O95" s="318">
        <f t="shared" ca="1" si="42"/>
        <v>0</v>
      </c>
      <c r="P95" s="318">
        <f t="shared" ca="1" si="43"/>
        <v>0</v>
      </c>
      <c r="Q95" s="318">
        <f t="shared" ca="1" si="34"/>
        <v>2</v>
      </c>
      <c r="R95" s="318">
        <f t="shared" ca="1" si="35"/>
        <v>0</v>
      </c>
      <c r="S95" s="318">
        <f t="shared" ca="1" si="44"/>
        <v>18</v>
      </c>
      <c r="T95" s="318">
        <f t="shared" ca="1" si="45"/>
        <v>0</v>
      </c>
      <c r="U95" s="397">
        <f t="shared" si="59"/>
        <v>93</v>
      </c>
      <c r="V95" s="397" t="s">
        <v>1869</v>
      </c>
      <c r="W95" s="423" t="str">
        <f ca="1">IF($V95="","",CONCATENATE(TEXT($O95,"0"),IF(Start.listina!$Y$5="","",TEXT(500+$P95,"0000")),IF(Start.listina!$Y$6="","",CHOOSE(Start.listina!$Y$7,TEXT($Q95,"00"),CONCATENATE(TEXT($Q95,"00"),TEXT($S95,"000")), TEXT($R95,"00"))),TEXT(500+$P95,"0000"),IF(Start.listina!$Y$8="","",TEXT($T95,"0")),TEXT(999999*RAND(),"000000")))</f>
        <v/>
      </c>
      <c r="X95" s="399">
        <f t="shared" si="46"/>
        <v>93</v>
      </c>
      <c r="Y95" s="397">
        <f t="shared" ca="1" si="36"/>
        <v>0</v>
      </c>
      <c r="Z95" s="318">
        <f t="shared" ca="1" si="47"/>
        <v>57</v>
      </c>
      <c r="AA95" s="318" t="str">
        <f t="shared" ca="1" si="48"/>
        <v/>
      </c>
      <c r="AB95" s="318" t="str">
        <f t="shared" ca="1" si="49"/>
        <v/>
      </c>
      <c r="AC95" s="318" t="str">
        <f t="shared" ca="1" si="50"/>
        <v/>
      </c>
      <c r="AD95" s="318" t="str">
        <f t="shared" ca="1" si="51"/>
        <v/>
      </c>
      <c r="AE95" s="318" t="str">
        <f t="shared" ca="1" si="52"/>
        <v/>
      </c>
      <c r="AG95" s="318">
        <f ca="1">IF(TYPE(VLOOKUP($A95,'1.kolo'!$L$3:$L$66,1,0))&gt;3,VLOOKUP($A95,'1.kolo'!$K$3:$L$66,2,0),VLOOKUP($A95,'1.kolo'!$L$3:$O$66,4,0))</f>
        <v>57</v>
      </c>
      <c r="AH95" s="318">
        <f ca="1">IF(TYPE(VLOOKUP($A95,'1.kolo'!$L$3:$L$66,1,0))&gt;3,VLOOKUP($A95,'1.kolo'!$O$3:$Q$66,2,0),VLOOKUP($A95,'1.kolo'!$L$3:$N$66,2,0))</f>
        <v>0</v>
      </c>
      <c r="AI95" s="318">
        <f ca="1">IF(TYPE(VLOOKUP($A95,'1.kolo'!$L$3:$L$66,1,0))&gt;3,VLOOKUP($A95,'1.kolo'!$O$3:$Q$66,3,0),VLOOKUP($A95,'1.kolo'!$L$3:$N$66,3,0))</f>
        <v>0</v>
      </c>
      <c r="AJ95" s="318">
        <f t="shared" ca="1" si="53"/>
        <v>0</v>
      </c>
      <c r="AK95" s="318">
        <v>93</v>
      </c>
      <c r="AL95" s="424"/>
      <c r="AP95" s="318" t="str">
        <f ca="1">IF(TYPE(VLOOKUP($A95,'2.kolo'!$L$3:$L$66,1,0))&gt;3,IF(TYPE(VLOOKUP($A95,'2.kolo'!$K$3:$L$66,2,0))&gt;3,0,VLOOKUP($A95,'2.kolo'!$K$3:$L$66,2,0)),VLOOKUP($A95,'2.kolo'!$L$3:$O$66,4,0))</f>
        <v/>
      </c>
      <c r="AQ95" s="318">
        <f ca="1">IF(TYPE(VLOOKUP($A95,'2.kolo'!$L$3:$L$66,1,0))&gt;3,IF(TYPE(VLOOKUP($A95,'2.kolo'!$O$3:$Q$66,2,0))&gt;3,0,VLOOKUP($A95,'2.kolo'!$O$3:$Q$66,2,0)),VLOOKUP($A95,'2.kolo'!$L$3:$N$66,2,0))</f>
        <v>0</v>
      </c>
      <c r="AR95" s="318">
        <f ca="1">IF(TYPE(VLOOKUP($A95,'2.kolo'!$L$3:$L$66,1,0))&gt;3,IF(TYPE(VLOOKUP($A95,'2.kolo'!$O$3:$Q$66,3,0))&gt;3,0,VLOOKUP($A95,'2.kolo'!$O$3:$Q$66,3,0)),VLOOKUP($A95,'2.kolo'!$L$3:$N$66,3,0))</f>
        <v>0</v>
      </c>
      <c r="AS95" s="318">
        <f t="shared" ca="1" si="54"/>
        <v>0</v>
      </c>
      <c r="AT95" s="397" t="s">
        <v>1869</v>
      </c>
      <c r="AU95" s="424" t="str">
        <f ca="1">IF(AT95="","",CONCATENATE(TEXT($O95,"0"),IF(Start.listina!$Y$5="","",TEXT(500+$P95,"000")),TEXT(999999*RAND(),"000000")))</f>
        <v/>
      </c>
      <c r="AV95" s="318">
        <f t="shared" ca="1" si="37"/>
        <v>0</v>
      </c>
      <c r="AY95" s="318" t="str">
        <f ca="1">IF(TYPE(VLOOKUP($A95,'3.kolo'!$L$3:$L$66,1,0))&gt;3,IF(TYPE(VLOOKUP($A95,'3.kolo'!$K$3:$L$66,2,0))&gt;3,0,VLOOKUP($A95,'3.kolo'!$K$3:$L$66,2,0)),VLOOKUP($A95,'3.kolo'!$L$3:$O$66,4,0))</f>
        <v/>
      </c>
      <c r="AZ95" s="318">
        <f ca="1">IF(TYPE(VLOOKUP($A95,'3.kolo'!$L$3:$L$66,1,0))&gt;3,IF(TYPE(VLOOKUP($A95,'3.kolo'!$O$3:$Q$66,2,0))&gt;3,0,VLOOKUP($A95,'3.kolo'!$O$3:$Q$66,2,0)),VLOOKUP($A95,'3.kolo'!$L$3:$N$66,2,0))</f>
        <v>0</v>
      </c>
      <c r="BA95" s="318">
        <f ca="1">IF(TYPE(VLOOKUP($A95,'3.kolo'!$L$3:$L$66,1,0))&gt;3,IF(TYPE(VLOOKUP($A95,'3.kolo'!$O$3:$Q$66,3,0))&gt;3,0,VLOOKUP($A95,'3.kolo'!$O$3:$Q$66,3,0)),VLOOKUP($A95,'3.kolo'!$L$3:$N$66,3,0))</f>
        <v>0</v>
      </c>
      <c r="BB95" s="318">
        <f t="shared" ca="1" si="55"/>
        <v>0</v>
      </c>
      <c r="BC95" s="397" t="s">
        <v>1869</v>
      </c>
      <c r="BD95" s="424" t="str">
        <f ca="1">IF(BC95="","",CONCATENATE(TEXT($O95,"0"),IF(Start.listina!$Y$5="","",TEXT(500+$P95,"000")),TEXT(999999*RAND(),"000000")))</f>
        <v/>
      </c>
      <c r="BE95" s="318">
        <f t="shared" ca="1" si="38"/>
        <v>0</v>
      </c>
      <c r="BH95" s="318" t="str">
        <f ca="1">IF(TYPE(VLOOKUP($A95,'4.kolo'!$L$3:$L$66,1,0))&gt;3,IF(TYPE(VLOOKUP($A95,'4.kolo'!$K$3:$L$66,2,0))&gt;3,0,VLOOKUP($A95,'4.kolo'!$K$3:$L$66,2,0)),VLOOKUP($A95,'4.kolo'!$L$3:$O$66,4,0))</f>
        <v/>
      </c>
      <c r="BI95" s="318">
        <f ca="1">IF(TYPE(VLOOKUP($A95,'4.kolo'!$L$3:$L$66,1,0))&gt;3,IF(TYPE(VLOOKUP($A95,'4.kolo'!$O$3:$Q$66,2,0))&gt;3,0,VLOOKUP($A95,'4.kolo'!$O$3:$Q$66,2,0)),VLOOKUP($A95,'4.kolo'!$L$3:$N$66,2,0))</f>
        <v>0</v>
      </c>
      <c r="BJ95" s="318">
        <f ca="1">IF(TYPE(VLOOKUP($A95,'4.kolo'!$L$3:$L$66,1,0))&gt;3,IF(TYPE(VLOOKUP($A95,'4.kolo'!$O$3:$Q$66,3,0))&gt;3,0,VLOOKUP($A95,'4.kolo'!$O$3:$Q$66,3,0)),VLOOKUP($A95,'4.kolo'!$L$3:$N$66,3,0))</f>
        <v>0</v>
      </c>
      <c r="BK95" s="318">
        <f t="shared" ca="1" si="56"/>
        <v>0</v>
      </c>
      <c r="BL95" s="397" t="s">
        <v>1869</v>
      </c>
      <c r="BM95" s="424" t="str">
        <f ca="1">IF(BL95="","",CONCATENATE(TEXT($O95,"0"),IF(Start.listina!$Y$5="","",TEXT(500+$P95,"000")),TEXT(999999*RAND(),"000000")))</f>
        <v/>
      </c>
      <c r="BN95" s="318">
        <f t="shared" ca="1" si="39"/>
        <v>0</v>
      </c>
      <c r="BQ95" s="318" t="str">
        <f ca="1">IF(TYPE(VLOOKUP($A95,'5.kolo'!$L$3:$L$66,1,0))&gt;3,IF(TYPE(VLOOKUP($A95,'5.kolo'!$K$3:$L$66,2,0))&gt;3,0,VLOOKUP($A95,'5.kolo'!$K$3:$L$66,2,0)),VLOOKUP($A95,'5.kolo'!$L$3:$O$66,4,0))</f>
        <v/>
      </c>
      <c r="BR95" s="318">
        <f ca="1">IF(TYPE(VLOOKUP($A95,'5.kolo'!$L$3:$L$66,1,0))&gt;3,IF(TYPE(VLOOKUP($A95,'5.kolo'!$O$3:$Q$66,2,0))&gt;3,0,VLOOKUP($A95,'5.kolo'!$O$3:$Q$66,2,0)),VLOOKUP($A95,'5.kolo'!$L$3:$N$66,2,0))</f>
        <v>0</v>
      </c>
      <c r="BS95" s="318">
        <f ca="1">IF(TYPE(VLOOKUP($A95,'5.kolo'!$L$3:$L$66,1,0))&gt;3,IF(TYPE(VLOOKUP($A95,'5.kolo'!$O$3:$Q$66,3,0))&gt;3,0,VLOOKUP($A95,'5.kolo'!$O$3:$Q$66,3,0)),VLOOKUP($A95,'5.kolo'!$L$3:$N$66,3,0))</f>
        <v>0</v>
      </c>
      <c r="BT95" s="318">
        <f t="shared" ca="1" si="57"/>
        <v>0</v>
      </c>
      <c r="BU95" s="397"/>
      <c r="BV95" s="424" t="str">
        <f ca="1">IF(BU95="","",CONCATENATE(TEXT($O95,"0"),IF(Start.listina!$Y$5="","",TEXT(500+$P95,"000")),TEXT(999999*RAND(),"000000")))</f>
        <v/>
      </c>
      <c r="BW95" s="318">
        <f t="shared" ca="1" si="40"/>
        <v>0</v>
      </c>
      <c r="BZ95" s="318" t="str">
        <f ca="1">IF(TYPE(VLOOKUP($A95,'6.kolo'!$L$3:$L$66,1,0))&gt;3,IF(TYPE(VLOOKUP($A95,'6.kolo'!$K$3:$L$66,2,0))&gt;3,0,VLOOKUP($A95,'6.kolo'!$K$3:$L$66,2,0)),VLOOKUP($A95,'6.kolo'!$L$3:$O$66,4,0))</f>
        <v/>
      </c>
      <c r="CA95" s="318">
        <f ca="1">IF(TYPE(VLOOKUP($A95,'6.kolo'!$L$3:$L$66,1,0))&gt;3,IF(TYPE(VLOOKUP($A95,'6.kolo'!$O$3:$Q$66,2,0))&gt;3,0,VLOOKUP($A95,'6.kolo'!$O$3:$Q$66,2,0)),VLOOKUP($A95,'6.kolo'!$L$3:$N$66,2,0))</f>
        <v>0</v>
      </c>
      <c r="CB95" s="318">
        <f ca="1">IF(TYPE(VLOOKUP($A95,'6.kolo'!$L$3:$L$66,1,0))&gt;3,IF(TYPE(VLOOKUP($A95,'6.kolo'!$O$3:$Q$66,3,0))&gt;3,0,VLOOKUP($A95,'6.kolo'!$O$3:$Q$66,3,0)),VLOOKUP($A95,'6.kolo'!$L$3:$N$66,3,0))</f>
        <v>0</v>
      </c>
      <c r="CC95" s="318">
        <f t="shared" ca="1" si="58"/>
        <v>0</v>
      </c>
      <c r="CD95" s="397"/>
      <c r="CE95" s="424" t="str">
        <f ca="1">IF(CD95="","",CONCATENATE(TEXT($O95,"0"),IF(Start.listina!$Y$5="","",TEXT(500+$P95,"000")),TEXT(999999*RAND(),"000000")))</f>
        <v/>
      </c>
      <c r="CF95" s="318">
        <f t="shared" ca="1" si="41"/>
        <v>0</v>
      </c>
    </row>
    <row r="96" spans="1:84" x14ac:dyDescent="0.4">
      <c r="A96" s="318" t="str">
        <f ca="1">IF(OR(Start.listina!H104&gt;Start.listina!$K$7,Start.listina!G104=TRUE),"",Start.listina!H104)</f>
        <v/>
      </c>
      <c r="B96" s="318" t="str">
        <f ca="1">IF($A96&gt;Start.listina!$K$7,"",INT(($A96-1)/Start.listina!$O$7)+1)</f>
        <v/>
      </c>
      <c r="C96" s="421" t="str">
        <f ca="1">IF(OR(Start.listina!H104&gt;Start.listina!$K$7,Start.listina!G104=TRUE)," - ",Start.listina!AL104)</f>
        <v xml:space="preserve"> - </v>
      </c>
      <c r="D96" s="318" t="str">
        <f ca="1">IF(OR(A96&gt;Start.listina!$K$7,TYPE(VLOOKUP(A96,$V$3:$X$130,3,0))&gt;3),"",VLOOKUP(A96,$V$3:$X$130,3,0))</f>
        <v/>
      </c>
      <c r="E96" s="422" t="str">
        <f ca="1">IF(A96&gt;Start.listina!$K$7,"",IF(MIN(F96:K96)&gt;Start.listina!$Y$4,D96,MIN(F96:K96)))</f>
        <v/>
      </c>
      <c r="F96" s="318">
        <f ca="1">IF(TYPE(VLOOKUP(C96,Konečné_pořadí_1_16!$B$2:$D$17,3,0))&lt;4,VLOOKUP(C96,Konečné_pořadí_1_16!$B$2:$D$17,3,0),999)</f>
        <v>999</v>
      </c>
      <c r="G96" s="318">
        <f ca="1">IF(TYPE(VLOOKUP(C96,'KO64'!$D$4:$D$129,1,0))&lt;4,64,999)</f>
        <v>64</v>
      </c>
      <c r="H96" s="318">
        <f ca="1">IF(TYPE(VLOOKUP(C96,'KO32'!$D$4:$D$65,1,0))&lt;4,32,999)</f>
        <v>32</v>
      </c>
      <c r="I96" s="318">
        <f ca="1">IF(TYPE(VLOOKUP(C96,'KO16'!$D$4:$D$33,1,0))&lt;4,16,999)</f>
        <v>999</v>
      </c>
      <c r="J96" s="318">
        <f ca="1">IF(TYPE(VLOOKUP(C96,'KO8'!$D$4:$D$17,1,0))&lt;4,8,999)</f>
        <v>999</v>
      </c>
      <c r="K96" s="318">
        <f ca="1">IF(TYPE(VLOOKUP(C96,'KO4'!$D$4:$D$9,1,0))&lt;4,4,999)</f>
        <v>999</v>
      </c>
      <c r="M96" s="319">
        <v>94</v>
      </c>
      <c r="O96" s="318">
        <f t="shared" ca="1" si="42"/>
        <v>0</v>
      </c>
      <c r="P96" s="318">
        <f t="shared" ca="1" si="43"/>
        <v>0</v>
      </c>
      <c r="Q96" s="318">
        <f t="shared" ca="1" si="34"/>
        <v>2</v>
      </c>
      <c r="R96" s="318">
        <f t="shared" ca="1" si="35"/>
        <v>0</v>
      </c>
      <c r="S96" s="318">
        <f t="shared" ca="1" si="44"/>
        <v>18</v>
      </c>
      <c r="T96" s="318">
        <f t="shared" ca="1" si="45"/>
        <v>0</v>
      </c>
      <c r="U96" s="397">
        <f t="shared" si="59"/>
        <v>94</v>
      </c>
      <c r="V96" s="397" t="s">
        <v>1869</v>
      </c>
      <c r="W96" s="423" t="str">
        <f ca="1">IF($V96="","",CONCATENATE(TEXT($O96,"0"),IF(Start.listina!$Y$5="","",TEXT(500+$P96,"0000")),IF(Start.listina!$Y$6="","",CHOOSE(Start.listina!$Y$7,TEXT($Q96,"00"),CONCATENATE(TEXT($Q96,"00"),TEXT($S96,"000")), TEXT($R96,"00"))),TEXT(500+$P96,"0000"),IF(Start.listina!$Y$8="","",TEXT($T96,"0")),TEXT(999999*RAND(),"000000")))</f>
        <v/>
      </c>
      <c r="X96" s="399">
        <f t="shared" si="46"/>
        <v>94</v>
      </c>
      <c r="Y96" s="397">
        <f t="shared" ca="1" si="36"/>
        <v>0</v>
      </c>
      <c r="Z96" s="318">
        <f t="shared" ca="1" si="47"/>
        <v>57</v>
      </c>
      <c r="AA96" s="318" t="str">
        <f t="shared" ca="1" si="48"/>
        <v/>
      </c>
      <c r="AB96" s="318" t="str">
        <f t="shared" ca="1" si="49"/>
        <v/>
      </c>
      <c r="AC96" s="318" t="str">
        <f t="shared" ca="1" si="50"/>
        <v/>
      </c>
      <c r="AD96" s="318" t="str">
        <f t="shared" ca="1" si="51"/>
        <v/>
      </c>
      <c r="AE96" s="318" t="str">
        <f t="shared" ca="1" si="52"/>
        <v/>
      </c>
      <c r="AG96" s="318">
        <f ca="1">IF(TYPE(VLOOKUP($A96,'1.kolo'!$L$3:$L$66,1,0))&gt;3,VLOOKUP($A96,'1.kolo'!$K$3:$L$66,2,0),VLOOKUP($A96,'1.kolo'!$L$3:$O$66,4,0))</f>
        <v>57</v>
      </c>
      <c r="AH96" s="318">
        <f ca="1">IF(TYPE(VLOOKUP($A96,'1.kolo'!$L$3:$L$66,1,0))&gt;3,VLOOKUP($A96,'1.kolo'!$O$3:$Q$66,2,0),VLOOKUP($A96,'1.kolo'!$L$3:$N$66,2,0))</f>
        <v>0</v>
      </c>
      <c r="AI96" s="318">
        <f ca="1">IF(TYPE(VLOOKUP($A96,'1.kolo'!$L$3:$L$66,1,0))&gt;3,VLOOKUP($A96,'1.kolo'!$O$3:$Q$66,3,0),VLOOKUP($A96,'1.kolo'!$L$3:$N$66,3,0))</f>
        <v>0</v>
      </c>
      <c r="AJ96" s="318">
        <f t="shared" ca="1" si="53"/>
        <v>0</v>
      </c>
      <c r="AK96" s="318">
        <v>94</v>
      </c>
      <c r="AL96" s="424"/>
      <c r="AP96" s="318" t="str">
        <f ca="1">IF(TYPE(VLOOKUP($A96,'2.kolo'!$L$3:$L$66,1,0))&gt;3,IF(TYPE(VLOOKUP($A96,'2.kolo'!$K$3:$L$66,2,0))&gt;3,0,VLOOKUP($A96,'2.kolo'!$K$3:$L$66,2,0)),VLOOKUP($A96,'2.kolo'!$L$3:$O$66,4,0))</f>
        <v/>
      </c>
      <c r="AQ96" s="318">
        <f ca="1">IF(TYPE(VLOOKUP($A96,'2.kolo'!$L$3:$L$66,1,0))&gt;3,IF(TYPE(VLOOKUP($A96,'2.kolo'!$O$3:$Q$66,2,0))&gt;3,0,VLOOKUP($A96,'2.kolo'!$O$3:$Q$66,2,0)),VLOOKUP($A96,'2.kolo'!$L$3:$N$66,2,0))</f>
        <v>0</v>
      </c>
      <c r="AR96" s="318">
        <f ca="1">IF(TYPE(VLOOKUP($A96,'2.kolo'!$L$3:$L$66,1,0))&gt;3,IF(TYPE(VLOOKUP($A96,'2.kolo'!$O$3:$Q$66,3,0))&gt;3,0,VLOOKUP($A96,'2.kolo'!$O$3:$Q$66,3,0)),VLOOKUP($A96,'2.kolo'!$L$3:$N$66,3,0))</f>
        <v>0</v>
      </c>
      <c r="AS96" s="318">
        <f t="shared" ca="1" si="54"/>
        <v>0</v>
      </c>
      <c r="AT96" s="397" t="s">
        <v>1869</v>
      </c>
      <c r="AU96" s="424" t="str">
        <f ca="1">IF(AT96="","",CONCATENATE(TEXT($O96,"0"),IF(Start.listina!$Y$5="","",TEXT(500+$P96,"000")),TEXT(999999*RAND(),"000000")))</f>
        <v/>
      </c>
      <c r="AV96" s="318">
        <f t="shared" ca="1" si="37"/>
        <v>0</v>
      </c>
      <c r="AY96" s="318" t="str">
        <f ca="1">IF(TYPE(VLOOKUP($A96,'3.kolo'!$L$3:$L$66,1,0))&gt;3,IF(TYPE(VLOOKUP($A96,'3.kolo'!$K$3:$L$66,2,0))&gt;3,0,VLOOKUP($A96,'3.kolo'!$K$3:$L$66,2,0)),VLOOKUP($A96,'3.kolo'!$L$3:$O$66,4,0))</f>
        <v/>
      </c>
      <c r="AZ96" s="318">
        <f ca="1">IF(TYPE(VLOOKUP($A96,'3.kolo'!$L$3:$L$66,1,0))&gt;3,IF(TYPE(VLOOKUP($A96,'3.kolo'!$O$3:$Q$66,2,0))&gt;3,0,VLOOKUP($A96,'3.kolo'!$O$3:$Q$66,2,0)),VLOOKUP($A96,'3.kolo'!$L$3:$N$66,2,0))</f>
        <v>0</v>
      </c>
      <c r="BA96" s="318">
        <f ca="1">IF(TYPE(VLOOKUP($A96,'3.kolo'!$L$3:$L$66,1,0))&gt;3,IF(TYPE(VLOOKUP($A96,'3.kolo'!$O$3:$Q$66,3,0))&gt;3,0,VLOOKUP($A96,'3.kolo'!$O$3:$Q$66,3,0)),VLOOKUP($A96,'3.kolo'!$L$3:$N$66,3,0))</f>
        <v>0</v>
      </c>
      <c r="BB96" s="318">
        <f t="shared" ca="1" si="55"/>
        <v>0</v>
      </c>
      <c r="BC96" s="397" t="s">
        <v>1869</v>
      </c>
      <c r="BD96" s="424" t="str">
        <f ca="1">IF(BC96="","",CONCATENATE(TEXT($O96,"0"),IF(Start.listina!$Y$5="","",TEXT(500+$P96,"000")),TEXT(999999*RAND(),"000000")))</f>
        <v/>
      </c>
      <c r="BE96" s="318">
        <f t="shared" ca="1" si="38"/>
        <v>0</v>
      </c>
      <c r="BH96" s="318" t="str">
        <f ca="1">IF(TYPE(VLOOKUP($A96,'4.kolo'!$L$3:$L$66,1,0))&gt;3,IF(TYPE(VLOOKUP($A96,'4.kolo'!$K$3:$L$66,2,0))&gt;3,0,VLOOKUP($A96,'4.kolo'!$K$3:$L$66,2,0)),VLOOKUP($A96,'4.kolo'!$L$3:$O$66,4,0))</f>
        <v/>
      </c>
      <c r="BI96" s="318">
        <f ca="1">IF(TYPE(VLOOKUP($A96,'4.kolo'!$L$3:$L$66,1,0))&gt;3,IF(TYPE(VLOOKUP($A96,'4.kolo'!$O$3:$Q$66,2,0))&gt;3,0,VLOOKUP($A96,'4.kolo'!$O$3:$Q$66,2,0)),VLOOKUP($A96,'4.kolo'!$L$3:$N$66,2,0))</f>
        <v>0</v>
      </c>
      <c r="BJ96" s="318">
        <f ca="1">IF(TYPE(VLOOKUP($A96,'4.kolo'!$L$3:$L$66,1,0))&gt;3,IF(TYPE(VLOOKUP($A96,'4.kolo'!$O$3:$Q$66,3,0))&gt;3,0,VLOOKUP($A96,'4.kolo'!$O$3:$Q$66,3,0)),VLOOKUP($A96,'4.kolo'!$L$3:$N$66,3,0))</f>
        <v>0</v>
      </c>
      <c r="BK96" s="318">
        <f t="shared" ca="1" si="56"/>
        <v>0</v>
      </c>
      <c r="BL96" s="397" t="s">
        <v>1869</v>
      </c>
      <c r="BM96" s="424" t="str">
        <f ca="1">IF(BL96="","",CONCATENATE(TEXT($O96,"0"),IF(Start.listina!$Y$5="","",TEXT(500+$P96,"000")),TEXT(999999*RAND(),"000000")))</f>
        <v/>
      </c>
      <c r="BN96" s="318">
        <f t="shared" ca="1" si="39"/>
        <v>0</v>
      </c>
      <c r="BQ96" s="318" t="str">
        <f ca="1">IF(TYPE(VLOOKUP($A96,'5.kolo'!$L$3:$L$66,1,0))&gt;3,IF(TYPE(VLOOKUP($A96,'5.kolo'!$K$3:$L$66,2,0))&gt;3,0,VLOOKUP($A96,'5.kolo'!$K$3:$L$66,2,0)),VLOOKUP($A96,'5.kolo'!$L$3:$O$66,4,0))</f>
        <v/>
      </c>
      <c r="BR96" s="318">
        <f ca="1">IF(TYPE(VLOOKUP($A96,'5.kolo'!$L$3:$L$66,1,0))&gt;3,IF(TYPE(VLOOKUP($A96,'5.kolo'!$O$3:$Q$66,2,0))&gt;3,0,VLOOKUP($A96,'5.kolo'!$O$3:$Q$66,2,0)),VLOOKUP($A96,'5.kolo'!$L$3:$N$66,2,0))</f>
        <v>0</v>
      </c>
      <c r="BS96" s="318">
        <f ca="1">IF(TYPE(VLOOKUP($A96,'5.kolo'!$L$3:$L$66,1,0))&gt;3,IF(TYPE(VLOOKUP($A96,'5.kolo'!$O$3:$Q$66,3,0))&gt;3,0,VLOOKUP($A96,'5.kolo'!$O$3:$Q$66,3,0)),VLOOKUP($A96,'5.kolo'!$L$3:$N$66,3,0))</f>
        <v>0</v>
      </c>
      <c r="BT96" s="318">
        <f t="shared" ca="1" si="57"/>
        <v>0</v>
      </c>
      <c r="BU96" s="397"/>
      <c r="BV96" s="424" t="str">
        <f ca="1">IF(BU96="","",CONCATENATE(TEXT($O96,"0"),IF(Start.listina!$Y$5="","",TEXT(500+$P96,"000")),TEXT(999999*RAND(),"000000")))</f>
        <v/>
      </c>
      <c r="BW96" s="318">
        <f t="shared" ca="1" si="40"/>
        <v>0</v>
      </c>
      <c r="BZ96" s="318" t="str">
        <f ca="1">IF(TYPE(VLOOKUP($A96,'6.kolo'!$L$3:$L$66,1,0))&gt;3,IF(TYPE(VLOOKUP($A96,'6.kolo'!$K$3:$L$66,2,0))&gt;3,0,VLOOKUP($A96,'6.kolo'!$K$3:$L$66,2,0)),VLOOKUP($A96,'6.kolo'!$L$3:$O$66,4,0))</f>
        <v/>
      </c>
      <c r="CA96" s="318">
        <f ca="1">IF(TYPE(VLOOKUP($A96,'6.kolo'!$L$3:$L$66,1,0))&gt;3,IF(TYPE(VLOOKUP($A96,'6.kolo'!$O$3:$Q$66,2,0))&gt;3,0,VLOOKUP($A96,'6.kolo'!$O$3:$Q$66,2,0)),VLOOKUP($A96,'6.kolo'!$L$3:$N$66,2,0))</f>
        <v>0</v>
      </c>
      <c r="CB96" s="318">
        <f ca="1">IF(TYPE(VLOOKUP($A96,'6.kolo'!$L$3:$L$66,1,0))&gt;3,IF(TYPE(VLOOKUP($A96,'6.kolo'!$O$3:$Q$66,3,0))&gt;3,0,VLOOKUP($A96,'6.kolo'!$O$3:$Q$66,3,0)),VLOOKUP($A96,'6.kolo'!$L$3:$N$66,3,0))</f>
        <v>0</v>
      </c>
      <c r="CC96" s="318">
        <f t="shared" ca="1" si="58"/>
        <v>0</v>
      </c>
      <c r="CD96" s="397"/>
      <c r="CE96" s="424" t="str">
        <f ca="1">IF(CD96="","",CONCATENATE(TEXT($O96,"0"),IF(Start.listina!$Y$5="","",TEXT(500+$P96,"000")),TEXT(999999*RAND(),"000000")))</f>
        <v/>
      </c>
      <c r="CF96" s="318">
        <f t="shared" ca="1" si="41"/>
        <v>0</v>
      </c>
    </row>
    <row r="97" spans="1:84" x14ac:dyDescent="0.4">
      <c r="A97" s="318" t="str">
        <f ca="1">IF(OR(Start.listina!H105&gt;Start.listina!$K$7,Start.listina!G105=TRUE),"",Start.listina!H105)</f>
        <v/>
      </c>
      <c r="B97" s="318" t="str">
        <f ca="1">IF($A97&gt;Start.listina!$K$7,"",INT(($A97-1)/Start.listina!$O$7)+1)</f>
        <v/>
      </c>
      <c r="C97" s="421" t="str">
        <f ca="1">IF(OR(Start.listina!H105&gt;Start.listina!$K$7,Start.listina!G105=TRUE)," - ",Start.listina!AL105)</f>
        <v xml:space="preserve"> - </v>
      </c>
      <c r="D97" s="318" t="str">
        <f ca="1">IF(OR(A97&gt;Start.listina!$K$7,TYPE(VLOOKUP(A97,$V$3:$X$130,3,0))&gt;3),"",VLOOKUP(A97,$V$3:$X$130,3,0))</f>
        <v/>
      </c>
      <c r="E97" s="422" t="str">
        <f ca="1">IF(A97&gt;Start.listina!$K$7,"",IF(MIN(F97:K97)&gt;Start.listina!$Y$4,D97,MIN(F97:K97)))</f>
        <v/>
      </c>
      <c r="F97" s="318">
        <f ca="1">IF(TYPE(VLOOKUP(C97,Konečné_pořadí_1_16!$B$2:$D$17,3,0))&lt;4,VLOOKUP(C97,Konečné_pořadí_1_16!$B$2:$D$17,3,0),999)</f>
        <v>999</v>
      </c>
      <c r="G97" s="318">
        <f ca="1">IF(TYPE(VLOOKUP(C97,'KO64'!$D$4:$D$129,1,0))&lt;4,64,999)</f>
        <v>64</v>
      </c>
      <c r="H97" s="318">
        <f ca="1">IF(TYPE(VLOOKUP(C97,'KO32'!$D$4:$D$65,1,0))&lt;4,32,999)</f>
        <v>32</v>
      </c>
      <c r="I97" s="318">
        <f ca="1">IF(TYPE(VLOOKUP(C97,'KO16'!$D$4:$D$33,1,0))&lt;4,16,999)</f>
        <v>999</v>
      </c>
      <c r="J97" s="318">
        <f ca="1">IF(TYPE(VLOOKUP(C97,'KO8'!$D$4:$D$17,1,0))&lt;4,8,999)</f>
        <v>999</v>
      </c>
      <c r="K97" s="318">
        <f ca="1">IF(TYPE(VLOOKUP(C97,'KO4'!$D$4:$D$9,1,0))&lt;4,4,999)</f>
        <v>999</v>
      </c>
      <c r="M97" s="319">
        <v>95</v>
      </c>
      <c r="O97" s="318">
        <f t="shared" ca="1" si="42"/>
        <v>0</v>
      </c>
      <c r="P97" s="318">
        <f t="shared" ca="1" si="43"/>
        <v>0</v>
      </c>
      <c r="Q97" s="318">
        <f t="shared" ca="1" si="34"/>
        <v>2</v>
      </c>
      <c r="R97" s="318">
        <f t="shared" ca="1" si="35"/>
        <v>0</v>
      </c>
      <c r="S97" s="318">
        <f t="shared" ca="1" si="44"/>
        <v>18</v>
      </c>
      <c r="T97" s="318">
        <f t="shared" ca="1" si="45"/>
        <v>0</v>
      </c>
      <c r="U97" s="397">
        <f t="shared" si="59"/>
        <v>95</v>
      </c>
      <c r="V97" s="397" t="s">
        <v>1869</v>
      </c>
      <c r="W97" s="423" t="str">
        <f ca="1">IF($V97="","",CONCATENATE(TEXT($O97,"0"),IF(Start.listina!$Y$5="","",TEXT(500+$P97,"0000")),IF(Start.listina!$Y$6="","",CHOOSE(Start.listina!$Y$7,TEXT($Q97,"00"),CONCATENATE(TEXT($Q97,"00"),TEXT($S97,"000")), TEXT($R97,"00"))),TEXT(500+$P97,"0000"),IF(Start.listina!$Y$8="","",TEXT($T97,"0")),TEXT(999999*RAND(),"000000")))</f>
        <v/>
      </c>
      <c r="X97" s="399">
        <f t="shared" si="46"/>
        <v>95</v>
      </c>
      <c r="Y97" s="397">
        <f t="shared" ca="1" si="36"/>
        <v>0</v>
      </c>
      <c r="Z97" s="318">
        <f t="shared" ca="1" si="47"/>
        <v>57</v>
      </c>
      <c r="AA97" s="318" t="str">
        <f t="shared" ca="1" si="48"/>
        <v/>
      </c>
      <c r="AB97" s="318" t="str">
        <f t="shared" ca="1" si="49"/>
        <v/>
      </c>
      <c r="AC97" s="318" t="str">
        <f t="shared" ca="1" si="50"/>
        <v/>
      </c>
      <c r="AD97" s="318" t="str">
        <f t="shared" ca="1" si="51"/>
        <v/>
      </c>
      <c r="AE97" s="318" t="str">
        <f t="shared" ca="1" si="52"/>
        <v/>
      </c>
      <c r="AG97" s="318">
        <f ca="1">IF(TYPE(VLOOKUP($A97,'1.kolo'!$L$3:$L$66,1,0))&gt;3,VLOOKUP($A97,'1.kolo'!$K$3:$L$66,2,0),VLOOKUP($A97,'1.kolo'!$L$3:$O$66,4,0))</f>
        <v>57</v>
      </c>
      <c r="AH97" s="318">
        <f ca="1">IF(TYPE(VLOOKUP($A97,'1.kolo'!$L$3:$L$66,1,0))&gt;3,VLOOKUP($A97,'1.kolo'!$O$3:$Q$66,2,0),VLOOKUP($A97,'1.kolo'!$L$3:$N$66,2,0))</f>
        <v>0</v>
      </c>
      <c r="AI97" s="318">
        <f ca="1">IF(TYPE(VLOOKUP($A97,'1.kolo'!$L$3:$L$66,1,0))&gt;3,VLOOKUP($A97,'1.kolo'!$O$3:$Q$66,3,0),VLOOKUP($A97,'1.kolo'!$L$3:$N$66,3,0))</f>
        <v>0</v>
      </c>
      <c r="AJ97" s="318">
        <f t="shared" ca="1" si="53"/>
        <v>0</v>
      </c>
      <c r="AK97" s="318">
        <v>95</v>
      </c>
      <c r="AL97" s="424"/>
      <c r="AP97" s="318" t="str">
        <f ca="1">IF(TYPE(VLOOKUP($A97,'2.kolo'!$L$3:$L$66,1,0))&gt;3,IF(TYPE(VLOOKUP($A97,'2.kolo'!$K$3:$L$66,2,0))&gt;3,0,VLOOKUP($A97,'2.kolo'!$K$3:$L$66,2,0)),VLOOKUP($A97,'2.kolo'!$L$3:$O$66,4,0))</f>
        <v/>
      </c>
      <c r="AQ97" s="318">
        <f ca="1">IF(TYPE(VLOOKUP($A97,'2.kolo'!$L$3:$L$66,1,0))&gt;3,IF(TYPE(VLOOKUP($A97,'2.kolo'!$O$3:$Q$66,2,0))&gt;3,0,VLOOKUP($A97,'2.kolo'!$O$3:$Q$66,2,0)),VLOOKUP($A97,'2.kolo'!$L$3:$N$66,2,0))</f>
        <v>0</v>
      </c>
      <c r="AR97" s="318">
        <f ca="1">IF(TYPE(VLOOKUP($A97,'2.kolo'!$L$3:$L$66,1,0))&gt;3,IF(TYPE(VLOOKUP($A97,'2.kolo'!$O$3:$Q$66,3,0))&gt;3,0,VLOOKUP($A97,'2.kolo'!$O$3:$Q$66,3,0)),VLOOKUP($A97,'2.kolo'!$L$3:$N$66,3,0))</f>
        <v>0</v>
      </c>
      <c r="AS97" s="318">
        <f t="shared" ca="1" si="54"/>
        <v>0</v>
      </c>
      <c r="AT97" s="397" t="s">
        <v>1869</v>
      </c>
      <c r="AU97" s="424" t="str">
        <f ca="1">IF(AT97="","",CONCATENATE(TEXT($O97,"0"),IF(Start.listina!$Y$5="","",TEXT(500+$P97,"000")),TEXT(999999*RAND(),"000000")))</f>
        <v/>
      </c>
      <c r="AV97" s="318">
        <f t="shared" ca="1" si="37"/>
        <v>0</v>
      </c>
      <c r="AY97" s="318" t="str">
        <f ca="1">IF(TYPE(VLOOKUP($A97,'3.kolo'!$L$3:$L$66,1,0))&gt;3,IF(TYPE(VLOOKUP($A97,'3.kolo'!$K$3:$L$66,2,0))&gt;3,0,VLOOKUP($A97,'3.kolo'!$K$3:$L$66,2,0)),VLOOKUP($A97,'3.kolo'!$L$3:$O$66,4,0))</f>
        <v/>
      </c>
      <c r="AZ97" s="318">
        <f ca="1">IF(TYPE(VLOOKUP($A97,'3.kolo'!$L$3:$L$66,1,0))&gt;3,IF(TYPE(VLOOKUP($A97,'3.kolo'!$O$3:$Q$66,2,0))&gt;3,0,VLOOKUP($A97,'3.kolo'!$O$3:$Q$66,2,0)),VLOOKUP($A97,'3.kolo'!$L$3:$N$66,2,0))</f>
        <v>0</v>
      </c>
      <c r="BA97" s="318">
        <f ca="1">IF(TYPE(VLOOKUP($A97,'3.kolo'!$L$3:$L$66,1,0))&gt;3,IF(TYPE(VLOOKUP($A97,'3.kolo'!$O$3:$Q$66,3,0))&gt;3,0,VLOOKUP($A97,'3.kolo'!$O$3:$Q$66,3,0)),VLOOKUP($A97,'3.kolo'!$L$3:$N$66,3,0))</f>
        <v>0</v>
      </c>
      <c r="BB97" s="318">
        <f t="shared" ca="1" si="55"/>
        <v>0</v>
      </c>
      <c r="BC97" s="397" t="s">
        <v>1869</v>
      </c>
      <c r="BD97" s="424" t="str">
        <f ca="1">IF(BC97="","",CONCATENATE(TEXT($O97,"0"),IF(Start.listina!$Y$5="","",TEXT(500+$P97,"000")),TEXT(999999*RAND(),"000000")))</f>
        <v/>
      </c>
      <c r="BE97" s="318">
        <f t="shared" ca="1" si="38"/>
        <v>0</v>
      </c>
      <c r="BH97" s="318" t="str">
        <f ca="1">IF(TYPE(VLOOKUP($A97,'4.kolo'!$L$3:$L$66,1,0))&gt;3,IF(TYPE(VLOOKUP($A97,'4.kolo'!$K$3:$L$66,2,0))&gt;3,0,VLOOKUP($A97,'4.kolo'!$K$3:$L$66,2,0)),VLOOKUP($A97,'4.kolo'!$L$3:$O$66,4,0))</f>
        <v/>
      </c>
      <c r="BI97" s="318">
        <f ca="1">IF(TYPE(VLOOKUP($A97,'4.kolo'!$L$3:$L$66,1,0))&gt;3,IF(TYPE(VLOOKUP($A97,'4.kolo'!$O$3:$Q$66,2,0))&gt;3,0,VLOOKUP($A97,'4.kolo'!$O$3:$Q$66,2,0)),VLOOKUP($A97,'4.kolo'!$L$3:$N$66,2,0))</f>
        <v>0</v>
      </c>
      <c r="BJ97" s="318">
        <f ca="1">IF(TYPE(VLOOKUP($A97,'4.kolo'!$L$3:$L$66,1,0))&gt;3,IF(TYPE(VLOOKUP($A97,'4.kolo'!$O$3:$Q$66,3,0))&gt;3,0,VLOOKUP($A97,'4.kolo'!$O$3:$Q$66,3,0)),VLOOKUP($A97,'4.kolo'!$L$3:$N$66,3,0))</f>
        <v>0</v>
      </c>
      <c r="BK97" s="318">
        <f t="shared" ca="1" si="56"/>
        <v>0</v>
      </c>
      <c r="BL97" s="397" t="s">
        <v>1869</v>
      </c>
      <c r="BM97" s="424" t="str">
        <f ca="1">IF(BL97="","",CONCATENATE(TEXT($O97,"0"),IF(Start.listina!$Y$5="","",TEXT(500+$P97,"000")),TEXT(999999*RAND(),"000000")))</f>
        <v/>
      </c>
      <c r="BN97" s="318">
        <f t="shared" ca="1" si="39"/>
        <v>0</v>
      </c>
      <c r="BQ97" s="318" t="str">
        <f ca="1">IF(TYPE(VLOOKUP($A97,'5.kolo'!$L$3:$L$66,1,0))&gt;3,IF(TYPE(VLOOKUP($A97,'5.kolo'!$K$3:$L$66,2,0))&gt;3,0,VLOOKUP($A97,'5.kolo'!$K$3:$L$66,2,0)),VLOOKUP($A97,'5.kolo'!$L$3:$O$66,4,0))</f>
        <v/>
      </c>
      <c r="BR97" s="318">
        <f ca="1">IF(TYPE(VLOOKUP($A97,'5.kolo'!$L$3:$L$66,1,0))&gt;3,IF(TYPE(VLOOKUP($A97,'5.kolo'!$O$3:$Q$66,2,0))&gt;3,0,VLOOKUP($A97,'5.kolo'!$O$3:$Q$66,2,0)),VLOOKUP($A97,'5.kolo'!$L$3:$N$66,2,0))</f>
        <v>0</v>
      </c>
      <c r="BS97" s="318">
        <f ca="1">IF(TYPE(VLOOKUP($A97,'5.kolo'!$L$3:$L$66,1,0))&gt;3,IF(TYPE(VLOOKUP($A97,'5.kolo'!$O$3:$Q$66,3,0))&gt;3,0,VLOOKUP($A97,'5.kolo'!$O$3:$Q$66,3,0)),VLOOKUP($A97,'5.kolo'!$L$3:$N$66,3,0))</f>
        <v>0</v>
      </c>
      <c r="BT97" s="318">
        <f t="shared" ca="1" si="57"/>
        <v>0</v>
      </c>
      <c r="BU97" s="397"/>
      <c r="BV97" s="424" t="str">
        <f ca="1">IF(BU97="","",CONCATENATE(TEXT($O97,"0"),IF(Start.listina!$Y$5="","",TEXT(500+$P97,"000")),TEXT(999999*RAND(),"000000")))</f>
        <v/>
      </c>
      <c r="BW97" s="318">
        <f t="shared" ca="1" si="40"/>
        <v>0</v>
      </c>
      <c r="BZ97" s="318" t="str">
        <f ca="1">IF(TYPE(VLOOKUP($A97,'6.kolo'!$L$3:$L$66,1,0))&gt;3,IF(TYPE(VLOOKUP($A97,'6.kolo'!$K$3:$L$66,2,0))&gt;3,0,VLOOKUP($A97,'6.kolo'!$K$3:$L$66,2,0)),VLOOKUP($A97,'6.kolo'!$L$3:$O$66,4,0))</f>
        <v/>
      </c>
      <c r="CA97" s="318">
        <f ca="1">IF(TYPE(VLOOKUP($A97,'6.kolo'!$L$3:$L$66,1,0))&gt;3,IF(TYPE(VLOOKUP($A97,'6.kolo'!$O$3:$Q$66,2,0))&gt;3,0,VLOOKUP($A97,'6.kolo'!$O$3:$Q$66,2,0)),VLOOKUP($A97,'6.kolo'!$L$3:$N$66,2,0))</f>
        <v>0</v>
      </c>
      <c r="CB97" s="318">
        <f ca="1">IF(TYPE(VLOOKUP($A97,'6.kolo'!$L$3:$L$66,1,0))&gt;3,IF(TYPE(VLOOKUP($A97,'6.kolo'!$O$3:$Q$66,3,0))&gt;3,0,VLOOKUP($A97,'6.kolo'!$O$3:$Q$66,3,0)),VLOOKUP($A97,'6.kolo'!$L$3:$N$66,3,0))</f>
        <v>0</v>
      </c>
      <c r="CC97" s="318">
        <f t="shared" ca="1" si="58"/>
        <v>0</v>
      </c>
      <c r="CD97" s="397"/>
      <c r="CE97" s="424" t="str">
        <f ca="1">IF(CD97="","",CONCATENATE(TEXT($O97,"0"),IF(Start.listina!$Y$5="","",TEXT(500+$P97,"000")),TEXT(999999*RAND(),"000000")))</f>
        <v/>
      </c>
      <c r="CF97" s="318">
        <f t="shared" ca="1" si="41"/>
        <v>0</v>
      </c>
    </row>
    <row r="98" spans="1:84" x14ac:dyDescent="0.4">
      <c r="A98" s="318" t="str">
        <f ca="1">IF(OR(Start.listina!H106&gt;Start.listina!$K$7,Start.listina!G106=TRUE),"",Start.listina!H106)</f>
        <v/>
      </c>
      <c r="B98" s="318" t="str">
        <f ca="1">IF($A98&gt;Start.listina!$K$7,"",INT(($A98-1)/Start.listina!$O$7)+1)</f>
        <v/>
      </c>
      <c r="C98" s="421" t="str">
        <f ca="1">IF(OR(Start.listina!H106&gt;Start.listina!$K$7,Start.listina!G106=TRUE)," - ",Start.listina!AL106)</f>
        <v xml:space="preserve"> - </v>
      </c>
      <c r="D98" s="318" t="str">
        <f ca="1">IF(OR(A98&gt;Start.listina!$K$7,TYPE(VLOOKUP(A98,$V$3:$X$130,3,0))&gt;3),"",VLOOKUP(A98,$V$3:$X$130,3,0))</f>
        <v/>
      </c>
      <c r="E98" s="422" t="str">
        <f ca="1">IF(A98&gt;Start.listina!$K$7,"",IF(MIN(F98:K98)&gt;Start.listina!$Y$4,D98,MIN(F98:K98)))</f>
        <v/>
      </c>
      <c r="F98" s="318">
        <f ca="1">IF(TYPE(VLOOKUP(C98,Konečné_pořadí_1_16!$B$2:$D$17,3,0))&lt;4,VLOOKUP(C98,Konečné_pořadí_1_16!$B$2:$D$17,3,0),999)</f>
        <v>999</v>
      </c>
      <c r="G98" s="318">
        <f ca="1">IF(TYPE(VLOOKUP(C98,'KO64'!$D$4:$D$129,1,0))&lt;4,64,999)</f>
        <v>64</v>
      </c>
      <c r="H98" s="318">
        <f ca="1">IF(TYPE(VLOOKUP(C98,'KO32'!$D$4:$D$65,1,0))&lt;4,32,999)</f>
        <v>32</v>
      </c>
      <c r="I98" s="318">
        <f ca="1">IF(TYPE(VLOOKUP(C98,'KO16'!$D$4:$D$33,1,0))&lt;4,16,999)</f>
        <v>999</v>
      </c>
      <c r="J98" s="318">
        <f ca="1">IF(TYPE(VLOOKUP(C98,'KO8'!$D$4:$D$17,1,0))&lt;4,8,999)</f>
        <v>999</v>
      </c>
      <c r="K98" s="318">
        <f ca="1">IF(TYPE(VLOOKUP(C98,'KO4'!$D$4:$D$9,1,0))&lt;4,4,999)</f>
        <v>999</v>
      </c>
      <c r="M98" s="319">
        <v>96</v>
      </c>
      <c r="O98" s="318">
        <f t="shared" ca="1" si="42"/>
        <v>0</v>
      </c>
      <c r="P98" s="318">
        <f t="shared" ca="1" si="43"/>
        <v>0</v>
      </c>
      <c r="Q98" s="318">
        <f t="shared" ca="1" si="34"/>
        <v>2</v>
      </c>
      <c r="R98" s="318">
        <f t="shared" ca="1" si="35"/>
        <v>0</v>
      </c>
      <c r="S98" s="318">
        <f t="shared" ca="1" si="44"/>
        <v>18</v>
      </c>
      <c r="T98" s="318">
        <f t="shared" ca="1" si="45"/>
        <v>0</v>
      </c>
      <c r="U98" s="397">
        <f t="shared" si="59"/>
        <v>96</v>
      </c>
      <c r="V98" s="397" t="s">
        <v>1869</v>
      </c>
      <c r="W98" s="423" t="str">
        <f ca="1">IF($V98="","",CONCATENATE(TEXT($O98,"0"),IF(Start.listina!$Y$5="","",TEXT(500+$P98,"0000")),IF(Start.listina!$Y$6="","",CHOOSE(Start.listina!$Y$7,TEXT($Q98,"00"),CONCATENATE(TEXT($Q98,"00"),TEXT($S98,"000")), TEXT($R98,"00"))),TEXT(500+$P98,"0000"),IF(Start.listina!$Y$8="","",TEXT($T98,"0")),TEXT(999999*RAND(),"000000")))</f>
        <v/>
      </c>
      <c r="X98" s="399">
        <f t="shared" si="46"/>
        <v>96</v>
      </c>
      <c r="Y98" s="397">
        <f t="shared" ca="1" si="36"/>
        <v>0</v>
      </c>
      <c r="Z98" s="318">
        <f t="shared" ca="1" si="47"/>
        <v>57</v>
      </c>
      <c r="AA98" s="318" t="str">
        <f t="shared" ca="1" si="48"/>
        <v/>
      </c>
      <c r="AB98" s="318" t="str">
        <f t="shared" ca="1" si="49"/>
        <v/>
      </c>
      <c r="AC98" s="318" t="str">
        <f t="shared" ca="1" si="50"/>
        <v/>
      </c>
      <c r="AD98" s="318" t="str">
        <f t="shared" ca="1" si="51"/>
        <v/>
      </c>
      <c r="AE98" s="318" t="str">
        <f t="shared" ca="1" si="52"/>
        <v/>
      </c>
      <c r="AG98" s="318">
        <f ca="1">IF(TYPE(VLOOKUP($A98,'1.kolo'!$L$3:$L$66,1,0))&gt;3,VLOOKUP($A98,'1.kolo'!$K$3:$L$66,2,0),VLOOKUP($A98,'1.kolo'!$L$3:$O$66,4,0))</f>
        <v>57</v>
      </c>
      <c r="AH98" s="318">
        <f ca="1">IF(TYPE(VLOOKUP($A98,'1.kolo'!$L$3:$L$66,1,0))&gt;3,VLOOKUP($A98,'1.kolo'!$O$3:$Q$66,2,0),VLOOKUP($A98,'1.kolo'!$L$3:$N$66,2,0))</f>
        <v>0</v>
      </c>
      <c r="AI98" s="318">
        <f ca="1">IF(TYPE(VLOOKUP($A98,'1.kolo'!$L$3:$L$66,1,0))&gt;3,VLOOKUP($A98,'1.kolo'!$O$3:$Q$66,3,0),VLOOKUP($A98,'1.kolo'!$L$3:$N$66,3,0))</f>
        <v>0</v>
      </c>
      <c r="AJ98" s="318">
        <f t="shared" ca="1" si="53"/>
        <v>0</v>
      </c>
      <c r="AK98" s="318">
        <v>96</v>
      </c>
      <c r="AL98" s="424"/>
      <c r="AP98" s="318" t="str">
        <f ca="1">IF(TYPE(VLOOKUP($A98,'2.kolo'!$L$3:$L$66,1,0))&gt;3,IF(TYPE(VLOOKUP($A98,'2.kolo'!$K$3:$L$66,2,0))&gt;3,0,VLOOKUP($A98,'2.kolo'!$K$3:$L$66,2,0)),VLOOKUP($A98,'2.kolo'!$L$3:$O$66,4,0))</f>
        <v/>
      </c>
      <c r="AQ98" s="318">
        <f ca="1">IF(TYPE(VLOOKUP($A98,'2.kolo'!$L$3:$L$66,1,0))&gt;3,IF(TYPE(VLOOKUP($A98,'2.kolo'!$O$3:$Q$66,2,0))&gt;3,0,VLOOKUP($A98,'2.kolo'!$O$3:$Q$66,2,0)),VLOOKUP($A98,'2.kolo'!$L$3:$N$66,2,0))</f>
        <v>0</v>
      </c>
      <c r="AR98" s="318">
        <f ca="1">IF(TYPE(VLOOKUP($A98,'2.kolo'!$L$3:$L$66,1,0))&gt;3,IF(TYPE(VLOOKUP($A98,'2.kolo'!$O$3:$Q$66,3,0))&gt;3,0,VLOOKUP($A98,'2.kolo'!$O$3:$Q$66,3,0)),VLOOKUP($A98,'2.kolo'!$L$3:$N$66,3,0))</f>
        <v>0</v>
      </c>
      <c r="AS98" s="318">
        <f t="shared" ca="1" si="54"/>
        <v>0</v>
      </c>
      <c r="AT98" s="397" t="s">
        <v>1869</v>
      </c>
      <c r="AU98" s="424" t="str">
        <f ca="1">IF(AT98="","",CONCATENATE(TEXT($O98,"0"),IF(Start.listina!$Y$5="","",TEXT(500+$P98,"000")),TEXT(999999*RAND(),"000000")))</f>
        <v/>
      </c>
      <c r="AV98" s="318">
        <f t="shared" ca="1" si="37"/>
        <v>0</v>
      </c>
      <c r="AY98" s="318" t="str">
        <f ca="1">IF(TYPE(VLOOKUP($A98,'3.kolo'!$L$3:$L$66,1,0))&gt;3,IF(TYPE(VLOOKUP($A98,'3.kolo'!$K$3:$L$66,2,0))&gt;3,0,VLOOKUP($A98,'3.kolo'!$K$3:$L$66,2,0)),VLOOKUP($A98,'3.kolo'!$L$3:$O$66,4,0))</f>
        <v/>
      </c>
      <c r="AZ98" s="318">
        <f ca="1">IF(TYPE(VLOOKUP($A98,'3.kolo'!$L$3:$L$66,1,0))&gt;3,IF(TYPE(VLOOKUP($A98,'3.kolo'!$O$3:$Q$66,2,0))&gt;3,0,VLOOKUP($A98,'3.kolo'!$O$3:$Q$66,2,0)),VLOOKUP($A98,'3.kolo'!$L$3:$N$66,2,0))</f>
        <v>0</v>
      </c>
      <c r="BA98" s="318">
        <f ca="1">IF(TYPE(VLOOKUP($A98,'3.kolo'!$L$3:$L$66,1,0))&gt;3,IF(TYPE(VLOOKUP($A98,'3.kolo'!$O$3:$Q$66,3,0))&gt;3,0,VLOOKUP($A98,'3.kolo'!$O$3:$Q$66,3,0)),VLOOKUP($A98,'3.kolo'!$L$3:$N$66,3,0))</f>
        <v>0</v>
      </c>
      <c r="BB98" s="318">
        <f t="shared" ca="1" si="55"/>
        <v>0</v>
      </c>
      <c r="BC98" s="397" t="s">
        <v>1869</v>
      </c>
      <c r="BD98" s="424" t="str">
        <f ca="1">IF(BC98="","",CONCATENATE(TEXT($O98,"0"),IF(Start.listina!$Y$5="","",TEXT(500+$P98,"000")),TEXT(999999*RAND(),"000000")))</f>
        <v/>
      </c>
      <c r="BE98" s="318">
        <f t="shared" ca="1" si="38"/>
        <v>0</v>
      </c>
      <c r="BH98" s="318" t="str">
        <f ca="1">IF(TYPE(VLOOKUP($A98,'4.kolo'!$L$3:$L$66,1,0))&gt;3,IF(TYPE(VLOOKUP($A98,'4.kolo'!$K$3:$L$66,2,0))&gt;3,0,VLOOKUP($A98,'4.kolo'!$K$3:$L$66,2,0)),VLOOKUP($A98,'4.kolo'!$L$3:$O$66,4,0))</f>
        <v/>
      </c>
      <c r="BI98" s="318">
        <f ca="1">IF(TYPE(VLOOKUP($A98,'4.kolo'!$L$3:$L$66,1,0))&gt;3,IF(TYPE(VLOOKUP($A98,'4.kolo'!$O$3:$Q$66,2,0))&gt;3,0,VLOOKUP($A98,'4.kolo'!$O$3:$Q$66,2,0)),VLOOKUP($A98,'4.kolo'!$L$3:$N$66,2,0))</f>
        <v>0</v>
      </c>
      <c r="BJ98" s="318">
        <f ca="1">IF(TYPE(VLOOKUP($A98,'4.kolo'!$L$3:$L$66,1,0))&gt;3,IF(TYPE(VLOOKUP($A98,'4.kolo'!$O$3:$Q$66,3,0))&gt;3,0,VLOOKUP($A98,'4.kolo'!$O$3:$Q$66,3,0)),VLOOKUP($A98,'4.kolo'!$L$3:$N$66,3,0))</f>
        <v>0</v>
      </c>
      <c r="BK98" s="318">
        <f t="shared" ca="1" si="56"/>
        <v>0</v>
      </c>
      <c r="BL98" s="397" t="s">
        <v>1869</v>
      </c>
      <c r="BM98" s="424" t="str">
        <f ca="1">IF(BL98="","",CONCATENATE(TEXT($O98,"0"),IF(Start.listina!$Y$5="","",TEXT(500+$P98,"000")),TEXT(999999*RAND(),"000000")))</f>
        <v/>
      </c>
      <c r="BN98" s="318">
        <f t="shared" ca="1" si="39"/>
        <v>0</v>
      </c>
      <c r="BQ98" s="318" t="str">
        <f ca="1">IF(TYPE(VLOOKUP($A98,'5.kolo'!$L$3:$L$66,1,0))&gt;3,IF(TYPE(VLOOKUP($A98,'5.kolo'!$K$3:$L$66,2,0))&gt;3,0,VLOOKUP($A98,'5.kolo'!$K$3:$L$66,2,0)),VLOOKUP($A98,'5.kolo'!$L$3:$O$66,4,0))</f>
        <v/>
      </c>
      <c r="BR98" s="318">
        <f ca="1">IF(TYPE(VLOOKUP($A98,'5.kolo'!$L$3:$L$66,1,0))&gt;3,IF(TYPE(VLOOKUP($A98,'5.kolo'!$O$3:$Q$66,2,0))&gt;3,0,VLOOKUP($A98,'5.kolo'!$O$3:$Q$66,2,0)),VLOOKUP($A98,'5.kolo'!$L$3:$N$66,2,0))</f>
        <v>0</v>
      </c>
      <c r="BS98" s="318">
        <f ca="1">IF(TYPE(VLOOKUP($A98,'5.kolo'!$L$3:$L$66,1,0))&gt;3,IF(TYPE(VLOOKUP($A98,'5.kolo'!$O$3:$Q$66,3,0))&gt;3,0,VLOOKUP($A98,'5.kolo'!$O$3:$Q$66,3,0)),VLOOKUP($A98,'5.kolo'!$L$3:$N$66,3,0))</f>
        <v>0</v>
      </c>
      <c r="BT98" s="318">
        <f t="shared" ca="1" si="57"/>
        <v>0</v>
      </c>
      <c r="BU98" s="397"/>
      <c r="BV98" s="424" t="str">
        <f ca="1">IF(BU98="","",CONCATENATE(TEXT($O98,"0"),IF(Start.listina!$Y$5="","",TEXT(500+$P98,"000")),TEXT(999999*RAND(),"000000")))</f>
        <v/>
      </c>
      <c r="BW98" s="318">
        <f t="shared" ca="1" si="40"/>
        <v>0</v>
      </c>
      <c r="BZ98" s="318" t="str">
        <f ca="1">IF(TYPE(VLOOKUP($A98,'6.kolo'!$L$3:$L$66,1,0))&gt;3,IF(TYPE(VLOOKUP($A98,'6.kolo'!$K$3:$L$66,2,0))&gt;3,0,VLOOKUP($A98,'6.kolo'!$K$3:$L$66,2,0)),VLOOKUP($A98,'6.kolo'!$L$3:$O$66,4,0))</f>
        <v/>
      </c>
      <c r="CA98" s="318">
        <f ca="1">IF(TYPE(VLOOKUP($A98,'6.kolo'!$L$3:$L$66,1,0))&gt;3,IF(TYPE(VLOOKUP($A98,'6.kolo'!$O$3:$Q$66,2,0))&gt;3,0,VLOOKUP($A98,'6.kolo'!$O$3:$Q$66,2,0)),VLOOKUP($A98,'6.kolo'!$L$3:$N$66,2,0))</f>
        <v>0</v>
      </c>
      <c r="CB98" s="318">
        <f ca="1">IF(TYPE(VLOOKUP($A98,'6.kolo'!$L$3:$L$66,1,0))&gt;3,IF(TYPE(VLOOKUP($A98,'6.kolo'!$O$3:$Q$66,3,0))&gt;3,0,VLOOKUP($A98,'6.kolo'!$O$3:$Q$66,3,0)),VLOOKUP($A98,'6.kolo'!$L$3:$N$66,3,0))</f>
        <v>0</v>
      </c>
      <c r="CC98" s="318">
        <f t="shared" ca="1" si="58"/>
        <v>0</v>
      </c>
      <c r="CD98" s="397"/>
      <c r="CE98" s="424" t="str">
        <f ca="1">IF(CD98="","",CONCATENATE(TEXT($O98,"0"),IF(Start.listina!$Y$5="","",TEXT(500+$P98,"000")),TEXT(999999*RAND(),"000000")))</f>
        <v/>
      </c>
      <c r="CF98" s="318">
        <f t="shared" ca="1" si="41"/>
        <v>0</v>
      </c>
    </row>
    <row r="99" spans="1:84" x14ac:dyDescent="0.4">
      <c r="A99" s="318" t="str">
        <f ca="1">IF(OR(Start.listina!H107&gt;Start.listina!$K$7,Start.listina!G107=TRUE),"",Start.listina!H107)</f>
        <v/>
      </c>
      <c r="B99" s="318" t="str">
        <f ca="1">IF($A99&gt;Start.listina!$K$7,"",INT(($A99-1)/Start.listina!$O$7)+1)</f>
        <v/>
      </c>
      <c r="C99" s="421" t="str">
        <f ca="1">IF(OR(Start.listina!H107&gt;Start.listina!$K$7,Start.listina!G107=TRUE)," - ",Start.listina!AL107)</f>
        <v xml:space="preserve"> - </v>
      </c>
      <c r="D99" s="318" t="str">
        <f ca="1">IF(OR(A99&gt;Start.listina!$K$7,TYPE(VLOOKUP(A99,$V$3:$X$130,3,0))&gt;3),"",VLOOKUP(A99,$V$3:$X$130,3,0))</f>
        <v/>
      </c>
      <c r="E99" s="422" t="str">
        <f ca="1">IF(A99&gt;Start.listina!$K$7,"",IF(MIN(F99:K99)&gt;Start.listina!$Y$4,D99,MIN(F99:K99)))</f>
        <v/>
      </c>
      <c r="F99" s="318">
        <f ca="1">IF(TYPE(VLOOKUP(C99,Konečné_pořadí_1_16!$B$2:$D$17,3,0))&lt;4,VLOOKUP(C99,Konečné_pořadí_1_16!$B$2:$D$17,3,0),999)</f>
        <v>999</v>
      </c>
      <c r="G99" s="318">
        <f ca="1">IF(TYPE(VLOOKUP(C99,'KO64'!$D$4:$D$129,1,0))&lt;4,64,999)</f>
        <v>64</v>
      </c>
      <c r="H99" s="318">
        <f ca="1">IF(TYPE(VLOOKUP(C99,'KO32'!$D$4:$D$65,1,0))&lt;4,32,999)</f>
        <v>32</v>
      </c>
      <c r="I99" s="318">
        <f ca="1">IF(TYPE(VLOOKUP(C99,'KO16'!$D$4:$D$33,1,0))&lt;4,16,999)</f>
        <v>999</v>
      </c>
      <c r="J99" s="318">
        <f ca="1">IF(TYPE(VLOOKUP(C99,'KO8'!$D$4:$D$17,1,0))&lt;4,8,999)</f>
        <v>999</v>
      </c>
      <c r="K99" s="318">
        <f ca="1">IF(TYPE(VLOOKUP(C99,'KO4'!$D$4:$D$9,1,0))&lt;4,4,999)</f>
        <v>999</v>
      </c>
      <c r="M99" s="319">
        <v>97</v>
      </c>
      <c r="O99" s="318">
        <f t="shared" ca="1" si="42"/>
        <v>0</v>
      </c>
      <c r="P99" s="318">
        <f t="shared" ca="1" si="43"/>
        <v>0</v>
      </c>
      <c r="Q99" s="318">
        <f t="shared" ref="Q99:Q130" ca="1" si="60">VLOOKUP($Z99,$A$3:$O$131,15,0)+VLOOKUP($AA99,$A$3:$O$131,15,0)+VLOOKUP($AB99,$A$3:$O$131,15,0)+VLOOKUP($AC99,$A$3:$O$131,15,0)+VLOOKUP($AD99,$A$3:$O$131,15,0)+VLOOKUP($AE99,$A$3:$O$131,15,0)</f>
        <v>2</v>
      </c>
      <c r="R99" s="318">
        <f t="shared" ref="R99:R130" ca="1" si="61">IF(AH99=0,0,VLOOKUP($Z99,$A$3:$O$130,15,0))+IF(AQ99=0,0,VLOOKUP($AA99,$A$3:$O$130,15,0))+IF(AZ99=0,0,VLOOKUP($AB99,$A$3:$O$130,15,0))+IF(BI99=0,0,VLOOKUP($AC99,$A$3:$O$130,15,0))+IF(BR99=0,0,VLOOKUP($AD99,$A$3:$O$130,15,0))+IF(CA99=0,0,VLOOKUP($AE99,$A$3:$O$130,15,0))</f>
        <v>0</v>
      </c>
      <c r="S99" s="318">
        <f t="shared" ca="1" si="44"/>
        <v>18</v>
      </c>
      <c r="T99" s="318">
        <f t="shared" ca="1" si="45"/>
        <v>0</v>
      </c>
      <c r="U99" s="397">
        <f t="shared" si="59"/>
        <v>97</v>
      </c>
      <c r="V99" s="397" t="s">
        <v>1869</v>
      </c>
      <c r="W99" s="423" t="str">
        <f ca="1">IF($V99="","",CONCATENATE(TEXT($O99,"0"),IF(Start.listina!$Y$5="","",TEXT(500+$P99,"0000")),IF(Start.listina!$Y$6="","",CHOOSE(Start.listina!$Y$7,TEXT($Q99,"00"),CONCATENATE(TEXT($Q99,"00"),TEXT($S99,"000")), TEXT($R99,"00"))),TEXT(500+$P99,"0000"),IF(Start.listina!$Y$8="","",TEXT($T99,"0")),TEXT(999999*RAND(),"000000")))</f>
        <v/>
      </c>
      <c r="X99" s="399">
        <f t="shared" si="46"/>
        <v>97</v>
      </c>
      <c r="Y99" s="397">
        <f t="shared" ref="Y99:Y130" ca="1" si="62">IF(TYPE(VLOOKUP(V99,$A$3:$O$130,15,0))&gt;3,0,VLOOKUP(V99,$A$3:$O$130,15,0))</f>
        <v>0</v>
      </c>
      <c r="Z99" s="318">
        <f t="shared" ca="1" si="47"/>
        <v>57</v>
      </c>
      <c r="AA99" s="318" t="str">
        <f t="shared" ca="1" si="48"/>
        <v/>
      </c>
      <c r="AB99" s="318" t="str">
        <f t="shared" ca="1" si="49"/>
        <v/>
      </c>
      <c r="AC99" s="318" t="str">
        <f t="shared" ca="1" si="50"/>
        <v/>
      </c>
      <c r="AD99" s="318" t="str">
        <f t="shared" ca="1" si="51"/>
        <v/>
      </c>
      <c r="AE99" s="318" t="str">
        <f t="shared" ca="1" si="52"/>
        <v/>
      </c>
      <c r="AG99" s="318">
        <f ca="1">IF(TYPE(VLOOKUP($A99,'1.kolo'!$L$3:$L$66,1,0))&gt;3,VLOOKUP($A99,'1.kolo'!$K$3:$L$66,2,0),VLOOKUP($A99,'1.kolo'!$L$3:$O$66,4,0))</f>
        <v>57</v>
      </c>
      <c r="AH99" s="318">
        <f ca="1">IF(TYPE(VLOOKUP($A99,'1.kolo'!$L$3:$L$66,1,0))&gt;3,VLOOKUP($A99,'1.kolo'!$O$3:$Q$66,2,0),VLOOKUP($A99,'1.kolo'!$L$3:$N$66,2,0))</f>
        <v>0</v>
      </c>
      <c r="AI99" s="318">
        <f ca="1">IF(TYPE(VLOOKUP($A99,'1.kolo'!$L$3:$L$66,1,0))&gt;3,VLOOKUP($A99,'1.kolo'!$O$3:$Q$66,3,0),VLOOKUP($A99,'1.kolo'!$L$3:$N$66,3,0))</f>
        <v>0</v>
      </c>
      <c r="AJ99" s="318">
        <f t="shared" ca="1" si="53"/>
        <v>0</v>
      </c>
      <c r="AK99" s="318">
        <v>97</v>
      </c>
      <c r="AL99" s="424"/>
      <c r="AP99" s="318" t="str">
        <f ca="1">IF(TYPE(VLOOKUP($A99,'2.kolo'!$L$3:$L$66,1,0))&gt;3,IF(TYPE(VLOOKUP($A99,'2.kolo'!$K$3:$L$66,2,0))&gt;3,0,VLOOKUP($A99,'2.kolo'!$K$3:$L$66,2,0)),VLOOKUP($A99,'2.kolo'!$L$3:$O$66,4,0))</f>
        <v/>
      </c>
      <c r="AQ99" s="318">
        <f ca="1">IF(TYPE(VLOOKUP($A99,'2.kolo'!$L$3:$L$66,1,0))&gt;3,IF(TYPE(VLOOKUP($A99,'2.kolo'!$O$3:$Q$66,2,0))&gt;3,0,VLOOKUP($A99,'2.kolo'!$O$3:$Q$66,2,0)),VLOOKUP($A99,'2.kolo'!$L$3:$N$66,2,0))</f>
        <v>0</v>
      </c>
      <c r="AR99" s="318">
        <f ca="1">IF(TYPE(VLOOKUP($A99,'2.kolo'!$L$3:$L$66,1,0))&gt;3,IF(TYPE(VLOOKUP($A99,'2.kolo'!$O$3:$Q$66,3,0))&gt;3,0,VLOOKUP($A99,'2.kolo'!$O$3:$Q$66,3,0)),VLOOKUP($A99,'2.kolo'!$L$3:$N$66,3,0))</f>
        <v>0</v>
      </c>
      <c r="AS99" s="318">
        <f t="shared" ca="1" si="54"/>
        <v>0</v>
      </c>
      <c r="AT99" s="397" t="s">
        <v>1869</v>
      </c>
      <c r="AU99" s="424" t="str">
        <f ca="1">IF(AT99="","",CONCATENATE(TEXT($O99,"0"),IF(Start.listina!$Y$5="","",TEXT(500+$P99,"000")),TEXT(999999*RAND(),"000000")))</f>
        <v/>
      </c>
      <c r="AV99" s="318">
        <f t="shared" ref="AV99:AV130" ca="1" si="63">IF(OR(AND(N(AP99)=0,N(AT99)=0),TYPE(MATCH($AA99,$Z99:$Z99,0))&gt;1),0,1)</f>
        <v>0</v>
      </c>
      <c r="AY99" s="318" t="str">
        <f ca="1">IF(TYPE(VLOOKUP($A99,'3.kolo'!$L$3:$L$66,1,0))&gt;3,IF(TYPE(VLOOKUP($A99,'3.kolo'!$K$3:$L$66,2,0))&gt;3,0,VLOOKUP($A99,'3.kolo'!$K$3:$L$66,2,0)),VLOOKUP($A99,'3.kolo'!$L$3:$O$66,4,0))</f>
        <v/>
      </c>
      <c r="AZ99" s="318">
        <f ca="1">IF(TYPE(VLOOKUP($A99,'3.kolo'!$L$3:$L$66,1,0))&gt;3,IF(TYPE(VLOOKUP($A99,'3.kolo'!$O$3:$Q$66,2,0))&gt;3,0,VLOOKUP($A99,'3.kolo'!$O$3:$Q$66,2,0)),VLOOKUP($A99,'3.kolo'!$L$3:$N$66,2,0))</f>
        <v>0</v>
      </c>
      <c r="BA99" s="318">
        <f ca="1">IF(TYPE(VLOOKUP($A99,'3.kolo'!$L$3:$L$66,1,0))&gt;3,IF(TYPE(VLOOKUP($A99,'3.kolo'!$O$3:$Q$66,3,0))&gt;3,0,VLOOKUP($A99,'3.kolo'!$O$3:$Q$66,3,0)),VLOOKUP($A99,'3.kolo'!$L$3:$N$66,3,0))</f>
        <v>0</v>
      </c>
      <c r="BB99" s="318">
        <f t="shared" ca="1" si="55"/>
        <v>0</v>
      </c>
      <c r="BC99" s="397" t="s">
        <v>1869</v>
      </c>
      <c r="BD99" s="424" t="str">
        <f ca="1">IF(BC99="","",CONCATENATE(TEXT($O99,"0"),IF(Start.listina!$Y$5="","",TEXT(500+$P99,"000")),TEXT(999999*RAND(),"000000")))</f>
        <v/>
      </c>
      <c r="BE99" s="318">
        <f t="shared" ref="BE99:BE130" ca="1" si="64">IF(OR(AND(N(AY99)=0,N(BC99)=0),TYPE(MATCH($AB99,$Z99:$AA99,0))&gt;1),0,1)</f>
        <v>0</v>
      </c>
      <c r="BH99" s="318" t="str">
        <f ca="1">IF(TYPE(VLOOKUP($A99,'4.kolo'!$L$3:$L$66,1,0))&gt;3,IF(TYPE(VLOOKUP($A99,'4.kolo'!$K$3:$L$66,2,0))&gt;3,0,VLOOKUP($A99,'4.kolo'!$K$3:$L$66,2,0)),VLOOKUP($A99,'4.kolo'!$L$3:$O$66,4,0))</f>
        <v/>
      </c>
      <c r="BI99" s="318">
        <f ca="1">IF(TYPE(VLOOKUP($A99,'4.kolo'!$L$3:$L$66,1,0))&gt;3,IF(TYPE(VLOOKUP($A99,'4.kolo'!$O$3:$Q$66,2,0))&gt;3,0,VLOOKUP($A99,'4.kolo'!$O$3:$Q$66,2,0)),VLOOKUP($A99,'4.kolo'!$L$3:$N$66,2,0))</f>
        <v>0</v>
      </c>
      <c r="BJ99" s="318">
        <f ca="1">IF(TYPE(VLOOKUP($A99,'4.kolo'!$L$3:$L$66,1,0))&gt;3,IF(TYPE(VLOOKUP($A99,'4.kolo'!$O$3:$Q$66,3,0))&gt;3,0,VLOOKUP($A99,'4.kolo'!$O$3:$Q$66,3,0)),VLOOKUP($A99,'4.kolo'!$L$3:$N$66,3,0))</f>
        <v>0</v>
      </c>
      <c r="BK99" s="318">
        <f t="shared" ca="1" si="56"/>
        <v>0</v>
      </c>
      <c r="BL99" s="397" t="s">
        <v>1869</v>
      </c>
      <c r="BM99" s="424" t="str">
        <f ca="1">IF(BL99="","",CONCATENATE(TEXT($O99,"0"),IF(Start.listina!$Y$5="","",TEXT(500+$P99,"000")),TEXT(999999*RAND(),"000000")))</f>
        <v/>
      </c>
      <c r="BN99" s="318">
        <f t="shared" ref="BN99:BN130" ca="1" si="65">IF(OR(AND(N(BH99)=0,N(BL99)=0),TYPE(MATCH($AC99,$Z99:$AB99,0))&gt;1),0,1)</f>
        <v>0</v>
      </c>
      <c r="BQ99" s="318" t="str">
        <f ca="1">IF(TYPE(VLOOKUP($A99,'5.kolo'!$L$3:$L$66,1,0))&gt;3,IF(TYPE(VLOOKUP($A99,'5.kolo'!$K$3:$L$66,2,0))&gt;3,0,VLOOKUP($A99,'5.kolo'!$K$3:$L$66,2,0)),VLOOKUP($A99,'5.kolo'!$L$3:$O$66,4,0))</f>
        <v/>
      </c>
      <c r="BR99" s="318">
        <f ca="1">IF(TYPE(VLOOKUP($A99,'5.kolo'!$L$3:$L$66,1,0))&gt;3,IF(TYPE(VLOOKUP($A99,'5.kolo'!$O$3:$Q$66,2,0))&gt;3,0,VLOOKUP($A99,'5.kolo'!$O$3:$Q$66,2,0)),VLOOKUP($A99,'5.kolo'!$L$3:$N$66,2,0))</f>
        <v>0</v>
      </c>
      <c r="BS99" s="318">
        <f ca="1">IF(TYPE(VLOOKUP($A99,'5.kolo'!$L$3:$L$66,1,0))&gt;3,IF(TYPE(VLOOKUP($A99,'5.kolo'!$O$3:$Q$66,3,0))&gt;3,0,VLOOKUP($A99,'5.kolo'!$O$3:$Q$66,3,0)),VLOOKUP($A99,'5.kolo'!$L$3:$N$66,3,0))</f>
        <v>0</v>
      </c>
      <c r="BT99" s="318">
        <f t="shared" ca="1" si="57"/>
        <v>0</v>
      </c>
      <c r="BU99" s="397"/>
      <c r="BV99" s="424" t="str">
        <f ca="1">IF(BU99="","",CONCATENATE(TEXT($O99,"0"),IF(Start.listina!$Y$5="","",TEXT(500+$P99,"000")),TEXT(999999*RAND(),"000000")))</f>
        <v/>
      </c>
      <c r="BW99" s="318">
        <f t="shared" ref="BW99:BW130" ca="1" si="66">IF(OR(AND(N(BQ99)=0,N(BU99)=0),TYPE(MATCH($AD99,$Z99:$AC99,0))&gt;1),0,1)</f>
        <v>0</v>
      </c>
      <c r="BZ99" s="318" t="str">
        <f ca="1">IF(TYPE(VLOOKUP($A99,'6.kolo'!$L$3:$L$66,1,0))&gt;3,IF(TYPE(VLOOKUP($A99,'6.kolo'!$K$3:$L$66,2,0))&gt;3,0,VLOOKUP($A99,'6.kolo'!$K$3:$L$66,2,0)),VLOOKUP($A99,'6.kolo'!$L$3:$O$66,4,0))</f>
        <v/>
      </c>
      <c r="CA99" s="318">
        <f ca="1">IF(TYPE(VLOOKUP($A99,'6.kolo'!$L$3:$L$66,1,0))&gt;3,IF(TYPE(VLOOKUP($A99,'6.kolo'!$O$3:$Q$66,2,0))&gt;3,0,VLOOKUP($A99,'6.kolo'!$O$3:$Q$66,2,0)),VLOOKUP($A99,'6.kolo'!$L$3:$N$66,2,0))</f>
        <v>0</v>
      </c>
      <c r="CB99" s="318">
        <f ca="1">IF(TYPE(VLOOKUP($A99,'6.kolo'!$L$3:$L$66,1,0))&gt;3,IF(TYPE(VLOOKUP($A99,'6.kolo'!$O$3:$Q$66,3,0))&gt;3,0,VLOOKUP($A99,'6.kolo'!$O$3:$Q$66,3,0)),VLOOKUP($A99,'6.kolo'!$L$3:$N$66,3,0))</f>
        <v>0</v>
      </c>
      <c r="CC99" s="318">
        <f t="shared" ca="1" si="58"/>
        <v>0</v>
      </c>
      <c r="CD99" s="397"/>
      <c r="CE99" s="424" t="str">
        <f ca="1">IF(CD99="","",CONCATENATE(TEXT($O99,"0"),IF(Start.listina!$Y$5="","",TEXT(500+$P99,"000")),TEXT(999999*RAND(),"000000")))</f>
        <v/>
      </c>
      <c r="CF99" s="318">
        <f t="shared" ref="CF99:CF130" ca="1" si="67">IF(OR(AND(N(BZ99)=0,N(CD99)=0),TYPE(MATCH($AE99,$Z99:$AD99,0))&gt;1),0,1)</f>
        <v>0</v>
      </c>
    </row>
    <row r="100" spans="1:84" x14ac:dyDescent="0.4">
      <c r="A100" s="318" t="str">
        <f ca="1">IF(OR(Start.listina!H108&gt;Start.listina!$K$7,Start.listina!G108=TRUE),"",Start.listina!H108)</f>
        <v/>
      </c>
      <c r="B100" s="318" t="str">
        <f ca="1">IF($A100&gt;Start.listina!$K$7,"",INT(($A100-1)/Start.listina!$O$7)+1)</f>
        <v/>
      </c>
      <c r="C100" s="421" t="str">
        <f ca="1">IF(OR(Start.listina!H108&gt;Start.listina!$K$7,Start.listina!G108=TRUE)," - ",Start.listina!AL108)</f>
        <v xml:space="preserve"> - </v>
      </c>
      <c r="D100" s="318" t="str">
        <f ca="1">IF(OR(A100&gt;Start.listina!$K$7,TYPE(VLOOKUP(A100,$V$3:$X$130,3,0))&gt;3),"",VLOOKUP(A100,$V$3:$X$130,3,0))</f>
        <v/>
      </c>
      <c r="E100" s="422" t="str">
        <f ca="1">IF(A100&gt;Start.listina!$K$7,"",IF(MIN(F100:K100)&gt;Start.listina!$Y$4,D100,MIN(F100:K100)))</f>
        <v/>
      </c>
      <c r="F100" s="318">
        <f ca="1">IF(TYPE(VLOOKUP(C100,Konečné_pořadí_1_16!$B$2:$D$17,3,0))&lt;4,VLOOKUP(C100,Konečné_pořadí_1_16!$B$2:$D$17,3,0),999)</f>
        <v>999</v>
      </c>
      <c r="G100" s="318">
        <f ca="1">IF(TYPE(VLOOKUP(C100,'KO64'!$D$4:$D$129,1,0))&lt;4,64,999)</f>
        <v>64</v>
      </c>
      <c r="H100" s="318">
        <f ca="1">IF(TYPE(VLOOKUP(C100,'KO32'!$D$4:$D$65,1,0))&lt;4,32,999)</f>
        <v>32</v>
      </c>
      <c r="I100" s="318">
        <f ca="1">IF(TYPE(VLOOKUP(C100,'KO16'!$D$4:$D$33,1,0))&lt;4,16,999)</f>
        <v>999</v>
      </c>
      <c r="J100" s="318">
        <f ca="1">IF(TYPE(VLOOKUP(C100,'KO8'!$D$4:$D$17,1,0))&lt;4,8,999)</f>
        <v>999</v>
      </c>
      <c r="K100" s="318">
        <f ca="1">IF(TYPE(VLOOKUP(C100,'KO4'!$D$4:$D$9,1,0))&lt;4,4,999)</f>
        <v>999</v>
      </c>
      <c r="M100" s="319">
        <v>98</v>
      </c>
      <c r="O100" s="318">
        <f t="shared" ca="1" si="42"/>
        <v>0</v>
      </c>
      <c r="P100" s="318">
        <f t="shared" ca="1" si="43"/>
        <v>0</v>
      </c>
      <c r="Q100" s="318">
        <f t="shared" ca="1" si="60"/>
        <v>2</v>
      </c>
      <c r="R100" s="318">
        <f t="shared" ca="1" si="61"/>
        <v>0</v>
      </c>
      <c r="S100" s="318">
        <f t="shared" ca="1" si="44"/>
        <v>18</v>
      </c>
      <c r="T100" s="318">
        <f t="shared" ca="1" si="45"/>
        <v>0</v>
      </c>
      <c r="U100" s="397">
        <f t="shared" si="59"/>
        <v>98</v>
      </c>
      <c r="V100" s="397" t="s">
        <v>1869</v>
      </c>
      <c r="W100" s="423" t="str">
        <f ca="1">IF($V100="","",CONCATENATE(TEXT($O100,"0"),IF(Start.listina!$Y$5="","",TEXT(500+$P100,"0000")),IF(Start.listina!$Y$6="","",CHOOSE(Start.listina!$Y$7,TEXT($Q100,"00"),CONCATENATE(TEXT($Q100,"00"),TEXT($S100,"000")), TEXT($R100,"00"))),TEXT(500+$P100,"0000"),IF(Start.listina!$Y$8="","",TEXT($T100,"0")),TEXT(999999*RAND(),"000000")))</f>
        <v/>
      </c>
      <c r="X100" s="399">
        <f t="shared" si="46"/>
        <v>98</v>
      </c>
      <c r="Y100" s="397">
        <f t="shared" ca="1" si="62"/>
        <v>0</v>
      </c>
      <c r="Z100" s="318">
        <f t="shared" ca="1" si="47"/>
        <v>57</v>
      </c>
      <c r="AA100" s="318" t="str">
        <f t="shared" ca="1" si="48"/>
        <v/>
      </c>
      <c r="AB100" s="318" t="str">
        <f t="shared" ca="1" si="49"/>
        <v/>
      </c>
      <c r="AC100" s="318" t="str">
        <f t="shared" ca="1" si="50"/>
        <v/>
      </c>
      <c r="AD100" s="318" t="str">
        <f t="shared" ca="1" si="51"/>
        <v/>
      </c>
      <c r="AE100" s="318" t="str">
        <f t="shared" ca="1" si="52"/>
        <v/>
      </c>
      <c r="AG100" s="318">
        <f ca="1">IF(TYPE(VLOOKUP($A100,'1.kolo'!$L$3:$L$66,1,0))&gt;3,VLOOKUP($A100,'1.kolo'!$K$3:$L$66,2,0),VLOOKUP($A100,'1.kolo'!$L$3:$O$66,4,0))</f>
        <v>57</v>
      </c>
      <c r="AH100" s="318">
        <f ca="1">IF(TYPE(VLOOKUP($A100,'1.kolo'!$L$3:$L$66,1,0))&gt;3,VLOOKUP($A100,'1.kolo'!$O$3:$Q$66,2,0),VLOOKUP($A100,'1.kolo'!$L$3:$N$66,2,0))</f>
        <v>0</v>
      </c>
      <c r="AI100" s="318">
        <f ca="1">IF(TYPE(VLOOKUP($A100,'1.kolo'!$L$3:$L$66,1,0))&gt;3,VLOOKUP($A100,'1.kolo'!$O$3:$Q$66,3,0),VLOOKUP($A100,'1.kolo'!$L$3:$N$66,3,0))</f>
        <v>0</v>
      </c>
      <c r="AJ100" s="318">
        <f t="shared" ca="1" si="53"/>
        <v>0</v>
      </c>
      <c r="AK100" s="318">
        <v>98</v>
      </c>
      <c r="AL100" s="424"/>
      <c r="AP100" s="318" t="str">
        <f ca="1">IF(TYPE(VLOOKUP($A100,'2.kolo'!$L$3:$L$66,1,0))&gt;3,IF(TYPE(VLOOKUP($A100,'2.kolo'!$K$3:$L$66,2,0))&gt;3,0,VLOOKUP($A100,'2.kolo'!$K$3:$L$66,2,0)),VLOOKUP($A100,'2.kolo'!$L$3:$O$66,4,0))</f>
        <v/>
      </c>
      <c r="AQ100" s="318">
        <f ca="1">IF(TYPE(VLOOKUP($A100,'2.kolo'!$L$3:$L$66,1,0))&gt;3,IF(TYPE(VLOOKUP($A100,'2.kolo'!$O$3:$Q$66,2,0))&gt;3,0,VLOOKUP($A100,'2.kolo'!$O$3:$Q$66,2,0)),VLOOKUP($A100,'2.kolo'!$L$3:$N$66,2,0))</f>
        <v>0</v>
      </c>
      <c r="AR100" s="318">
        <f ca="1">IF(TYPE(VLOOKUP($A100,'2.kolo'!$L$3:$L$66,1,0))&gt;3,IF(TYPE(VLOOKUP($A100,'2.kolo'!$O$3:$Q$66,3,0))&gt;3,0,VLOOKUP($A100,'2.kolo'!$O$3:$Q$66,3,0)),VLOOKUP($A100,'2.kolo'!$L$3:$N$66,3,0))</f>
        <v>0</v>
      </c>
      <c r="AS100" s="318">
        <f t="shared" ca="1" si="54"/>
        <v>0</v>
      </c>
      <c r="AT100" s="397" t="s">
        <v>1869</v>
      </c>
      <c r="AU100" s="424" t="str">
        <f ca="1">IF(AT100="","",CONCATENATE(TEXT($O100,"0"),IF(Start.listina!$Y$5="","",TEXT(500+$P100,"000")),TEXT(999999*RAND(),"000000")))</f>
        <v/>
      </c>
      <c r="AV100" s="318">
        <f t="shared" ca="1" si="63"/>
        <v>0</v>
      </c>
      <c r="AY100" s="318" t="str">
        <f ca="1">IF(TYPE(VLOOKUP($A100,'3.kolo'!$L$3:$L$66,1,0))&gt;3,IF(TYPE(VLOOKUP($A100,'3.kolo'!$K$3:$L$66,2,0))&gt;3,0,VLOOKUP($A100,'3.kolo'!$K$3:$L$66,2,0)),VLOOKUP($A100,'3.kolo'!$L$3:$O$66,4,0))</f>
        <v/>
      </c>
      <c r="AZ100" s="318">
        <f ca="1">IF(TYPE(VLOOKUP($A100,'3.kolo'!$L$3:$L$66,1,0))&gt;3,IF(TYPE(VLOOKUP($A100,'3.kolo'!$O$3:$Q$66,2,0))&gt;3,0,VLOOKUP($A100,'3.kolo'!$O$3:$Q$66,2,0)),VLOOKUP($A100,'3.kolo'!$L$3:$N$66,2,0))</f>
        <v>0</v>
      </c>
      <c r="BA100" s="318">
        <f ca="1">IF(TYPE(VLOOKUP($A100,'3.kolo'!$L$3:$L$66,1,0))&gt;3,IF(TYPE(VLOOKUP($A100,'3.kolo'!$O$3:$Q$66,3,0))&gt;3,0,VLOOKUP($A100,'3.kolo'!$O$3:$Q$66,3,0)),VLOOKUP($A100,'3.kolo'!$L$3:$N$66,3,0))</f>
        <v>0</v>
      </c>
      <c r="BB100" s="318">
        <f t="shared" ca="1" si="55"/>
        <v>0</v>
      </c>
      <c r="BC100" s="397" t="s">
        <v>1869</v>
      </c>
      <c r="BD100" s="424" t="str">
        <f ca="1">IF(BC100="","",CONCATENATE(TEXT($O100,"0"),IF(Start.listina!$Y$5="","",TEXT(500+$P100,"000")),TEXT(999999*RAND(),"000000")))</f>
        <v/>
      </c>
      <c r="BE100" s="318">
        <f t="shared" ca="1" si="64"/>
        <v>0</v>
      </c>
      <c r="BH100" s="318" t="str">
        <f ca="1">IF(TYPE(VLOOKUP($A100,'4.kolo'!$L$3:$L$66,1,0))&gt;3,IF(TYPE(VLOOKUP($A100,'4.kolo'!$K$3:$L$66,2,0))&gt;3,0,VLOOKUP($A100,'4.kolo'!$K$3:$L$66,2,0)),VLOOKUP($A100,'4.kolo'!$L$3:$O$66,4,0))</f>
        <v/>
      </c>
      <c r="BI100" s="318">
        <f ca="1">IF(TYPE(VLOOKUP($A100,'4.kolo'!$L$3:$L$66,1,0))&gt;3,IF(TYPE(VLOOKUP($A100,'4.kolo'!$O$3:$Q$66,2,0))&gt;3,0,VLOOKUP($A100,'4.kolo'!$O$3:$Q$66,2,0)),VLOOKUP($A100,'4.kolo'!$L$3:$N$66,2,0))</f>
        <v>0</v>
      </c>
      <c r="BJ100" s="318">
        <f ca="1">IF(TYPE(VLOOKUP($A100,'4.kolo'!$L$3:$L$66,1,0))&gt;3,IF(TYPE(VLOOKUP($A100,'4.kolo'!$O$3:$Q$66,3,0))&gt;3,0,VLOOKUP($A100,'4.kolo'!$O$3:$Q$66,3,0)),VLOOKUP($A100,'4.kolo'!$L$3:$N$66,3,0))</f>
        <v>0</v>
      </c>
      <c r="BK100" s="318">
        <f t="shared" ca="1" si="56"/>
        <v>0</v>
      </c>
      <c r="BL100" s="397" t="s">
        <v>1869</v>
      </c>
      <c r="BM100" s="424" t="str">
        <f ca="1">IF(BL100="","",CONCATENATE(TEXT($O100,"0"),IF(Start.listina!$Y$5="","",TEXT(500+$P100,"000")),TEXT(999999*RAND(),"000000")))</f>
        <v/>
      </c>
      <c r="BN100" s="318">
        <f t="shared" ca="1" si="65"/>
        <v>0</v>
      </c>
      <c r="BQ100" s="318" t="str">
        <f ca="1">IF(TYPE(VLOOKUP($A100,'5.kolo'!$L$3:$L$66,1,0))&gt;3,IF(TYPE(VLOOKUP($A100,'5.kolo'!$K$3:$L$66,2,0))&gt;3,0,VLOOKUP($A100,'5.kolo'!$K$3:$L$66,2,0)),VLOOKUP($A100,'5.kolo'!$L$3:$O$66,4,0))</f>
        <v/>
      </c>
      <c r="BR100" s="318">
        <f ca="1">IF(TYPE(VLOOKUP($A100,'5.kolo'!$L$3:$L$66,1,0))&gt;3,IF(TYPE(VLOOKUP($A100,'5.kolo'!$O$3:$Q$66,2,0))&gt;3,0,VLOOKUP($A100,'5.kolo'!$O$3:$Q$66,2,0)),VLOOKUP($A100,'5.kolo'!$L$3:$N$66,2,0))</f>
        <v>0</v>
      </c>
      <c r="BS100" s="318">
        <f ca="1">IF(TYPE(VLOOKUP($A100,'5.kolo'!$L$3:$L$66,1,0))&gt;3,IF(TYPE(VLOOKUP($A100,'5.kolo'!$O$3:$Q$66,3,0))&gt;3,0,VLOOKUP($A100,'5.kolo'!$O$3:$Q$66,3,0)),VLOOKUP($A100,'5.kolo'!$L$3:$N$66,3,0))</f>
        <v>0</v>
      </c>
      <c r="BT100" s="318">
        <f t="shared" ca="1" si="57"/>
        <v>0</v>
      </c>
      <c r="BU100" s="397"/>
      <c r="BV100" s="424" t="str">
        <f ca="1">IF(BU100="","",CONCATENATE(TEXT($O100,"0"),IF(Start.listina!$Y$5="","",TEXT(500+$P100,"000")),TEXT(999999*RAND(),"000000")))</f>
        <v/>
      </c>
      <c r="BW100" s="318">
        <f t="shared" ca="1" si="66"/>
        <v>0</v>
      </c>
      <c r="BZ100" s="318" t="str">
        <f ca="1">IF(TYPE(VLOOKUP($A100,'6.kolo'!$L$3:$L$66,1,0))&gt;3,IF(TYPE(VLOOKUP($A100,'6.kolo'!$K$3:$L$66,2,0))&gt;3,0,VLOOKUP($A100,'6.kolo'!$K$3:$L$66,2,0)),VLOOKUP($A100,'6.kolo'!$L$3:$O$66,4,0))</f>
        <v/>
      </c>
      <c r="CA100" s="318">
        <f ca="1">IF(TYPE(VLOOKUP($A100,'6.kolo'!$L$3:$L$66,1,0))&gt;3,IF(TYPE(VLOOKUP($A100,'6.kolo'!$O$3:$Q$66,2,0))&gt;3,0,VLOOKUP($A100,'6.kolo'!$O$3:$Q$66,2,0)),VLOOKUP($A100,'6.kolo'!$L$3:$N$66,2,0))</f>
        <v>0</v>
      </c>
      <c r="CB100" s="318">
        <f ca="1">IF(TYPE(VLOOKUP($A100,'6.kolo'!$L$3:$L$66,1,0))&gt;3,IF(TYPE(VLOOKUP($A100,'6.kolo'!$O$3:$Q$66,3,0))&gt;3,0,VLOOKUP($A100,'6.kolo'!$O$3:$Q$66,3,0)),VLOOKUP($A100,'6.kolo'!$L$3:$N$66,3,0))</f>
        <v>0</v>
      </c>
      <c r="CC100" s="318">
        <f t="shared" ca="1" si="58"/>
        <v>0</v>
      </c>
      <c r="CD100" s="397"/>
      <c r="CE100" s="424" t="str">
        <f ca="1">IF(CD100="","",CONCATENATE(TEXT($O100,"0"),IF(Start.listina!$Y$5="","",TEXT(500+$P100,"000")),TEXT(999999*RAND(),"000000")))</f>
        <v/>
      </c>
      <c r="CF100" s="318">
        <f t="shared" ca="1" si="67"/>
        <v>0</v>
      </c>
    </row>
    <row r="101" spans="1:84" x14ac:dyDescent="0.4">
      <c r="A101" s="318" t="str">
        <f ca="1">IF(OR(Start.listina!H109&gt;Start.listina!$K$7,Start.listina!G109=TRUE),"",Start.listina!H109)</f>
        <v/>
      </c>
      <c r="B101" s="318" t="str">
        <f ca="1">IF($A101&gt;Start.listina!$K$7,"",INT(($A101-1)/Start.listina!$O$7)+1)</f>
        <v/>
      </c>
      <c r="C101" s="421" t="str">
        <f ca="1">IF(OR(Start.listina!H109&gt;Start.listina!$K$7,Start.listina!G109=TRUE)," - ",Start.listina!AL109)</f>
        <v xml:space="preserve"> - </v>
      </c>
      <c r="D101" s="318" t="str">
        <f ca="1">IF(OR(A101&gt;Start.listina!$K$7,TYPE(VLOOKUP(A101,$V$3:$X$130,3,0))&gt;3),"",VLOOKUP(A101,$V$3:$X$130,3,0))</f>
        <v/>
      </c>
      <c r="E101" s="422" t="str">
        <f ca="1">IF(A101&gt;Start.listina!$K$7,"",IF(MIN(F101:K101)&gt;Start.listina!$Y$4,D101,MIN(F101:K101)))</f>
        <v/>
      </c>
      <c r="F101" s="318">
        <f ca="1">IF(TYPE(VLOOKUP(C101,Konečné_pořadí_1_16!$B$2:$D$17,3,0))&lt;4,VLOOKUP(C101,Konečné_pořadí_1_16!$B$2:$D$17,3,0),999)</f>
        <v>999</v>
      </c>
      <c r="G101" s="318">
        <f ca="1">IF(TYPE(VLOOKUP(C101,'KO64'!$D$4:$D$129,1,0))&lt;4,64,999)</f>
        <v>64</v>
      </c>
      <c r="H101" s="318">
        <f ca="1">IF(TYPE(VLOOKUP(C101,'KO32'!$D$4:$D$65,1,0))&lt;4,32,999)</f>
        <v>32</v>
      </c>
      <c r="I101" s="318">
        <f ca="1">IF(TYPE(VLOOKUP(C101,'KO16'!$D$4:$D$33,1,0))&lt;4,16,999)</f>
        <v>999</v>
      </c>
      <c r="J101" s="318">
        <f ca="1">IF(TYPE(VLOOKUP(C101,'KO8'!$D$4:$D$17,1,0))&lt;4,8,999)</f>
        <v>999</v>
      </c>
      <c r="K101" s="318">
        <f ca="1">IF(TYPE(VLOOKUP(C101,'KO4'!$D$4:$D$9,1,0))&lt;4,4,999)</f>
        <v>999</v>
      </c>
      <c r="M101" s="319">
        <v>99</v>
      </c>
      <c r="O101" s="318">
        <f t="shared" ca="1" si="42"/>
        <v>0</v>
      </c>
      <c r="P101" s="318">
        <f t="shared" ca="1" si="43"/>
        <v>0</v>
      </c>
      <c r="Q101" s="318">
        <f t="shared" ca="1" si="60"/>
        <v>2</v>
      </c>
      <c r="R101" s="318">
        <f t="shared" ca="1" si="61"/>
        <v>0</v>
      </c>
      <c r="S101" s="318">
        <f t="shared" ca="1" si="44"/>
        <v>18</v>
      </c>
      <c r="T101" s="318">
        <f t="shared" ca="1" si="45"/>
        <v>0</v>
      </c>
      <c r="U101" s="397">
        <f t="shared" si="59"/>
        <v>99</v>
      </c>
      <c r="V101" s="397" t="s">
        <v>1869</v>
      </c>
      <c r="W101" s="423" t="str">
        <f ca="1">IF($V101="","",CONCATENATE(TEXT($O101,"0"),IF(Start.listina!$Y$5="","",TEXT(500+$P101,"0000")),IF(Start.listina!$Y$6="","",CHOOSE(Start.listina!$Y$7,TEXT($Q101,"00"),CONCATENATE(TEXT($Q101,"00"),TEXT($S101,"000")), TEXT($R101,"00"))),TEXT(500+$P101,"0000"),IF(Start.listina!$Y$8="","",TEXT($T101,"0")),TEXT(999999*RAND(),"000000")))</f>
        <v/>
      </c>
      <c r="X101" s="399">
        <f t="shared" si="46"/>
        <v>99</v>
      </c>
      <c r="Y101" s="397">
        <f t="shared" ca="1" si="62"/>
        <v>0</v>
      </c>
      <c r="Z101" s="318">
        <f t="shared" ca="1" si="47"/>
        <v>57</v>
      </c>
      <c r="AA101" s="318" t="str">
        <f t="shared" ca="1" si="48"/>
        <v/>
      </c>
      <c r="AB101" s="318" t="str">
        <f t="shared" ca="1" si="49"/>
        <v/>
      </c>
      <c r="AC101" s="318" t="str">
        <f t="shared" ca="1" si="50"/>
        <v/>
      </c>
      <c r="AD101" s="318" t="str">
        <f t="shared" ca="1" si="51"/>
        <v/>
      </c>
      <c r="AE101" s="318" t="str">
        <f t="shared" ca="1" si="52"/>
        <v/>
      </c>
      <c r="AG101" s="318">
        <f ca="1">IF(TYPE(VLOOKUP($A101,'1.kolo'!$L$3:$L$66,1,0))&gt;3,VLOOKUP($A101,'1.kolo'!$K$3:$L$66,2,0),VLOOKUP($A101,'1.kolo'!$L$3:$O$66,4,0))</f>
        <v>57</v>
      </c>
      <c r="AH101" s="318">
        <f ca="1">IF(TYPE(VLOOKUP($A101,'1.kolo'!$L$3:$L$66,1,0))&gt;3,VLOOKUP($A101,'1.kolo'!$O$3:$Q$66,2,0),VLOOKUP($A101,'1.kolo'!$L$3:$N$66,2,0))</f>
        <v>0</v>
      </c>
      <c r="AI101" s="318">
        <f ca="1">IF(TYPE(VLOOKUP($A101,'1.kolo'!$L$3:$L$66,1,0))&gt;3,VLOOKUP($A101,'1.kolo'!$O$3:$Q$66,3,0),VLOOKUP($A101,'1.kolo'!$L$3:$N$66,3,0))</f>
        <v>0</v>
      </c>
      <c r="AJ101" s="318">
        <f t="shared" ca="1" si="53"/>
        <v>0</v>
      </c>
      <c r="AK101" s="318">
        <v>99</v>
      </c>
      <c r="AL101" s="424"/>
      <c r="AP101" s="318" t="str">
        <f ca="1">IF(TYPE(VLOOKUP($A101,'2.kolo'!$L$3:$L$66,1,0))&gt;3,IF(TYPE(VLOOKUP($A101,'2.kolo'!$K$3:$L$66,2,0))&gt;3,0,VLOOKUP($A101,'2.kolo'!$K$3:$L$66,2,0)),VLOOKUP($A101,'2.kolo'!$L$3:$O$66,4,0))</f>
        <v/>
      </c>
      <c r="AQ101" s="318">
        <f ca="1">IF(TYPE(VLOOKUP($A101,'2.kolo'!$L$3:$L$66,1,0))&gt;3,IF(TYPE(VLOOKUP($A101,'2.kolo'!$O$3:$Q$66,2,0))&gt;3,0,VLOOKUP($A101,'2.kolo'!$O$3:$Q$66,2,0)),VLOOKUP($A101,'2.kolo'!$L$3:$N$66,2,0))</f>
        <v>0</v>
      </c>
      <c r="AR101" s="318">
        <f ca="1">IF(TYPE(VLOOKUP($A101,'2.kolo'!$L$3:$L$66,1,0))&gt;3,IF(TYPE(VLOOKUP($A101,'2.kolo'!$O$3:$Q$66,3,0))&gt;3,0,VLOOKUP($A101,'2.kolo'!$O$3:$Q$66,3,0)),VLOOKUP($A101,'2.kolo'!$L$3:$N$66,3,0))</f>
        <v>0</v>
      </c>
      <c r="AS101" s="318">
        <f t="shared" ca="1" si="54"/>
        <v>0</v>
      </c>
      <c r="AT101" s="397" t="s">
        <v>1869</v>
      </c>
      <c r="AU101" s="424" t="str">
        <f ca="1">IF(AT101="","",CONCATENATE(TEXT($O101,"0"),IF(Start.listina!$Y$5="","",TEXT(500+$P101,"000")),TEXT(999999*RAND(),"000000")))</f>
        <v/>
      </c>
      <c r="AV101" s="318">
        <f t="shared" ca="1" si="63"/>
        <v>0</v>
      </c>
      <c r="AY101" s="318" t="str">
        <f ca="1">IF(TYPE(VLOOKUP($A101,'3.kolo'!$L$3:$L$66,1,0))&gt;3,IF(TYPE(VLOOKUP($A101,'3.kolo'!$K$3:$L$66,2,0))&gt;3,0,VLOOKUP($A101,'3.kolo'!$K$3:$L$66,2,0)),VLOOKUP($A101,'3.kolo'!$L$3:$O$66,4,0))</f>
        <v/>
      </c>
      <c r="AZ101" s="318">
        <f ca="1">IF(TYPE(VLOOKUP($A101,'3.kolo'!$L$3:$L$66,1,0))&gt;3,IF(TYPE(VLOOKUP($A101,'3.kolo'!$O$3:$Q$66,2,0))&gt;3,0,VLOOKUP($A101,'3.kolo'!$O$3:$Q$66,2,0)),VLOOKUP($A101,'3.kolo'!$L$3:$N$66,2,0))</f>
        <v>0</v>
      </c>
      <c r="BA101" s="318">
        <f ca="1">IF(TYPE(VLOOKUP($A101,'3.kolo'!$L$3:$L$66,1,0))&gt;3,IF(TYPE(VLOOKUP($A101,'3.kolo'!$O$3:$Q$66,3,0))&gt;3,0,VLOOKUP($A101,'3.kolo'!$O$3:$Q$66,3,0)),VLOOKUP($A101,'3.kolo'!$L$3:$N$66,3,0))</f>
        <v>0</v>
      </c>
      <c r="BB101" s="318">
        <f t="shared" ca="1" si="55"/>
        <v>0</v>
      </c>
      <c r="BC101" s="397" t="s">
        <v>1869</v>
      </c>
      <c r="BD101" s="424" t="str">
        <f ca="1">IF(BC101="","",CONCATENATE(TEXT($O101,"0"),IF(Start.listina!$Y$5="","",TEXT(500+$P101,"000")),TEXT(999999*RAND(),"000000")))</f>
        <v/>
      </c>
      <c r="BE101" s="318">
        <f t="shared" ca="1" si="64"/>
        <v>0</v>
      </c>
      <c r="BH101" s="318" t="str">
        <f ca="1">IF(TYPE(VLOOKUP($A101,'4.kolo'!$L$3:$L$66,1,0))&gt;3,IF(TYPE(VLOOKUP($A101,'4.kolo'!$K$3:$L$66,2,0))&gt;3,0,VLOOKUP($A101,'4.kolo'!$K$3:$L$66,2,0)),VLOOKUP($A101,'4.kolo'!$L$3:$O$66,4,0))</f>
        <v/>
      </c>
      <c r="BI101" s="318">
        <f ca="1">IF(TYPE(VLOOKUP($A101,'4.kolo'!$L$3:$L$66,1,0))&gt;3,IF(TYPE(VLOOKUP($A101,'4.kolo'!$O$3:$Q$66,2,0))&gt;3,0,VLOOKUP($A101,'4.kolo'!$O$3:$Q$66,2,0)),VLOOKUP($A101,'4.kolo'!$L$3:$N$66,2,0))</f>
        <v>0</v>
      </c>
      <c r="BJ101" s="318">
        <f ca="1">IF(TYPE(VLOOKUP($A101,'4.kolo'!$L$3:$L$66,1,0))&gt;3,IF(TYPE(VLOOKUP($A101,'4.kolo'!$O$3:$Q$66,3,0))&gt;3,0,VLOOKUP($A101,'4.kolo'!$O$3:$Q$66,3,0)),VLOOKUP($A101,'4.kolo'!$L$3:$N$66,3,0))</f>
        <v>0</v>
      </c>
      <c r="BK101" s="318">
        <f t="shared" ca="1" si="56"/>
        <v>0</v>
      </c>
      <c r="BL101" s="397" t="s">
        <v>1869</v>
      </c>
      <c r="BM101" s="424" t="str">
        <f ca="1">IF(BL101="","",CONCATENATE(TEXT($O101,"0"),IF(Start.listina!$Y$5="","",TEXT(500+$P101,"000")),TEXT(999999*RAND(),"000000")))</f>
        <v/>
      </c>
      <c r="BN101" s="318">
        <f t="shared" ca="1" si="65"/>
        <v>0</v>
      </c>
      <c r="BQ101" s="318" t="str">
        <f ca="1">IF(TYPE(VLOOKUP($A101,'5.kolo'!$L$3:$L$66,1,0))&gt;3,IF(TYPE(VLOOKUP($A101,'5.kolo'!$K$3:$L$66,2,0))&gt;3,0,VLOOKUP($A101,'5.kolo'!$K$3:$L$66,2,0)),VLOOKUP($A101,'5.kolo'!$L$3:$O$66,4,0))</f>
        <v/>
      </c>
      <c r="BR101" s="318">
        <f ca="1">IF(TYPE(VLOOKUP($A101,'5.kolo'!$L$3:$L$66,1,0))&gt;3,IF(TYPE(VLOOKUP($A101,'5.kolo'!$O$3:$Q$66,2,0))&gt;3,0,VLOOKUP($A101,'5.kolo'!$O$3:$Q$66,2,0)),VLOOKUP($A101,'5.kolo'!$L$3:$N$66,2,0))</f>
        <v>0</v>
      </c>
      <c r="BS101" s="318">
        <f ca="1">IF(TYPE(VLOOKUP($A101,'5.kolo'!$L$3:$L$66,1,0))&gt;3,IF(TYPE(VLOOKUP($A101,'5.kolo'!$O$3:$Q$66,3,0))&gt;3,0,VLOOKUP($A101,'5.kolo'!$O$3:$Q$66,3,0)),VLOOKUP($A101,'5.kolo'!$L$3:$N$66,3,0))</f>
        <v>0</v>
      </c>
      <c r="BT101" s="318">
        <f t="shared" ca="1" si="57"/>
        <v>0</v>
      </c>
      <c r="BU101" s="397"/>
      <c r="BV101" s="424" t="str">
        <f ca="1">IF(BU101="","",CONCATENATE(TEXT($O101,"0"),IF(Start.listina!$Y$5="","",TEXT(500+$P101,"000")),TEXT(999999*RAND(),"000000")))</f>
        <v/>
      </c>
      <c r="BW101" s="318">
        <f t="shared" ca="1" si="66"/>
        <v>0</v>
      </c>
      <c r="BZ101" s="318" t="str">
        <f ca="1">IF(TYPE(VLOOKUP($A101,'6.kolo'!$L$3:$L$66,1,0))&gt;3,IF(TYPE(VLOOKUP($A101,'6.kolo'!$K$3:$L$66,2,0))&gt;3,0,VLOOKUP($A101,'6.kolo'!$K$3:$L$66,2,0)),VLOOKUP($A101,'6.kolo'!$L$3:$O$66,4,0))</f>
        <v/>
      </c>
      <c r="CA101" s="318">
        <f ca="1">IF(TYPE(VLOOKUP($A101,'6.kolo'!$L$3:$L$66,1,0))&gt;3,IF(TYPE(VLOOKUP($A101,'6.kolo'!$O$3:$Q$66,2,0))&gt;3,0,VLOOKUP($A101,'6.kolo'!$O$3:$Q$66,2,0)),VLOOKUP($A101,'6.kolo'!$L$3:$N$66,2,0))</f>
        <v>0</v>
      </c>
      <c r="CB101" s="318">
        <f ca="1">IF(TYPE(VLOOKUP($A101,'6.kolo'!$L$3:$L$66,1,0))&gt;3,IF(TYPE(VLOOKUP($A101,'6.kolo'!$O$3:$Q$66,3,0))&gt;3,0,VLOOKUP($A101,'6.kolo'!$O$3:$Q$66,3,0)),VLOOKUP($A101,'6.kolo'!$L$3:$N$66,3,0))</f>
        <v>0</v>
      </c>
      <c r="CC101" s="318">
        <f t="shared" ca="1" si="58"/>
        <v>0</v>
      </c>
      <c r="CD101" s="397"/>
      <c r="CE101" s="424" t="str">
        <f ca="1">IF(CD101="","",CONCATENATE(TEXT($O101,"0"),IF(Start.listina!$Y$5="","",TEXT(500+$P101,"000")),TEXT(999999*RAND(),"000000")))</f>
        <v/>
      </c>
      <c r="CF101" s="318">
        <f t="shared" ca="1" si="67"/>
        <v>0</v>
      </c>
    </row>
    <row r="102" spans="1:84" x14ac:dyDescent="0.4">
      <c r="A102" s="318" t="str">
        <f ca="1">IF(OR(Start.listina!H110&gt;Start.listina!$K$7,Start.listina!G110=TRUE),"",Start.listina!H110)</f>
        <v/>
      </c>
      <c r="B102" s="318" t="str">
        <f ca="1">IF($A102&gt;Start.listina!$K$7,"",INT(($A102-1)/Start.listina!$O$7)+1)</f>
        <v/>
      </c>
      <c r="C102" s="421" t="str">
        <f ca="1">IF(OR(Start.listina!H110&gt;Start.listina!$K$7,Start.listina!G110=TRUE)," - ",Start.listina!AL110)</f>
        <v xml:space="preserve"> - </v>
      </c>
      <c r="D102" s="318" t="str">
        <f ca="1">IF(OR(A102&gt;Start.listina!$K$7,TYPE(VLOOKUP(A102,$V$3:$X$130,3,0))&gt;3),"",VLOOKUP(A102,$V$3:$X$130,3,0))</f>
        <v/>
      </c>
      <c r="E102" s="422" t="str">
        <f ca="1">IF(A102&gt;Start.listina!$K$7,"",IF(MIN(F102:K102)&gt;Start.listina!$Y$4,D102,MIN(F102:K102)))</f>
        <v/>
      </c>
      <c r="F102" s="318">
        <f ca="1">IF(TYPE(VLOOKUP(C102,Konečné_pořadí_1_16!$B$2:$D$17,3,0))&lt;4,VLOOKUP(C102,Konečné_pořadí_1_16!$B$2:$D$17,3,0),999)</f>
        <v>999</v>
      </c>
      <c r="G102" s="318">
        <f ca="1">IF(TYPE(VLOOKUP(C102,'KO64'!$D$4:$D$129,1,0))&lt;4,64,999)</f>
        <v>64</v>
      </c>
      <c r="H102" s="318">
        <f ca="1">IF(TYPE(VLOOKUP(C102,'KO32'!$D$4:$D$65,1,0))&lt;4,32,999)</f>
        <v>32</v>
      </c>
      <c r="I102" s="318">
        <f ca="1">IF(TYPE(VLOOKUP(C102,'KO16'!$D$4:$D$33,1,0))&lt;4,16,999)</f>
        <v>999</v>
      </c>
      <c r="J102" s="318">
        <f ca="1">IF(TYPE(VLOOKUP(C102,'KO8'!$D$4:$D$17,1,0))&lt;4,8,999)</f>
        <v>999</v>
      </c>
      <c r="K102" s="318">
        <f ca="1">IF(TYPE(VLOOKUP(C102,'KO4'!$D$4:$D$9,1,0))&lt;4,4,999)</f>
        <v>999</v>
      </c>
      <c r="M102" s="319">
        <v>100</v>
      </c>
      <c r="O102" s="318">
        <f t="shared" ca="1" si="42"/>
        <v>0</v>
      </c>
      <c r="P102" s="318">
        <f t="shared" ca="1" si="43"/>
        <v>0</v>
      </c>
      <c r="Q102" s="318">
        <f t="shared" ca="1" si="60"/>
        <v>2</v>
      </c>
      <c r="R102" s="318">
        <f t="shared" ca="1" si="61"/>
        <v>0</v>
      </c>
      <c r="S102" s="318">
        <f t="shared" ca="1" si="44"/>
        <v>18</v>
      </c>
      <c r="T102" s="318">
        <f t="shared" ca="1" si="45"/>
        <v>0</v>
      </c>
      <c r="U102" s="397">
        <f t="shared" si="59"/>
        <v>100</v>
      </c>
      <c r="V102" s="397" t="s">
        <v>1869</v>
      </c>
      <c r="W102" s="423" t="str">
        <f ca="1">IF($V102="","",CONCATENATE(TEXT($O102,"0"),IF(Start.listina!$Y$5="","",TEXT(500+$P102,"0000")),IF(Start.listina!$Y$6="","",CHOOSE(Start.listina!$Y$7,TEXT($Q102,"00"),CONCATENATE(TEXT($Q102,"00"),TEXT($S102,"000")), TEXT($R102,"00"))),TEXT(500+$P102,"0000"),IF(Start.listina!$Y$8="","",TEXT($T102,"0")),TEXT(999999*RAND(),"000000")))</f>
        <v/>
      </c>
      <c r="X102" s="399">
        <f t="shared" si="46"/>
        <v>100</v>
      </c>
      <c r="Y102" s="397">
        <f t="shared" ca="1" si="62"/>
        <v>0</v>
      </c>
      <c r="Z102" s="318">
        <f t="shared" ca="1" si="47"/>
        <v>57</v>
      </c>
      <c r="AA102" s="318" t="str">
        <f t="shared" ca="1" si="48"/>
        <v/>
      </c>
      <c r="AB102" s="318" t="str">
        <f t="shared" ca="1" si="49"/>
        <v/>
      </c>
      <c r="AC102" s="318" t="str">
        <f t="shared" ca="1" si="50"/>
        <v/>
      </c>
      <c r="AD102" s="318" t="str">
        <f t="shared" ca="1" si="51"/>
        <v/>
      </c>
      <c r="AE102" s="318" t="str">
        <f t="shared" ca="1" si="52"/>
        <v/>
      </c>
      <c r="AG102" s="318">
        <f ca="1">IF(TYPE(VLOOKUP($A102,'1.kolo'!$L$3:$L$66,1,0))&gt;3,VLOOKUP($A102,'1.kolo'!$K$3:$L$66,2,0),VLOOKUP($A102,'1.kolo'!$L$3:$O$66,4,0))</f>
        <v>57</v>
      </c>
      <c r="AH102" s="318">
        <f ca="1">IF(TYPE(VLOOKUP($A102,'1.kolo'!$L$3:$L$66,1,0))&gt;3,VLOOKUP($A102,'1.kolo'!$O$3:$Q$66,2,0),VLOOKUP($A102,'1.kolo'!$L$3:$N$66,2,0))</f>
        <v>0</v>
      </c>
      <c r="AI102" s="318">
        <f ca="1">IF(TYPE(VLOOKUP($A102,'1.kolo'!$L$3:$L$66,1,0))&gt;3,VLOOKUP($A102,'1.kolo'!$O$3:$Q$66,3,0),VLOOKUP($A102,'1.kolo'!$L$3:$N$66,3,0))</f>
        <v>0</v>
      </c>
      <c r="AJ102" s="318">
        <f t="shared" ca="1" si="53"/>
        <v>0</v>
      </c>
      <c r="AK102" s="318">
        <v>100</v>
      </c>
      <c r="AL102" s="424"/>
      <c r="AP102" s="318" t="str">
        <f ca="1">IF(TYPE(VLOOKUP($A102,'2.kolo'!$L$3:$L$66,1,0))&gt;3,IF(TYPE(VLOOKUP($A102,'2.kolo'!$K$3:$L$66,2,0))&gt;3,0,VLOOKUP($A102,'2.kolo'!$K$3:$L$66,2,0)),VLOOKUP($A102,'2.kolo'!$L$3:$O$66,4,0))</f>
        <v/>
      </c>
      <c r="AQ102" s="318">
        <f ca="1">IF(TYPE(VLOOKUP($A102,'2.kolo'!$L$3:$L$66,1,0))&gt;3,IF(TYPE(VLOOKUP($A102,'2.kolo'!$O$3:$Q$66,2,0))&gt;3,0,VLOOKUP($A102,'2.kolo'!$O$3:$Q$66,2,0)),VLOOKUP($A102,'2.kolo'!$L$3:$N$66,2,0))</f>
        <v>0</v>
      </c>
      <c r="AR102" s="318">
        <f ca="1">IF(TYPE(VLOOKUP($A102,'2.kolo'!$L$3:$L$66,1,0))&gt;3,IF(TYPE(VLOOKUP($A102,'2.kolo'!$O$3:$Q$66,3,0))&gt;3,0,VLOOKUP($A102,'2.kolo'!$O$3:$Q$66,3,0)),VLOOKUP($A102,'2.kolo'!$L$3:$N$66,3,0))</f>
        <v>0</v>
      </c>
      <c r="AS102" s="318">
        <f t="shared" ca="1" si="54"/>
        <v>0</v>
      </c>
      <c r="AT102" s="397" t="s">
        <v>1869</v>
      </c>
      <c r="AU102" s="424" t="str">
        <f ca="1">IF(AT102="","",CONCATENATE(TEXT($O102,"0"),IF(Start.listina!$Y$5="","",TEXT(500+$P102,"000")),TEXT(999999*RAND(),"000000")))</f>
        <v/>
      </c>
      <c r="AV102" s="318">
        <f t="shared" ca="1" si="63"/>
        <v>0</v>
      </c>
      <c r="AY102" s="318" t="str">
        <f ca="1">IF(TYPE(VLOOKUP($A102,'3.kolo'!$L$3:$L$66,1,0))&gt;3,IF(TYPE(VLOOKUP($A102,'3.kolo'!$K$3:$L$66,2,0))&gt;3,0,VLOOKUP($A102,'3.kolo'!$K$3:$L$66,2,0)),VLOOKUP($A102,'3.kolo'!$L$3:$O$66,4,0))</f>
        <v/>
      </c>
      <c r="AZ102" s="318">
        <f ca="1">IF(TYPE(VLOOKUP($A102,'3.kolo'!$L$3:$L$66,1,0))&gt;3,IF(TYPE(VLOOKUP($A102,'3.kolo'!$O$3:$Q$66,2,0))&gt;3,0,VLOOKUP($A102,'3.kolo'!$O$3:$Q$66,2,0)),VLOOKUP($A102,'3.kolo'!$L$3:$N$66,2,0))</f>
        <v>0</v>
      </c>
      <c r="BA102" s="318">
        <f ca="1">IF(TYPE(VLOOKUP($A102,'3.kolo'!$L$3:$L$66,1,0))&gt;3,IF(TYPE(VLOOKUP($A102,'3.kolo'!$O$3:$Q$66,3,0))&gt;3,0,VLOOKUP($A102,'3.kolo'!$O$3:$Q$66,3,0)),VLOOKUP($A102,'3.kolo'!$L$3:$N$66,3,0))</f>
        <v>0</v>
      </c>
      <c r="BB102" s="318">
        <f t="shared" ca="1" si="55"/>
        <v>0</v>
      </c>
      <c r="BC102" s="397" t="s">
        <v>1869</v>
      </c>
      <c r="BD102" s="424" t="str">
        <f ca="1">IF(BC102="","",CONCATENATE(TEXT($O102,"0"),IF(Start.listina!$Y$5="","",TEXT(500+$P102,"000")),TEXT(999999*RAND(),"000000")))</f>
        <v/>
      </c>
      <c r="BE102" s="318">
        <f t="shared" ca="1" si="64"/>
        <v>0</v>
      </c>
      <c r="BH102" s="318" t="str">
        <f ca="1">IF(TYPE(VLOOKUP($A102,'4.kolo'!$L$3:$L$66,1,0))&gt;3,IF(TYPE(VLOOKUP($A102,'4.kolo'!$K$3:$L$66,2,0))&gt;3,0,VLOOKUP($A102,'4.kolo'!$K$3:$L$66,2,0)),VLOOKUP($A102,'4.kolo'!$L$3:$O$66,4,0))</f>
        <v/>
      </c>
      <c r="BI102" s="318">
        <f ca="1">IF(TYPE(VLOOKUP($A102,'4.kolo'!$L$3:$L$66,1,0))&gt;3,IF(TYPE(VLOOKUP($A102,'4.kolo'!$O$3:$Q$66,2,0))&gt;3,0,VLOOKUP($A102,'4.kolo'!$O$3:$Q$66,2,0)),VLOOKUP($A102,'4.kolo'!$L$3:$N$66,2,0))</f>
        <v>0</v>
      </c>
      <c r="BJ102" s="318">
        <f ca="1">IF(TYPE(VLOOKUP($A102,'4.kolo'!$L$3:$L$66,1,0))&gt;3,IF(TYPE(VLOOKUP($A102,'4.kolo'!$O$3:$Q$66,3,0))&gt;3,0,VLOOKUP($A102,'4.kolo'!$O$3:$Q$66,3,0)),VLOOKUP($A102,'4.kolo'!$L$3:$N$66,3,0))</f>
        <v>0</v>
      </c>
      <c r="BK102" s="318">
        <f t="shared" ca="1" si="56"/>
        <v>0</v>
      </c>
      <c r="BL102" s="397" t="s">
        <v>1869</v>
      </c>
      <c r="BM102" s="424" t="str">
        <f ca="1">IF(BL102="","",CONCATENATE(TEXT($O102,"0"),IF(Start.listina!$Y$5="","",TEXT(500+$P102,"000")),TEXT(999999*RAND(),"000000")))</f>
        <v/>
      </c>
      <c r="BN102" s="318">
        <f t="shared" ca="1" si="65"/>
        <v>0</v>
      </c>
      <c r="BQ102" s="318" t="str">
        <f ca="1">IF(TYPE(VLOOKUP($A102,'5.kolo'!$L$3:$L$66,1,0))&gt;3,IF(TYPE(VLOOKUP($A102,'5.kolo'!$K$3:$L$66,2,0))&gt;3,0,VLOOKUP($A102,'5.kolo'!$K$3:$L$66,2,0)),VLOOKUP($A102,'5.kolo'!$L$3:$O$66,4,0))</f>
        <v/>
      </c>
      <c r="BR102" s="318">
        <f ca="1">IF(TYPE(VLOOKUP($A102,'5.kolo'!$L$3:$L$66,1,0))&gt;3,IF(TYPE(VLOOKUP($A102,'5.kolo'!$O$3:$Q$66,2,0))&gt;3,0,VLOOKUP($A102,'5.kolo'!$O$3:$Q$66,2,0)),VLOOKUP($A102,'5.kolo'!$L$3:$N$66,2,0))</f>
        <v>0</v>
      </c>
      <c r="BS102" s="318">
        <f ca="1">IF(TYPE(VLOOKUP($A102,'5.kolo'!$L$3:$L$66,1,0))&gt;3,IF(TYPE(VLOOKUP($A102,'5.kolo'!$O$3:$Q$66,3,0))&gt;3,0,VLOOKUP($A102,'5.kolo'!$O$3:$Q$66,3,0)),VLOOKUP($A102,'5.kolo'!$L$3:$N$66,3,0))</f>
        <v>0</v>
      </c>
      <c r="BT102" s="318">
        <f t="shared" ca="1" si="57"/>
        <v>0</v>
      </c>
      <c r="BU102" s="397"/>
      <c r="BV102" s="424" t="str">
        <f ca="1">IF(BU102="","",CONCATENATE(TEXT($O102,"0"),IF(Start.listina!$Y$5="","",TEXT(500+$P102,"000")),TEXT(999999*RAND(),"000000")))</f>
        <v/>
      </c>
      <c r="BW102" s="318">
        <f t="shared" ca="1" si="66"/>
        <v>0</v>
      </c>
      <c r="BZ102" s="318" t="str">
        <f ca="1">IF(TYPE(VLOOKUP($A102,'6.kolo'!$L$3:$L$66,1,0))&gt;3,IF(TYPE(VLOOKUP($A102,'6.kolo'!$K$3:$L$66,2,0))&gt;3,0,VLOOKUP($A102,'6.kolo'!$K$3:$L$66,2,0)),VLOOKUP($A102,'6.kolo'!$L$3:$O$66,4,0))</f>
        <v/>
      </c>
      <c r="CA102" s="318">
        <f ca="1">IF(TYPE(VLOOKUP($A102,'6.kolo'!$L$3:$L$66,1,0))&gt;3,IF(TYPE(VLOOKUP($A102,'6.kolo'!$O$3:$Q$66,2,0))&gt;3,0,VLOOKUP($A102,'6.kolo'!$O$3:$Q$66,2,0)),VLOOKUP($A102,'6.kolo'!$L$3:$N$66,2,0))</f>
        <v>0</v>
      </c>
      <c r="CB102" s="318">
        <f ca="1">IF(TYPE(VLOOKUP($A102,'6.kolo'!$L$3:$L$66,1,0))&gt;3,IF(TYPE(VLOOKUP($A102,'6.kolo'!$O$3:$Q$66,3,0))&gt;3,0,VLOOKUP($A102,'6.kolo'!$O$3:$Q$66,3,0)),VLOOKUP($A102,'6.kolo'!$L$3:$N$66,3,0))</f>
        <v>0</v>
      </c>
      <c r="CC102" s="318">
        <f t="shared" ca="1" si="58"/>
        <v>0</v>
      </c>
      <c r="CD102" s="397"/>
      <c r="CE102" s="424" t="str">
        <f ca="1">IF(CD102="","",CONCATENATE(TEXT($O102,"0"),IF(Start.listina!$Y$5="","",TEXT(500+$P102,"000")),TEXT(999999*RAND(),"000000")))</f>
        <v/>
      </c>
      <c r="CF102" s="318">
        <f t="shared" ca="1" si="67"/>
        <v>0</v>
      </c>
    </row>
    <row r="103" spans="1:84" x14ac:dyDescent="0.4">
      <c r="A103" s="318" t="str">
        <f ca="1">IF(OR(Start.listina!H111&gt;Start.listina!$K$7,Start.listina!G111=TRUE),"",Start.listina!H111)</f>
        <v/>
      </c>
      <c r="B103" s="318" t="str">
        <f ca="1">IF($A103&gt;Start.listina!$K$7,"",INT(($A103-1)/Start.listina!$O$7)+1)</f>
        <v/>
      </c>
      <c r="C103" s="421" t="str">
        <f ca="1">IF(OR(Start.listina!H111&gt;Start.listina!$K$7,Start.listina!G111=TRUE)," - ",Start.listina!AL111)</f>
        <v xml:space="preserve"> - </v>
      </c>
      <c r="D103" s="318" t="str">
        <f ca="1">IF(OR(A103&gt;Start.listina!$K$7,TYPE(VLOOKUP(A103,$V$3:$X$130,3,0))&gt;3),"",VLOOKUP(A103,$V$3:$X$130,3,0))</f>
        <v/>
      </c>
      <c r="E103" s="422" t="str">
        <f ca="1">IF(A103&gt;Start.listina!$K$7,"",IF(MIN(F103:K103)&gt;Start.listina!$Y$4,D103,MIN(F103:K103)))</f>
        <v/>
      </c>
      <c r="F103" s="318">
        <f ca="1">IF(TYPE(VLOOKUP(C103,Konečné_pořadí_1_16!$B$2:$D$17,3,0))&lt;4,VLOOKUP(C103,Konečné_pořadí_1_16!$B$2:$D$17,3,0),999)</f>
        <v>999</v>
      </c>
      <c r="G103" s="318">
        <f ca="1">IF(TYPE(VLOOKUP(C103,'KO64'!$D$4:$D$129,1,0))&lt;4,64,999)</f>
        <v>64</v>
      </c>
      <c r="H103" s="318">
        <f ca="1">IF(TYPE(VLOOKUP(C103,'KO32'!$D$4:$D$65,1,0))&lt;4,32,999)</f>
        <v>32</v>
      </c>
      <c r="I103" s="318">
        <f ca="1">IF(TYPE(VLOOKUP(C103,'KO16'!$D$4:$D$33,1,0))&lt;4,16,999)</f>
        <v>999</v>
      </c>
      <c r="J103" s="318">
        <f ca="1">IF(TYPE(VLOOKUP(C103,'KO8'!$D$4:$D$17,1,0))&lt;4,8,999)</f>
        <v>999</v>
      </c>
      <c r="K103" s="318">
        <f ca="1">IF(TYPE(VLOOKUP(C103,'KO4'!$D$4:$D$9,1,0))&lt;4,4,999)</f>
        <v>999</v>
      </c>
      <c r="M103" s="319">
        <v>101</v>
      </c>
      <c r="O103" s="318">
        <f t="shared" ca="1" si="42"/>
        <v>0</v>
      </c>
      <c r="P103" s="318">
        <f t="shared" ca="1" si="43"/>
        <v>0</v>
      </c>
      <c r="Q103" s="318">
        <f t="shared" ca="1" si="60"/>
        <v>2</v>
      </c>
      <c r="R103" s="318">
        <f t="shared" ca="1" si="61"/>
        <v>0</v>
      </c>
      <c r="S103" s="318">
        <f t="shared" ca="1" si="44"/>
        <v>18</v>
      </c>
      <c r="T103" s="318">
        <f t="shared" ca="1" si="45"/>
        <v>0</v>
      </c>
      <c r="U103" s="397">
        <f t="shared" si="59"/>
        <v>101</v>
      </c>
      <c r="V103" s="397" t="s">
        <v>1869</v>
      </c>
      <c r="W103" s="423" t="str">
        <f ca="1">IF($V103="","",CONCATENATE(TEXT($O103,"0"),IF(Start.listina!$Y$5="","",TEXT(500+$P103,"0000")),IF(Start.listina!$Y$6="","",CHOOSE(Start.listina!$Y$7,TEXT($Q103,"00"),CONCATENATE(TEXT($Q103,"00"),TEXT($S103,"000")), TEXT($R103,"00"))),TEXT(500+$P103,"0000"),IF(Start.listina!$Y$8="","",TEXT($T103,"0")),TEXT(999999*RAND(),"000000")))</f>
        <v/>
      </c>
      <c r="X103" s="399">
        <f t="shared" si="46"/>
        <v>101</v>
      </c>
      <c r="Y103" s="397">
        <f t="shared" ca="1" si="62"/>
        <v>0</v>
      </c>
      <c r="Z103" s="318">
        <f t="shared" ca="1" si="47"/>
        <v>57</v>
      </c>
      <c r="AA103" s="318" t="str">
        <f t="shared" ca="1" si="48"/>
        <v/>
      </c>
      <c r="AB103" s="318" t="str">
        <f t="shared" ca="1" si="49"/>
        <v/>
      </c>
      <c r="AC103" s="318" t="str">
        <f t="shared" ca="1" si="50"/>
        <v/>
      </c>
      <c r="AD103" s="318" t="str">
        <f t="shared" ca="1" si="51"/>
        <v/>
      </c>
      <c r="AE103" s="318" t="str">
        <f t="shared" ca="1" si="52"/>
        <v/>
      </c>
      <c r="AG103" s="318">
        <f ca="1">IF(TYPE(VLOOKUP($A103,'1.kolo'!$L$3:$L$66,1,0))&gt;3,VLOOKUP($A103,'1.kolo'!$K$3:$L$66,2,0),VLOOKUP($A103,'1.kolo'!$L$3:$O$66,4,0))</f>
        <v>57</v>
      </c>
      <c r="AH103" s="318">
        <f ca="1">IF(TYPE(VLOOKUP($A103,'1.kolo'!$L$3:$L$66,1,0))&gt;3,VLOOKUP($A103,'1.kolo'!$O$3:$Q$66,2,0),VLOOKUP($A103,'1.kolo'!$L$3:$N$66,2,0))</f>
        <v>0</v>
      </c>
      <c r="AI103" s="318">
        <f ca="1">IF(TYPE(VLOOKUP($A103,'1.kolo'!$L$3:$L$66,1,0))&gt;3,VLOOKUP($A103,'1.kolo'!$O$3:$Q$66,3,0),VLOOKUP($A103,'1.kolo'!$L$3:$N$66,3,0))</f>
        <v>0</v>
      </c>
      <c r="AJ103" s="318">
        <f t="shared" ca="1" si="53"/>
        <v>0</v>
      </c>
      <c r="AK103" s="318">
        <v>101</v>
      </c>
      <c r="AL103" s="424"/>
      <c r="AP103" s="318" t="str">
        <f ca="1">IF(TYPE(VLOOKUP($A103,'2.kolo'!$L$3:$L$66,1,0))&gt;3,IF(TYPE(VLOOKUP($A103,'2.kolo'!$K$3:$L$66,2,0))&gt;3,0,VLOOKUP($A103,'2.kolo'!$K$3:$L$66,2,0)),VLOOKUP($A103,'2.kolo'!$L$3:$O$66,4,0))</f>
        <v/>
      </c>
      <c r="AQ103" s="318">
        <f ca="1">IF(TYPE(VLOOKUP($A103,'2.kolo'!$L$3:$L$66,1,0))&gt;3,IF(TYPE(VLOOKUP($A103,'2.kolo'!$O$3:$Q$66,2,0))&gt;3,0,VLOOKUP($A103,'2.kolo'!$O$3:$Q$66,2,0)),VLOOKUP($A103,'2.kolo'!$L$3:$N$66,2,0))</f>
        <v>0</v>
      </c>
      <c r="AR103" s="318">
        <f ca="1">IF(TYPE(VLOOKUP($A103,'2.kolo'!$L$3:$L$66,1,0))&gt;3,IF(TYPE(VLOOKUP($A103,'2.kolo'!$O$3:$Q$66,3,0))&gt;3,0,VLOOKUP($A103,'2.kolo'!$O$3:$Q$66,3,0)),VLOOKUP($A103,'2.kolo'!$L$3:$N$66,3,0))</f>
        <v>0</v>
      </c>
      <c r="AS103" s="318">
        <f t="shared" ca="1" si="54"/>
        <v>0</v>
      </c>
      <c r="AT103" s="397" t="s">
        <v>1869</v>
      </c>
      <c r="AU103" s="424" t="str">
        <f ca="1">IF(AT103="","",CONCATENATE(TEXT($O103,"0"),IF(Start.listina!$Y$5="","",TEXT(500+$P103,"000")),TEXT(999999*RAND(),"000000")))</f>
        <v/>
      </c>
      <c r="AV103" s="318">
        <f t="shared" ca="1" si="63"/>
        <v>0</v>
      </c>
      <c r="AY103" s="318" t="str">
        <f ca="1">IF(TYPE(VLOOKUP($A103,'3.kolo'!$L$3:$L$66,1,0))&gt;3,IF(TYPE(VLOOKUP($A103,'3.kolo'!$K$3:$L$66,2,0))&gt;3,0,VLOOKUP($A103,'3.kolo'!$K$3:$L$66,2,0)),VLOOKUP($A103,'3.kolo'!$L$3:$O$66,4,0))</f>
        <v/>
      </c>
      <c r="AZ103" s="318">
        <f ca="1">IF(TYPE(VLOOKUP($A103,'3.kolo'!$L$3:$L$66,1,0))&gt;3,IF(TYPE(VLOOKUP($A103,'3.kolo'!$O$3:$Q$66,2,0))&gt;3,0,VLOOKUP($A103,'3.kolo'!$O$3:$Q$66,2,0)),VLOOKUP($A103,'3.kolo'!$L$3:$N$66,2,0))</f>
        <v>0</v>
      </c>
      <c r="BA103" s="318">
        <f ca="1">IF(TYPE(VLOOKUP($A103,'3.kolo'!$L$3:$L$66,1,0))&gt;3,IF(TYPE(VLOOKUP($A103,'3.kolo'!$O$3:$Q$66,3,0))&gt;3,0,VLOOKUP($A103,'3.kolo'!$O$3:$Q$66,3,0)),VLOOKUP($A103,'3.kolo'!$L$3:$N$66,3,0))</f>
        <v>0</v>
      </c>
      <c r="BB103" s="318">
        <f t="shared" ca="1" si="55"/>
        <v>0</v>
      </c>
      <c r="BC103" s="397" t="s">
        <v>1869</v>
      </c>
      <c r="BD103" s="424" t="str">
        <f ca="1">IF(BC103="","",CONCATENATE(TEXT($O103,"0"),IF(Start.listina!$Y$5="","",TEXT(500+$P103,"000")),TEXT(999999*RAND(),"000000")))</f>
        <v/>
      </c>
      <c r="BE103" s="318">
        <f t="shared" ca="1" si="64"/>
        <v>0</v>
      </c>
      <c r="BH103" s="318" t="str">
        <f ca="1">IF(TYPE(VLOOKUP($A103,'4.kolo'!$L$3:$L$66,1,0))&gt;3,IF(TYPE(VLOOKUP($A103,'4.kolo'!$K$3:$L$66,2,0))&gt;3,0,VLOOKUP($A103,'4.kolo'!$K$3:$L$66,2,0)),VLOOKUP($A103,'4.kolo'!$L$3:$O$66,4,0))</f>
        <v/>
      </c>
      <c r="BI103" s="318">
        <f ca="1">IF(TYPE(VLOOKUP($A103,'4.kolo'!$L$3:$L$66,1,0))&gt;3,IF(TYPE(VLOOKUP($A103,'4.kolo'!$O$3:$Q$66,2,0))&gt;3,0,VLOOKUP($A103,'4.kolo'!$O$3:$Q$66,2,0)),VLOOKUP($A103,'4.kolo'!$L$3:$N$66,2,0))</f>
        <v>0</v>
      </c>
      <c r="BJ103" s="318">
        <f ca="1">IF(TYPE(VLOOKUP($A103,'4.kolo'!$L$3:$L$66,1,0))&gt;3,IF(TYPE(VLOOKUP($A103,'4.kolo'!$O$3:$Q$66,3,0))&gt;3,0,VLOOKUP($A103,'4.kolo'!$O$3:$Q$66,3,0)),VLOOKUP($A103,'4.kolo'!$L$3:$N$66,3,0))</f>
        <v>0</v>
      </c>
      <c r="BK103" s="318">
        <f t="shared" ca="1" si="56"/>
        <v>0</v>
      </c>
      <c r="BL103" s="397" t="s">
        <v>1869</v>
      </c>
      <c r="BM103" s="424" t="str">
        <f ca="1">IF(BL103="","",CONCATENATE(TEXT($O103,"0"),IF(Start.listina!$Y$5="","",TEXT(500+$P103,"000")),TEXT(999999*RAND(),"000000")))</f>
        <v/>
      </c>
      <c r="BN103" s="318">
        <f t="shared" ca="1" si="65"/>
        <v>0</v>
      </c>
      <c r="BQ103" s="318" t="str">
        <f ca="1">IF(TYPE(VLOOKUP($A103,'5.kolo'!$L$3:$L$66,1,0))&gt;3,IF(TYPE(VLOOKUP($A103,'5.kolo'!$K$3:$L$66,2,0))&gt;3,0,VLOOKUP($A103,'5.kolo'!$K$3:$L$66,2,0)),VLOOKUP($A103,'5.kolo'!$L$3:$O$66,4,0))</f>
        <v/>
      </c>
      <c r="BR103" s="318">
        <f ca="1">IF(TYPE(VLOOKUP($A103,'5.kolo'!$L$3:$L$66,1,0))&gt;3,IF(TYPE(VLOOKUP($A103,'5.kolo'!$O$3:$Q$66,2,0))&gt;3,0,VLOOKUP($A103,'5.kolo'!$O$3:$Q$66,2,0)),VLOOKUP($A103,'5.kolo'!$L$3:$N$66,2,0))</f>
        <v>0</v>
      </c>
      <c r="BS103" s="318">
        <f ca="1">IF(TYPE(VLOOKUP($A103,'5.kolo'!$L$3:$L$66,1,0))&gt;3,IF(TYPE(VLOOKUP($A103,'5.kolo'!$O$3:$Q$66,3,0))&gt;3,0,VLOOKUP($A103,'5.kolo'!$O$3:$Q$66,3,0)),VLOOKUP($A103,'5.kolo'!$L$3:$N$66,3,0))</f>
        <v>0</v>
      </c>
      <c r="BT103" s="318">
        <f t="shared" ca="1" si="57"/>
        <v>0</v>
      </c>
      <c r="BU103" s="397"/>
      <c r="BV103" s="424" t="str">
        <f ca="1">IF(BU103="","",CONCATENATE(TEXT($O103,"0"),IF(Start.listina!$Y$5="","",TEXT(500+$P103,"000")),TEXT(999999*RAND(),"000000")))</f>
        <v/>
      </c>
      <c r="BW103" s="318">
        <f t="shared" ca="1" si="66"/>
        <v>0</v>
      </c>
      <c r="BZ103" s="318" t="str">
        <f ca="1">IF(TYPE(VLOOKUP($A103,'6.kolo'!$L$3:$L$66,1,0))&gt;3,IF(TYPE(VLOOKUP($A103,'6.kolo'!$K$3:$L$66,2,0))&gt;3,0,VLOOKUP($A103,'6.kolo'!$K$3:$L$66,2,0)),VLOOKUP($A103,'6.kolo'!$L$3:$O$66,4,0))</f>
        <v/>
      </c>
      <c r="CA103" s="318">
        <f ca="1">IF(TYPE(VLOOKUP($A103,'6.kolo'!$L$3:$L$66,1,0))&gt;3,IF(TYPE(VLOOKUP($A103,'6.kolo'!$O$3:$Q$66,2,0))&gt;3,0,VLOOKUP($A103,'6.kolo'!$O$3:$Q$66,2,0)),VLOOKUP($A103,'6.kolo'!$L$3:$N$66,2,0))</f>
        <v>0</v>
      </c>
      <c r="CB103" s="318">
        <f ca="1">IF(TYPE(VLOOKUP($A103,'6.kolo'!$L$3:$L$66,1,0))&gt;3,IF(TYPE(VLOOKUP($A103,'6.kolo'!$O$3:$Q$66,3,0))&gt;3,0,VLOOKUP($A103,'6.kolo'!$O$3:$Q$66,3,0)),VLOOKUP($A103,'6.kolo'!$L$3:$N$66,3,0))</f>
        <v>0</v>
      </c>
      <c r="CC103" s="318">
        <f t="shared" ca="1" si="58"/>
        <v>0</v>
      </c>
      <c r="CD103" s="397"/>
      <c r="CE103" s="424" t="str">
        <f ca="1">IF(CD103="","",CONCATENATE(TEXT($O103,"0"),IF(Start.listina!$Y$5="","",TEXT(500+$P103,"000")),TEXT(999999*RAND(),"000000")))</f>
        <v/>
      </c>
      <c r="CF103" s="318">
        <f t="shared" ca="1" si="67"/>
        <v>0</v>
      </c>
    </row>
    <row r="104" spans="1:84" x14ac:dyDescent="0.4">
      <c r="A104" s="318" t="str">
        <f ca="1">IF(OR(Start.listina!H112&gt;Start.listina!$K$7,Start.listina!G112=TRUE),"",Start.listina!H112)</f>
        <v/>
      </c>
      <c r="B104" s="318" t="str">
        <f ca="1">IF($A104&gt;Start.listina!$K$7,"",INT(($A104-1)/Start.listina!$O$7)+1)</f>
        <v/>
      </c>
      <c r="C104" s="421" t="str">
        <f ca="1">IF(OR(Start.listina!H112&gt;Start.listina!$K$7,Start.listina!G112=TRUE)," - ",Start.listina!AL112)</f>
        <v xml:space="preserve"> - </v>
      </c>
      <c r="D104" s="318" t="str">
        <f ca="1">IF(OR(A104&gt;Start.listina!$K$7,TYPE(VLOOKUP(A104,$V$3:$X$130,3,0))&gt;3),"",VLOOKUP(A104,$V$3:$X$130,3,0))</f>
        <v/>
      </c>
      <c r="E104" s="422" t="str">
        <f ca="1">IF(A104&gt;Start.listina!$K$7,"",IF(MIN(F104:K104)&gt;Start.listina!$Y$4,D104,MIN(F104:K104)))</f>
        <v/>
      </c>
      <c r="F104" s="318">
        <f ca="1">IF(TYPE(VLOOKUP(C104,Konečné_pořadí_1_16!$B$2:$D$17,3,0))&lt;4,VLOOKUP(C104,Konečné_pořadí_1_16!$B$2:$D$17,3,0),999)</f>
        <v>999</v>
      </c>
      <c r="G104" s="318">
        <f ca="1">IF(TYPE(VLOOKUP(C104,'KO64'!$D$4:$D$129,1,0))&lt;4,64,999)</f>
        <v>64</v>
      </c>
      <c r="H104" s="318">
        <f ca="1">IF(TYPE(VLOOKUP(C104,'KO32'!$D$4:$D$65,1,0))&lt;4,32,999)</f>
        <v>32</v>
      </c>
      <c r="I104" s="318">
        <f ca="1">IF(TYPE(VLOOKUP(C104,'KO16'!$D$4:$D$33,1,0))&lt;4,16,999)</f>
        <v>999</v>
      </c>
      <c r="J104" s="318">
        <f ca="1">IF(TYPE(VLOOKUP(C104,'KO8'!$D$4:$D$17,1,0))&lt;4,8,999)</f>
        <v>999</v>
      </c>
      <c r="K104" s="318">
        <f ca="1">IF(TYPE(VLOOKUP(C104,'KO4'!$D$4:$D$9,1,0))&lt;4,4,999)</f>
        <v>999</v>
      </c>
      <c r="M104" s="319">
        <v>102</v>
      </c>
      <c r="O104" s="318">
        <f t="shared" ca="1" si="42"/>
        <v>0</v>
      </c>
      <c r="P104" s="318">
        <f t="shared" ca="1" si="43"/>
        <v>0</v>
      </c>
      <c r="Q104" s="318">
        <f t="shared" ca="1" si="60"/>
        <v>2</v>
      </c>
      <c r="R104" s="318">
        <f t="shared" ca="1" si="61"/>
        <v>0</v>
      </c>
      <c r="S104" s="318">
        <f t="shared" ca="1" si="44"/>
        <v>18</v>
      </c>
      <c r="T104" s="318">
        <f t="shared" ca="1" si="45"/>
        <v>0</v>
      </c>
      <c r="U104" s="397">
        <f t="shared" si="59"/>
        <v>102</v>
      </c>
      <c r="V104" s="397" t="s">
        <v>1869</v>
      </c>
      <c r="W104" s="423" t="str">
        <f ca="1">IF($V104="","",CONCATENATE(TEXT($O104,"0"),IF(Start.listina!$Y$5="","",TEXT(500+$P104,"0000")),IF(Start.listina!$Y$6="","",CHOOSE(Start.listina!$Y$7,TEXT($Q104,"00"),CONCATENATE(TEXT($Q104,"00"),TEXT($S104,"000")), TEXT($R104,"00"))),TEXT(500+$P104,"0000"),IF(Start.listina!$Y$8="","",TEXT($T104,"0")),TEXT(999999*RAND(),"000000")))</f>
        <v/>
      </c>
      <c r="X104" s="399">
        <f t="shared" si="46"/>
        <v>102</v>
      </c>
      <c r="Y104" s="397">
        <f t="shared" ca="1" si="62"/>
        <v>0</v>
      </c>
      <c r="Z104" s="318">
        <f t="shared" ca="1" si="47"/>
        <v>57</v>
      </c>
      <c r="AA104" s="318" t="str">
        <f t="shared" ca="1" si="48"/>
        <v/>
      </c>
      <c r="AB104" s="318" t="str">
        <f t="shared" ca="1" si="49"/>
        <v/>
      </c>
      <c r="AC104" s="318" t="str">
        <f t="shared" ca="1" si="50"/>
        <v/>
      </c>
      <c r="AD104" s="318" t="str">
        <f t="shared" ca="1" si="51"/>
        <v/>
      </c>
      <c r="AE104" s="318" t="str">
        <f t="shared" ca="1" si="52"/>
        <v/>
      </c>
      <c r="AG104" s="318">
        <f ca="1">IF(TYPE(VLOOKUP($A104,'1.kolo'!$L$3:$L$66,1,0))&gt;3,VLOOKUP($A104,'1.kolo'!$K$3:$L$66,2,0),VLOOKUP($A104,'1.kolo'!$L$3:$O$66,4,0))</f>
        <v>57</v>
      </c>
      <c r="AH104" s="318">
        <f ca="1">IF(TYPE(VLOOKUP($A104,'1.kolo'!$L$3:$L$66,1,0))&gt;3,VLOOKUP($A104,'1.kolo'!$O$3:$Q$66,2,0),VLOOKUP($A104,'1.kolo'!$L$3:$N$66,2,0))</f>
        <v>0</v>
      </c>
      <c r="AI104" s="318">
        <f ca="1">IF(TYPE(VLOOKUP($A104,'1.kolo'!$L$3:$L$66,1,0))&gt;3,VLOOKUP($A104,'1.kolo'!$O$3:$Q$66,3,0),VLOOKUP($A104,'1.kolo'!$L$3:$N$66,3,0))</f>
        <v>0</v>
      </c>
      <c r="AJ104" s="318">
        <f t="shared" ca="1" si="53"/>
        <v>0</v>
      </c>
      <c r="AK104" s="318">
        <v>102</v>
      </c>
      <c r="AL104" s="424"/>
      <c r="AP104" s="318" t="str">
        <f ca="1">IF(TYPE(VLOOKUP($A104,'2.kolo'!$L$3:$L$66,1,0))&gt;3,IF(TYPE(VLOOKUP($A104,'2.kolo'!$K$3:$L$66,2,0))&gt;3,0,VLOOKUP($A104,'2.kolo'!$K$3:$L$66,2,0)),VLOOKUP($A104,'2.kolo'!$L$3:$O$66,4,0))</f>
        <v/>
      </c>
      <c r="AQ104" s="318">
        <f ca="1">IF(TYPE(VLOOKUP($A104,'2.kolo'!$L$3:$L$66,1,0))&gt;3,IF(TYPE(VLOOKUP($A104,'2.kolo'!$O$3:$Q$66,2,0))&gt;3,0,VLOOKUP($A104,'2.kolo'!$O$3:$Q$66,2,0)),VLOOKUP($A104,'2.kolo'!$L$3:$N$66,2,0))</f>
        <v>0</v>
      </c>
      <c r="AR104" s="318">
        <f ca="1">IF(TYPE(VLOOKUP($A104,'2.kolo'!$L$3:$L$66,1,0))&gt;3,IF(TYPE(VLOOKUP($A104,'2.kolo'!$O$3:$Q$66,3,0))&gt;3,0,VLOOKUP($A104,'2.kolo'!$O$3:$Q$66,3,0)),VLOOKUP($A104,'2.kolo'!$L$3:$N$66,3,0))</f>
        <v>0</v>
      </c>
      <c r="AS104" s="318">
        <f t="shared" ca="1" si="54"/>
        <v>0</v>
      </c>
      <c r="AT104" s="397" t="s">
        <v>1869</v>
      </c>
      <c r="AU104" s="424" t="str">
        <f ca="1">IF(AT104="","",CONCATENATE(TEXT($O104,"0"),IF(Start.listina!$Y$5="","",TEXT(500+$P104,"000")),TEXT(999999*RAND(),"000000")))</f>
        <v/>
      </c>
      <c r="AV104" s="318">
        <f t="shared" ca="1" si="63"/>
        <v>0</v>
      </c>
      <c r="AY104" s="318" t="str">
        <f ca="1">IF(TYPE(VLOOKUP($A104,'3.kolo'!$L$3:$L$66,1,0))&gt;3,IF(TYPE(VLOOKUP($A104,'3.kolo'!$K$3:$L$66,2,0))&gt;3,0,VLOOKUP($A104,'3.kolo'!$K$3:$L$66,2,0)),VLOOKUP($A104,'3.kolo'!$L$3:$O$66,4,0))</f>
        <v/>
      </c>
      <c r="AZ104" s="318">
        <f ca="1">IF(TYPE(VLOOKUP($A104,'3.kolo'!$L$3:$L$66,1,0))&gt;3,IF(TYPE(VLOOKUP($A104,'3.kolo'!$O$3:$Q$66,2,0))&gt;3,0,VLOOKUP($A104,'3.kolo'!$O$3:$Q$66,2,0)),VLOOKUP($A104,'3.kolo'!$L$3:$N$66,2,0))</f>
        <v>0</v>
      </c>
      <c r="BA104" s="318">
        <f ca="1">IF(TYPE(VLOOKUP($A104,'3.kolo'!$L$3:$L$66,1,0))&gt;3,IF(TYPE(VLOOKUP($A104,'3.kolo'!$O$3:$Q$66,3,0))&gt;3,0,VLOOKUP($A104,'3.kolo'!$O$3:$Q$66,3,0)),VLOOKUP($A104,'3.kolo'!$L$3:$N$66,3,0))</f>
        <v>0</v>
      </c>
      <c r="BB104" s="318">
        <f t="shared" ca="1" si="55"/>
        <v>0</v>
      </c>
      <c r="BC104" s="397" t="s">
        <v>1869</v>
      </c>
      <c r="BD104" s="424" t="str">
        <f ca="1">IF(BC104="","",CONCATENATE(TEXT($O104,"0"),IF(Start.listina!$Y$5="","",TEXT(500+$P104,"000")),TEXT(999999*RAND(),"000000")))</f>
        <v/>
      </c>
      <c r="BE104" s="318">
        <f t="shared" ca="1" si="64"/>
        <v>0</v>
      </c>
      <c r="BH104" s="318" t="str">
        <f ca="1">IF(TYPE(VLOOKUP($A104,'4.kolo'!$L$3:$L$66,1,0))&gt;3,IF(TYPE(VLOOKUP($A104,'4.kolo'!$K$3:$L$66,2,0))&gt;3,0,VLOOKUP($A104,'4.kolo'!$K$3:$L$66,2,0)),VLOOKUP($A104,'4.kolo'!$L$3:$O$66,4,0))</f>
        <v/>
      </c>
      <c r="BI104" s="318">
        <f ca="1">IF(TYPE(VLOOKUP($A104,'4.kolo'!$L$3:$L$66,1,0))&gt;3,IF(TYPE(VLOOKUP($A104,'4.kolo'!$O$3:$Q$66,2,0))&gt;3,0,VLOOKUP($A104,'4.kolo'!$O$3:$Q$66,2,0)),VLOOKUP($A104,'4.kolo'!$L$3:$N$66,2,0))</f>
        <v>0</v>
      </c>
      <c r="BJ104" s="318">
        <f ca="1">IF(TYPE(VLOOKUP($A104,'4.kolo'!$L$3:$L$66,1,0))&gt;3,IF(TYPE(VLOOKUP($A104,'4.kolo'!$O$3:$Q$66,3,0))&gt;3,0,VLOOKUP($A104,'4.kolo'!$O$3:$Q$66,3,0)),VLOOKUP($A104,'4.kolo'!$L$3:$N$66,3,0))</f>
        <v>0</v>
      </c>
      <c r="BK104" s="318">
        <f t="shared" ca="1" si="56"/>
        <v>0</v>
      </c>
      <c r="BL104" s="397" t="s">
        <v>1869</v>
      </c>
      <c r="BM104" s="424" t="str">
        <f ca="1">IF(BL104="","",CONCATENATE(TEXT($O104,"0"),IF(Start.listina!$Y$5="","",TEXT(500+$P104,"000")),TEXT(999999*RAND(),"000000")))</f>
        <v/>
      </c>
      <c r="BN104" s="318">
        <f t="shared" ca="1" si="65"/>
        <v>0</v>
      </c>
      <c r="BQ104" s="318" t="str">
        <f ca="1">IF(TYPE(VLOOKUP($A104,'5.kolo'!$L$3:$L$66,1,0))&gt;3,IF(TYPE(VLOOKUP($A104,'5.kolo'!$K$3:$L$66,2,0))&gt;3,0,VLOOKUP($A104,'5.kolo'!$K$3:$L$66,2,0)),VLOOKUP($A104,'5.kolo'!$L$3:$O$66,4,0))</f>
        <v/>
      </c>
      <c r="BR104" s="318">
        <f ca="1">IF(TYPE(VLOOKUP($A104,'5.kolo'!$L$3:$L$66,1,0))&gt;3,IF(TYPE(VLOOKUP($A104,'5.kolo'!$O$3:$Q$66,2,0))&gt;3,0,VLOOKUP($A104,'5.kolo'!$O$3:$Q$66,2,0)),VLOOKUP($A104,'5.kolo'!$L$3:$N$66,2,0))</f>
        <v>0</v>
      </c>
      <c r="BS104" s="318">
        <f ca="1">IF(TYPE(VLOOKUP($A104,'5.kolo'!$L$3:$L$66,1,0))&gt;3,IF(TYPE(VLOOKUP($A104,'5.kolo'!$O$3:$Q$66,3,0))&gt;3,0,VLOOKUP($A104,'5.kolo'!$O$3:$Q$66,3,0)),VLOOKUP($A104,'5.kolo'!$L$3:$N$66,3,0))</f>
        <v>0</v>
      </c>
      <c r="BT104" s="318">
        <f t="shared" ca="1" si="57"/>
        <v>0</v>
      </c>
      <c r="BU104" s="397"/>
      <c r="BV104" s="424" t="str">
        <f ca="1">IF(BU104="","",CONCATENATE(TEXT($O104,"0"),IF(Start.listina!$Y$5="","",TEXT(500+$P104,"000")),TEXT(999999*RAND(),"000000")))</f>
        <v/>
      </c>
      <c r="BW104" s="318">
        <f t="shared" ca="1" si="66"/>
        <v>0</v>
      </c>
      <c r="BZ104" s="318" t="str">
        <f ca="1">IF(TYPE(VLOOKUP($A104,'6.kolo'!$L$3:$L$66,1,0))&gt;3,IF(TYPE(VLOOKUP($A104,'6.kolo'!$K$3:$L$66,2,0))&gt;3,0,VLOOKUP($A104,'6.kolo'!$K$3:$L$66,2,0)),VLOOKUP($A104,'6.kolo'!$L$3:$O$66,4,0))</f>
        <v/>
      </c>
      <c r="CA104" s="318">
        <f ca="1">IF(TYPE(VLOOKUP($A104,'6.kolo'!$L$3:$L$66,1,0))&gt;3,IF(TYPE(VLOOKUP($A104,'6.kolo'!$O$3:$Q$66,2,0))&gt;3,0,VLOOKUP($A104,'6.kolo'!$O$3:$Q$66,2,0)),VLOOKUP($A104,'6.kolo'!$L$3:$N$66,2,0))</f>
        <v>0</v>
      </c>
      <c r="CB104" s="318">
        <f ca="1">IF(TYPE(VLOOKUP($A104,'6.kolo'!$L$3:$L$66,1,0))&gt;3,IF(TYPE(VLOOKUP($A104,'6.kolo'!$O$3:$Q$66,3,0))&gt;3,0,VLOOKUP($A104,'6.kolo'!$O$3:$Q$66,3,0)),VLOOKUP($A104,'6.kolo'!$L$3:$N$66,3,0))</f>
        <v>0</v>
      </c>
      <c r="CC104" s="318">
        <f t="shared" ca="1" si="58"/>
        <v>0</v>
      </c>
      <c r="CD104" s="397"/>
      <c r="CE104" s="424" t="str">
        <f ca="1">IF(CD104="","",CONCATENATE(TEXT($O104,"0"),IF(Start.listina!$Y$5="","",TEXT(500+$P104,"000")),TEXT(999999*RAND(),"000000")))</f>
        <v/>
      </c>
      <c r="CF104" s="318">
        <f t="shared" ca="1" si="67"/>
        <v>0</v>
      </c>
    </row>
    <row r="105" spans="1:84" x14ac:dyDescent="0.4">
      <c r="A105" s="318" t="str">
        <f ca="1">IF(OR(Start.listina!H113&gt;Start.listina!$K$7,Start.listina!G113=TRUE),"",Start.listina!H113)</f>
        <v/>
      </c>
      <c r="B105" s="318" t="str">
        <f ca="1">IF($A105&gt;Start.listina!$K$7,"",INT(($A105-1)/Start.listina!$O$7)+1)</f>
        <v/>
      </c>
      <c r="C105" s="421" t="str">
        <f ca="1">IF(OR(Start.listina!H113&gt;Start.listina!$K$7,Start.listina!G113=TRUE)," - ",Start.listina!AL113)</f>
        <v xml:space="preserve"> - </v>
      </c>
      <c r="D105" s="318" t="str">
        <f ca="1">IF(OR(A105&gt;Start.listina!$K$7,TYPE(VLOOKUP(A105,$V$3:$X$130,3,0))&gt;3),"",VLOOKUP(A105,$V$3:$X$130,3,0))</f>
        <v/>
      </c>
      <c r="E105" s="422" t="str">
        <f ca="1">IF(A105&gt;Start.listina!$K$7,"",IF(MIN(F105:K105)&gt;Start.listina!$Y$4,D105,MIN(F105:K105)))</f>
        <v/>
      </c>
      <c r="F105" s="318">
        <f ca="1">IF(TYPE(VLOOKUP(C105,Konečné_pořadí_1_16!$B$2:$D$17,3,0))&lt;4,VLOOKUP(C105,Konečné_pořadí_1_16!$B$2:$D$17,3,0),999)</f>
        <v>999</v>
      </c>
      <c r="G105" s="318">
        <f ca="1">IF(TYPE(VLOOKUP(C105,'KO64'!$D$4:$D$129,1,0))&lt;4,64,999)</f>
        <v>64</v>
      </c>
      <c r="H105" s="318">
        <f ca="1">IF(TYPE(VLOOKUP(C105,'KO32'!$D$4:$D$65,1,0))&lt;4,32,999)</f>
        <v>32</v>
      </c>
      <c r="I105" s="318">
        <f ca="1">IF(TYPE(VLOOKUP(C105,'KO16'!$D$4:$D$33,1,0))&lt;4,16,999)</f>
        <v>999</v>
      </c>
      <c r="J105" s="318">
        <f ca="1">IF(TYPE(VLOOKUP(C105,'KO8'!$D$4:$D$17,1,0))&lt;4,8,999)</f>
        <v>999</v>
      </c>
      <c r="K105" s="318">
        <f ca="1">IF(TYPE(VLOOKUP(C105,'KO4'!$D$4:$D$9,1,0))&lt;4,4,999)</f>
        <v>999</v>
      </c>
      <c r="M105" s="319">
        <v>103</v>
      </c>
      <c r="O105" s="318">
        <f t="shared" ca="1" si="42"/>
        <v>0</v>
      </c>
      <c r="P105" s="318">
        <f t="shared" ca="1" si="43"/>
        <v>0</v>
      </c>
      <c r="Q105" s="318">
        <f t="shared" ca="1" si="60"/>
        <v>2</v>
      </c>
      <c r="R105" s="318">
        <f t="shared" ca="1" si="61"/>
        <v>0</v>
      </c>
      <c r="S105" s="318">
        <f t="shared" ca="1" si="44"/>
        <v>18</v>
      </c>
      <c r="T105" s="318">
        <f t="shared" ca="1" si="45"/>
        <v>0</v>
      </c>
      <c r="U105" s="397">
        <f t="shared" si="59"/>
        <v>103</v>
      </c>
      <c r="V105" s="397" t="s">
        <v>1869</v>
      </c>
      <c r="W105" s="423" t="str">
        <f ca="1">IF($V105="","",CONCATENATE(TEXT($O105,"0"),IF(Start.listina!$Y$5="","",TEXT(500+$P105,"0000")),IF(Start.listina!$Y$6="","",CHOOSE(Start.listina!$Y$7,TEXT($Q105,"00"),CONCATENATE(TEXT($Q105,"00"),TEXT($S105,"000")), TEXT($R105,"00"))),TEXT(500+$P105,"0000"),IF(Start.listina!$Y$8="","",TEXT($T105,"0")),TEXT(999999*RAND(),"000000")))</f>
        <v/>
      </c>
      <c r="X105" s="399">
        <f t="shared" si="46"/>
        <v>103</v>
      </c>
      <c r="Y105" s="397">
        <f t="shared" ca="1" si="62"/>
        <v>0</v>
      </c>
      <c r="Z105" s="318">
        <f t="shared" ca="1" si="47"/>
        <v>57</v>
      </c>
      <c r="AA105" s="318" t="str">
        <f t="shared" ca="1" si="48"/>
        <v/>
      </c>
      <c r="AB105" s="318" t="str">
        <f t="shared" ca="1" si="49"/>
        <v/>
      </c>
      <c r="AC105" s="318" t="str">
        <f t="shared" ca="1" si="50"/>
        <v/>
      </c>
      <c r="AD105" s="318" t="str">
        <f t="shared" ca="1" si="51"/>
        <v/>
      </c>
      <c r="AE105" s="318" t="str">
        <f t="shared" ca="1" si="52"/>
        <v/>
      </c>
      <c r="AG105" s="318">
        <f ca="1">IF(TYPE(VLOOKUP($A105,'1.kolo'!$L$3:$L$66,1,0))&gt;3,VLOOKUP($A105,'1.kolo'!$K$3:$L$66,2,0),VLOOKUP($A105,'1.kolo'!$L$3:$O$66,4,0))</f>
        <v>57</v>
      </c>
      <c r="AH105" s="318">
        <f ca="1">IF(TYPE(VLOOKUP($A105,'1.kolo'!$L$3:$L$66,1,0))&gt;3,VLOOKUP($A105,'1.kolo'!$O$3:$Q$66,2,0),VLOOKUP($A105,'1.kolo'!$L$3:$N$66,2,0))</f>
        <v>0</v>
      </c>
      <c r="AI105" s="318">
        <f ca="1">IF(TYPE(VLOOKUP($A105,'1.kolo'!$L$3:$L$66,1,0))&gt;3,VLOOKUP($A105,'1.kolo'!$O$3:$Q$66,3,0),VLOOKUP($A105,'1.kolo'!$L$3:$N$66,3,0))</f>
        <v>0</v>
      </c>
      <c r="AJ105" s="318">
        <f t="shared" ca="1" si="53"/>
        <v>0</v>
      </c>
      <c r="AK105" s="318">
        <v>103</v>
      </c>
      <c r="AL105" s="424"/>
      <c r="AP105" s="318" t="str">
        <f ca="1">IF(TYPE(VLOOKUP($A105,'2.kolo'!$L$3:$L$66,1,0))&gt;3,IF(TYPE(VLOOKUP($A105,'2.kolo'!$K$3:$L$66,2,0))&gt;3,0,VLOOKUP($A105,'2.kolo'!$K$3:$L$66,2,0)),VLOOKUP($A105,'2.kolo'!$L$3:$O$66,4,0))</f>
        <v/>
      </c>
      <c r="AQ105" s="318">
        <f ca="1">IF(TYPE(VLOOKUP($A105,'2.kolo'!$L$3:$L$66,1,0))&gt;3,IF(TYPE(VLOOKUP($A105,'2.kolo'!$O$3:$Q$66,2,0))&gt;3,0,VLOOKUP($A105,'2.kolo'!$O$3:$Q$66,2,0)),VLOOKUP($A105,'2.kolo'!$L$3:$N$66,2,0))</f>
        <v>0</v>
      </c>
      <c r="AR105" s="318">
        <f ca="1">IF(TYPE(VLOOKUP($A105,'2.kolo'!$L$3:$L$66,1,0))&gt;3,IF(TYPE(VLOOKUP($A105,'2.kolo'!$O$3:$Q$66,3,0))&gt;3,0,VLOOKUP($A105,'2.kolo'!$O$3:$Q$66,3,0)),VLOOKUP($A105,'2.kolo'!$L$3:$N$66,3,0))</f>
        <v>0</v>
      </c>
      <c r="AS105" s="318">
        <f t="shared" ca="1" si="54"/>
        <v>0</v>
      </c>
      <c r="AT105" s="397" t="s">
        <v>1869</v>
      </c>
      <c r="AU105" s="424" t="str">
        <f ca="1">IF(AT105="","",CONCATENATE(TEXT($O105,"0"),IF(Start.listina!$Y$5="","",TEXT(500+$P105,"000")),TEXT(999999*RAND(),"000000")))</f>
        <v/>
      </c>
      <c r="AV105" s="318">
        <f t="shared" ca="1" si="63"/>
        <v>0</v>
      </c>
      <c r="AY105" s="318" t="str">
        <f ca="1">IF(TYPE(VLOOKUP($A105,'3.kolo'!$L$3:$L$66,1,0))&gt;3,IF(TYPE(VLOOKUP($A105,'3.kolo'!$K$3:$L$66,2,0))&gt;3,0,VLOOKUP($A105,'3.kolo'!$K$3:$L$66,2,0)),VLOOKUP($A105,'3.kolo'!$L$3:$O$66,4,0))</f>
        <v/>
      </c>
      <c r="AZ105" s="318">
        <f ca="1">IF(TYPE(VLOOKUP($A105,'3.kolo'!$L$3:$L$66,1,0))&gt;3,IF(TYPE(VLOOKUP($A105,'3.kolo'!$O$3:$Q$66,2,0))&gt;3,0,VLOOKUP($A105,'3.kolo'!$O$3:$Q$66,2,0)),VLOOKUP($A105,'3.kolo'!$L$3:$N$66,2,0))</f>
        <v>0</v>
      </c>
      <c r="BA105" s="318">
        <f ca="1">IF(TYPE(VLOOKUP($A105,'3.kolo'!$L$3:$L$66,1,0))&gt;3,IF(TYPE(VLOOKUP($A105,'3.kolo'!$O$3:$Q$66,3,0))&gt;3,0,VLOOKUP($A105,'3.kolo'!$O$3:$Q$66,3,0)),VLOOKUP($A105,'3.kolo'!$L$3:$N$66,3,0))</f>
        <v>0</v>
      </c>
      <c r="BB105" s="318">
        <f t="shared" ca="1" si="55"/>
        <v>0</v>
      </c>
      <c r="BC105" s="397" t="s">
        <v>1869</v>
      </c>
      <c r="BD105" s="424" t="str">
        <f ca="1">IF(BC105="","",CONCATENATE(TEXT($O105,"0"),IF(Start.listina!$Y$5="","",TEXT(500+$P105,"000")),TEXT(999999*RAND(),"000000")))</f>
        <v/>
      </c>
      <c r="BE105" s="318">
        <f t="shared" ca="1" si="64"/>
        <v>0</v>
      </c>
      <c r="BH105" s="318" t="str">
        <f ca="1">IF(TYPE(VLOOKUP($A105,'4.kolo'!$L$3:$L$66,1,0))&gt;3,IF(TYPE(VLOOKUP($A105,'4.kolo'!$K$3:$L$66,2,0))&gt;3,0,VLOOKUP($A105,'4.kolo'!$K$3:$L$66,2,0)),VLOOKUP($A105,'4.kolo'!$L$3:$O$66,4,0))</f>
        <v/>
      </c>
      <c r="BI105" s="318">
        <f ca="1">IF(TYPE(VLOOKUP($A105,'4.kolo'!$L$3:$L$66,1,0))&gt;3,IF(TYPE(VLOOKUP($A105,'4.kolo'!$O$3:$Q$66,2,0))&gt;3,0,VLOOKUP($A105,'4.kolo'!$O$3:$Q$66,2,0)),VLOOKUP($A105,'4.kolo'!$L$3:$N$66,2,0))</f>
        <v>0</v>
      </c>
      <c r="BJ105" s="318">
        <f ca="1">IF(TYPE(VLOOKUP($A105,'4.kolo'!$L$3:$L$66,1,0))&gt;3,IF(TYPE(VLOOKUP($A105,'4.kolo'!$O$3:$Q$66,3,0))&gt;3,0,VLOOKUP($A105,'4.kolo'!$O$3:$Q$66,3,0)),VLOOKUP($A105,'4.kolo'!$L$3:$N$66,3,0))</f>
        <v>0</v>
      </c>
      <c r="BK105" s="318">
        <f t="shared" ca="1" si="56"/>
        <v>0</v>
      </c>
      <c r="BL105" s="397" t="s">
        <v>1869</v>
      </c>
      <c r="BM105" s="424" t="str">
        <f ca="1">IF(BL105="","",CONCATENATE(TEXT($O105,"0"),IF(Start.listina!$Y$5="","",TEXT(500+$P105,"000")),TEXT(999999*RAND(),"000000")))</f>
        <v/>
      </c>
      <c r="BN105" s="318">
        <f t="shared" ca="1" si="65"/>
        <v>0</v>
      </c>
      <c r="BQ105" s="318" t="str">
        <f ca="1">IF(TYPE(VLOOKUP($A105,'5.kolo'!$L$3:$L$66,1,0))&gt;3,IF(TYPE(VLOOKUP($A105,'5.kolo'!$K$3:$L$66,2,0))&gt;3,0,VLOOKUP($A105,'5.kolo'!$K$3:$L$66,2,0)),VLOOKUP($A105,'5.kolo'!$L$3:$O$66,4,0))</f>
        <v/>
      </c>
      <c r="BR105" s="318">
        <f ca="1">IF(TYPE(VLOOKUP($A105,'5.kolo'!$L$3:$L$66,1,0))&gt;3,IF(TYPE(VLOOKUP($A105,'5.kolo'!$O$3:$Q$66,2,0))&gt;3,0,VLOOKUP($A105,'5.kolo'!$O$3:$Q$66,2,0)),VLOOKUP($A105,'5.kolo'!$L$3:$N$66,2,0))</f>
        <v>0</v>
      </c>
      <c r="BS105" s="318">
        <f ca="1">IF(TYPE(VLOOKUP($A105,'5.kolo'!$L$3:$L$66,1,0))&gt;3,IF(TYPE(VLOOKUP($A105,'5.kolo'!$O$3:$Q$66,3,0))&gt;3,0,VLOOKUP($A105,'5.kolo'!$O$3:$Q$66,3,0)),VLOOKUP($A105,'5.kolo'!$L$3:$N$66,3,0))</f>
        <v>0</v>
      </c>
      <c r="BT105" s="318">
        <f t="shared" ca="1" si="57"/>
        <v>0</v>
      </c>
      <c r="BU105" s="397"/>
      <c r="BV105" s="424" t="str">
        <f ca="1">IF(BU105="","",CONCATENATE(TEXT($O105,"0"),IF(Start.listina!$Y$5="","",TEXT(500+$P105,"000")),TEXT(999999*RAND(),"000000")))</f>
        <v/>
      </c>
      <c r="BW105" s="318">
        <f t="shared" ca="1" si="66"/>
        <v>0</v>
      </c>
      <c r="BZ105" s="318" t="str">
        <f ca="1">IF(TYPE(VLOOKUP($A105,'6.kolo'!$L$3:$L$66,1,0))&gt;3,IF(TYPE(VLOOKUP($A105,'6.kolo'!$K$3:$L$66,2,0))&gt;3,0,VLOOKUP($A105,'6.kolo'!$K$3:$L$66,2,0)),VLOOKUP($A105,'6.kolo'!$L$3:$O$66,4,0))</f>
        <v/>
      </c>
      <c r="CA105" s="318">
        <f ca="1">IF(TYPE(VLOOKUP($A105,'6.kolo'!$L$3:$L$66,1,0))&gt;3,IF(TYPE(VLOOKUP($A105,'6.kolo'!$O$3:$Q$66,2,0))&gt;3,0,VLOOKUP($A105,'6.kolo'!$O$3:$Q$66,2,0)),VLOOKUP($A105,'6.kolo'!$L$3:$N$66,2,0))</f>
        <v>0</v>
      </c>
      <c r="CB105" s="318">
        <f ca="1">IF(TYPE(VLOOKUP($A105,'6.kolo'!$L$3:$L$66,1,0))&gt;3,IF(TYPE(VLOOKUP($A105,'6.kolo'!$O$3:$Q$66,3,0))&gt;3,0,VLOOKUP($A105,'6.kolo'!$O$3:$Q$66,3,0)),VLOOKUP($A105,'6.kolo'!$L$3:$N$66,3,0))</f>
        <v>0</v>
      </c>
      <c r="CC105" s="318">
        <f t="shared" ca="1" si="58"/>
        <v>0</v>
      </c>
      <c r="CD105" s="397"/>
      <c r="CE105" s="424" t="str">
        <f ca="1">IF(CD105="","",CONCATENATE(TEXT($O105,"0"),IF(Start.listina!$Y$5="","",TEXT(500+$P105,"000")),TEXT(999999*RAND(),"000000")))</f>
        <v/>
      </c>
      <c r="CF105" s="318">
        <f t="shared" ca="1" si="67"/>
        <v>0</v>
      </c>
    </row>
    <row r="106" spans="1:84" x14ac:dyDescent="0.4">
      <c r="A106" s="318" t="str">
        <f ca="1">IF(OR(Start.listina!H114&gt;Start.listina!$K$7,Start.listina!G114=TRUE),"",Start.listina!H114)</f>
        <v/>
      </c>
      <c r="B106" s="318" t="str">
        <f ca="1">IF($A106&gt;Start.listina!$K$7,"",INT(($A106-1)/Start.listina!$O$7)+1)</f>
        <v/>
      </c>
      <c r="C106" s="421" t="str">
        <f ca="1">IF(OR(Start.listina!H114&gt;Start.listina!$K$7,Start.listina!G114=TRUE)," - ",Start.listina!AL114)</f>
        <v xml:space="preserve"> - </v>
      </c>
      <c r="D106" s="318" t="str">
        <f ca="1">IF(OR(A106&gt;Start.listina!$K$7,TYPE(VLOOKUP(A106,$V$3:$X$130,3,0))&gt;3),"",VLOOKUP(A106,$V$3:$X$130,3,0))</f>
        <v/>
      </c>
      <c r="E106" s="422" t="str">
        <f ca="1">IF(A106&gt;Start.listina!$K$7,"",IF(MIN(F106:K106)&gt;Start.listina!$Y$4,D106,MIN(F106:K106)))</f>
        <v/>
      </c>
      <c r="F106" s="318">
        <f ca="1">IF(TYPE(VLOOKUP(C106,Konečné_pořadí_1_16!$B$2:$D$17,3,0))&lt;4,VLOOKUP(C106,Konečné_pořadí_1_16!$B$2:$D$17,3,0),999)</f>
        <v>999</v>
      </c>
      <c r="G106" s="318">
        <f ca="1">IF(TYPE(VLOOKUP(C106,'KO64'!$D$4:$D$129,1,0))&lt;4,64,999)</f>
        <v>64</v>
      </c>
      <c r="H106" s="318">
        <f ca="1">IF(TYPE(VLOOKUP(C106,'KO32'!$D$4:$D$65,1,0))&lt;4,32,999)</f>
        <v>32</v>
      </c>
      <c r="I106" s="318">
        <f ca="1">IF(TYPE(VLOOKUP(C106,'KO16'!$D$4:$D$33,1,0))&lt;4,16,999)</f>
        <v>999</v>
      </c>
      <c r="J106" s="318">
        <f ca="1">IF(TYPE(VLOOKUP(C106,'KO8'!$D$4:$D$17,1,0))&lt;4,8,999)</f>
        <v>999</v>
      </c>
      <c r="K106" s="318">
        <f ca="1">IF(TYPE(VLOOKUP(C106,'KO4'!$D$4:$D$9,1,0))&lt;4,4,999)</f>
        <v>999</v>
      </c>
      <c r="M106" s="319">
        <v>104</v>
      </c>
      <c r="O106" s="318">
        <f t="shared" ca="1" si="42"/>
        <v>0</v>
      </c>
      <c r="P106" s="318">
        <f t="shared" ca="1" si="43"/>
        <v>0</v>
      </c>
      <c r="Q106" s="318">
        <f t="shared" ca="1" si="60"/>
        <v>2</v>
      </c>
      <c r="R106" s="318">
        <f t="shared" ca="1" si="61"/>
        <v>0</v>
      </c>
      <c r="S106" s="318">
        <f t="shared" ca="1" si="44"/>
        <v>18</v>
      </c>
      <c r="T106" s="318">
        <f t="shared" ca="1" si="45"/>
        <v>0</v>
      </c>
      <c r="U106" s="397">
        <f t="shared" si="59"/>
        <v>104</v>
      </c>
      <c r="V106" s="397" t="s">
        <v>1869</v>
      </c>
      <c r="W106" s="423" t="str">
        <f ca="1">IF($V106="","",CONCATENATE(TEXT($O106,"0"),IF(Start.listina!$Y$5="","",TEXT(500+$P106,"0000")),IF(Start.listina!$Y$6="","",CHOOSE(Start.listina!$Y$7,TEXT($Q106,"00"),CONCATENATE(TEXT($Q106,"00"),TEXT($S106,"000")), TEXT($R106,"00"))),TEXT(500+$P106,"0000"),IF(Start.listina!$Y$8="","",TEXT($T106,"0")),TEXT(999999*RAND(),"000000")))</f>
        <v/>
      </c>
      <c r="X106" s="399">
        <f t="shared" si="46"/>
        <v>104</v>
      </c>
      <c r="Y106" s="397">
        <f t="shared" ca="1" si="62"/>
        <v>0</v>
      </c>
      <c r="Z106" s="318">
        <f t="shared" ca="1" si="47"/>
        <v>57</v>
      </c>
      <c r="AA106" s="318" t="str">
        <f t="shared" ca="1" si="48"/>
        <v/>
      </c>
      <c r="AB106" s="318" t="str">
        <f t="shared" ca="1" si="49"/>
        <v/>
      </c>
      <c r="AC106" s="318" t="str">
        <f t="shared" ca="1" si="50"/>
        <v/>
      </c>
      <c r="AD106" s="318" t="str">
        <f t="shared" ca="1" si="51"/>
        <v/>
      </c>
      <c r="AE106" s="318" t="str">
        <f t="shared" ca="1" si="52"/>
        <v/>
      </c>
      <c r="AG106" s="318">
        <f ca="1">IF(TYPE(VLOOKUP($A106,'1.kolo'!$L$3:$L$66,1,0))&gt;3,VLOOKUP($A106,'1.kolo'!$K$3:$L$66,2,0),VLOOKUP($A106,'1.kolo'!$L$3:$O$66,4,0))</f>
        <v>57</v>
      </c>
      <c r="AH106" s="318">
        <f ca="1">IF(TYPE(VLOOKUP($A106,'1.kolo'!$L$3:$L$66,1,0))&gt;3,VLOOKUP($A106,'1.kolo'!$O$3:$Q$66,2,0),VLOOKUP($A106,'1.kolo'!$L$3:$N$66,2,0))</f>
        <v>0</v>
      </c>
      <c r="AI106" s="318">
        <f ca="1">IF(TYPE(VLOOKUP($A106,'1.kolo'!$L$3:$L$66,1,0))&gt;3,VLOOKUP($A106,'1.kolo'!$O$3:$Q$66,3,0),VLOOKUP($A106,'1.kolo'!$L$3:$N$66,3,0))</f>
        <v>0</v>
      </c>
      <c r="AJ106" s="318">
        <f t="shared" ca="1" si="53"/>
        <v>0</v>
      </c>
      <c r="AK106" s="318">
        <v>104</v>
      </c>
      <c r="AL106" s="424"/>
      <c r="AP106" s="318" t="str">
        <f ca="1">IF(TYPE(VLOOKUP($A106,'2.kolo'!$L$3:$L$66,1,0))&gt;3,IF(TYPE(VLOOKUP($A106,'2.kolo'!$K$3:$L$66,2,0))&gt;3,0,VLOOKUP($A106,'2.kolo'!$K$3:$L$66,2,0)),VLOOKUP($A106,'2.kolo'!$L$3:$O$66,4,0))</f>
        <v/>
      </c>
      <c r="AQ106" s="318">
        <f ca="1">IF(TYPE(VLOOKUP($A106,'2.kolo'!$L$3:$L$66,1,0))&gt;3,IF(TYPE(VLOOKUP($A106,'2.kolo'!$O$3:$Q$66,2,0))&gt;3,0,VLOOKUP($A106,'2.kolo'!$O$3:$Q$66,2,0)),VLOOKUP($A106,'2.kolo'!$L$3:$N$66,2,0))</f>
        <v>0</v>
      </c>
      <c r="AR106" s="318">
        <f ca="1">IF(TYPE(VLOOKUP($A106,'2.kolo'!$L$3:$L$66,1,0))&gt;3,IF(TYPE(VLOOKUP($A106,'2.kolo'!$O$3:$Q$66,3,0))&gt;3,0,VLOOKUP($A106,'2.kolo'!$O$3:$Q$66,3,0)),VLOOKUP($A106,'2.kolo'!$L$3:$N$66,3,0))</f>
        <v>0</v>
      </c>
      <c r="AS106" s="318">
        <f t="shared" ca="1" si="54"/>
        <v>0</v>
      </c>
      <c r="AT106" s="397" t="s">
        <v>1869</v>
      </c>
      <c r="AU106" s="424" t="str">
        <f ca="1">IF(AT106="","",CONCATENATE(TEXT($O106,"0"),IF(Start.listina!$Y$5="","",TEXT(500+$P106,"000")),TEXT(999999*RAND(),"000000")))</f>
        <v/>
      </c>
      <c r="AV106" s="318">
        <f t="shared" ca="1" si="63"/>
        <v>0</v>
      </c>
      <c r="AY106" s="318" t="str">
        <f ca="1">IF(TYPE(VLOOKUP($A106,'3.kolo'!$L$3:$L$66,1,0))&gt;3,IF(TYPE(VLOOKUP($A106,'3.kolo'!$K$3:$L$66,2,0))&gt;3,0,VLOOKUP($A106,'3.kolo'!$K$3:$L$66,2,0)),VLOOKUP($A106,'3.kolo'!$L$3:$O$66,4,0))</f>
        <v/>
      </c>
      <c r="AZ106" s="318">
        <f ca="1">IF(TYPE(VLOOKUP($A106,'3.kolo'!$L$3:$L$66,1,0))&gt;3,IF(TYPE(VLOOKUP($A106,'3.kolo'!$O$3:$Q$66,2,0))&gt;3,0,VLOOKUP($A106,'3.kolo'!$O$3:$Q$66,2,0)),VLOOKUP($A106,'3.kolo'!$L$3:$N$66,2,0))</f>
        <v>0</v>
      </c>
      <c r="BA106" s="318">
        <f ca="1">IF(TYPE(VLOOKUP($A106,'3.kolo'!$L$3:$L$66,1,0))&gt;3,IF(TYPE(VLOOKUP($A106,'3.kolo'!$O$3:$Q$66,3,0))&gt;3,0,VLOOKUP($A106,'3.kolo'!$O$3:$Q$66,3,0)),VLOOKUP($A106,'3.kolo'!$L$3:$N$66,3,0))</f>
        <v>0</v>
      </c>
      <c r="BB106" s="318">
        <f t="shared" ca="1" si="55"/>
        <v>0</v>
      </c>
      <c r="BC106" s="397" t="s">
        <v>1869</v>
      </c>
      <c r="BD106" s="424" t="str">
        <f ca="1">IF(BC106="","",CONCATENATE(TEXT($O106,"0"),IF(Start.listina!$Y$5="","",TEXT(500+$P106,"000")),TEXT(999999*RAND(),"000000")))</f>
        <v/>
      </c>
      <c r="BE106" s="318">
        <f t="shared" ca="1" si="64"/>
        <v>0</v>
      </c>
      <c r="BH106" s="318" t="str">
        <f ca="1">IF(TYPE(VLOOKUP($A106,'4.kolo'!$L$3:$L$66,1,0))&gt;3,IF(TYPE(VLOOKUP($A106,'4.kolo'!$K$3:$L$66,2,0))&gt;3,0,VLOOKUP($A106,'4.kolo'!$K$3:$L$66,2,0)),VLOOKUP($A106,'4.kolo'!$L$3:$O$66,4,0))</f>
        <v/>
      </c>
      <c r="BI106" s="318">
        <f ca="1">IF(TYPE(VLOOKUP($A106,'4.kolo'!$L$3:$L$66,1,0))&gt;3,IF(TYPE(VLOOKUP($A106,'4.kolo'!$O$3:$Q$66,2,0))&gt;3,0,VLOOKUP($A106,'4.kolo'!$O$3:$Q$66,2,0)),VLOOKUP($A106,'4.kolo'!$L$3:$N$66,2,0))</f>
        <v>0</v>
      </c>
      <c r="BJ106" s="318">
        <f ca="1">IF(TYPE(VLOOKUP($A106,'4.kolo'!$L$3:$L$66,1,0))&gt;3,IF(TYPE(VLOOKUP($A106,'4.kolo'!$O$3:$Q$66,3,0))&gt;3,0,VLOOKUP($A106,'4.kolo'!$O$3:$Q$66,3,0)),VLOOKUP($A106,'4.kolo'!$L$3:$N$66,3,0))</f>
        <v>0</v>
      </c>
      <c r="BK106" s="318">
        <f t="shared" ca="1" si="56"/>
        <v>0</v>
      </c>
      <c r="BL106" s="397" t="s">
        <v>1869</v>
      </c>
      <c r="BM106" s="424" t="str">
        <f ca="1">IF(BL106="","",CONCATENATE(TEXT($O106,"0"),IF(Start.listina!$Y$5="","",TEXT(500+$P106,"000")),TEXT(999999*RAND(),"000000")))</f>
        <v/>
      </c>
      <c r="BN106" s="318">
        <f t="shared" ca="1" si="65"/>
        <v>0</v>
      </c>
      <c r="BQ106" s="318" t="str">
        <f ca="1">IF(TYPE(VLOOKUP($A106,'5.kolo'!$L$3:$L$66,1,0))&gt;3,IF(TYPE(VLOOKUP($A106,'5.kolo'!$K$3:$L$66,2,0))&gt;3,0,VLOOKUP($A106,'5.kolo'!$K$3:$L$66,2,0)),VLOOKUP($A106,'5.kolo'!$L$3:$O$66,4,0))</f>
        <v/>
      </c>
      <c r="BR106" s="318">
        <f ca="1">IF(TYPE(VLOOKUP($A106,'5.kolo'!$L$3:$L$66,1,0))&gt;3,IF(TYPE(VLOOKUP($A106,'5.kolo'!$O$3:$Q$66,2,0))&gt;3,0,VLOOKUP($A106,'5.kolo'!$O$3:$Q$66,2,0)),VLOOKUP($A106,'5.kolo'!$L$3:$N$66,2,0))</f>
        <v>0</v>
      </c>
      <c r="BS106" s="318">
        <f ca="1">IF(TYPE(VLOOKUP($A106,'5.kolo'!$L$3:$L$66,1,0))&gt;3,IF(TYPE(VLOOKUP($A106,'5.kolo'!$O$3:$Q$66,3,0))&gt;3,0,VLOOKUP($A106,'5.kolo'!$O$3:$Q$66,3,0)),VLOOKUP($A106,'5.kolo'!$L$3:$N$66,3,0))</f>
        <v>0</v>
      </c>
      <c r="BT106" s="318">
        <f t="shared" ca="1" si="57"/>
        <v>0</v>
      </c>
      <c r="BU106" s="397"/>
      <c r="BV106" s="424" t="str">
        <f ca="1">IF(BU106="","",CONCATENATE(TEXT($O106,"0"),IF(Start.listina!$Y$5="","",TEXT(500+$P106,"000")),TEXT(999999*RAND(),"000000")))</f>
        <v/>
      </c>
      <c r="BW106" s="318">
        <f t="shared" ca="1" si="66"/>
        <v>0</v>
      </c>
      <c r="BZ106" s="318" t="str">
        <f ca="1">IF(TYPE(VLOOKUP($A106,'6.kolo'!$L$3:$L$66,1,0))&gt;3,IF(TYPE(VLOOKUP($A106,'6.kolo'!$K$3:$L$66,2,0))&gt;3,0,VLOOKUP($A106,'6.kolo'!$K$3:$L$66,2,0)),VLOOKUP($A106,'6.kolo'!$L$3:$O$66,4,0))</f>
        <v/>
      </c>
      <c r="CA106" s="318">
        <f ca="1">IF(TYPE(VLOOKUP($A106,'6.kolo'!$L$3:$L$66,1,0))&gt;3,IF(TYPE(VLOOKUP($A106,'6.kolo'!$O$3:$Q$66,2,0))&gt;3,0,VLOOKUP($A106,'6.kolo'!$O$3:$Q$66,2,0)),VLOOKUP($A106,'6.kolo'!$L$3:$N$66,2,0))</f>
        <v>0</v>
      </c>
      <c r="CB106" s="318">
        <f ca="1">IF(TYPE(VLOOKUP($A106,'6.kolo'!$L$3:$L$66,1,0))&gt;3,IF(TYPE(VLOOKUP($A106,'6.kolo'!$O$3:$Q$66,3,0))&gt;3,0,VLOOKUP($A106,'6.kolo'!$O$3:$Q$66,3,0)),VLOOKUP($A106,'6.kolo'!$L$3:$N$66,3,0))</f>
        <v>0</v>
      </c>
      <c r="CC106" s="318">
        <f t="shared" ca="1" si="58"/>
        <v>0</v>
      </c>
      <c r="CD106" s="397"/>
      <c r="CE106" s="424" t="str">
        <f ca="1">IF(CD106="","",CONCATENATE(TEXT($O106,"0"),IF(Start.listina!$Y$5="","",TEXT(500+$P106,"000")),TEXT(999999*RAND(),"000000")))</f>
        <v/>
      </c>
      <c r="CF106" s="318">
        <f t="shared" ca="1" si="67"/>
        <v>0</v>
      </c>
    </row>
    <row r="107" spans="1:84" x14ac:dyDescent="0.4">
      <c r="A107" s="318" t="str">
        <f ca="1">IF(OR(Start.listina!H115&gt;Start.listina!$K$7,Start.listina!G115=TRUE),"",Start.listina!H115)</f>
        <v/>
      </c>
      <c r="B107" s="318" t="str">
        <f ca="1">IF($A107&gt;Start.listina!$K$7,"",INT(($A107-1)/Start.listina!$O$7)+1)</f>
        <v/>
      </c>
      <c r="C107" s="421" t="str">
        <f ca="1">IF(OR(Start.listina!H115&gt;Start.listina!$K$7,Start.listina!G115=TRUE)," - ",Start.listina!AL115)</f>
        <v xml:space="preserve"> - </v>
      </c>
      <c r="D107" s="318" t="str">
        <f ca="1">IF(OR(A107&gt;Start.listina!$K$7,TYPE(VLOOKUP(A107,$V$3:$X$130,3,0))&gt;3),"",VLOOKUP(A107,$V$3:$X$130,3,0))</f>
        <v/>
      </c>
      <c r="E107" s="422" t="str">
        <f ca="1">IF(A107&gt;Start.listina!$K$7,"",IF(MIN(F107:K107)&gt;Start.listina!$Y$4,D107,MIN(F107:K107)))</f>
        <v/>
      </c>
      <c r="F107" s="318">
        <f ca="1">IF(TYPE(VLOOKUP(C107,Konečné_pořadí_1_16!$B$2:$D$17,3,0))&lt;4,VLOOKUP(C107,Konečné_pořadí_1_16!$B$2:$D$17,3,0),999)</f>
        <v>999</v>
      </c>
      <c r="G107" s="318">
        <f ca="1">IF(TYPE(VLOOKUP(C107,'KO64'!$D$4:$D$129,1,0))&lt;4,64,999)</f>
        <v>64</v>
      </c>
      <c r="H107" s="318">
        <f ca="1">IF(TYPE(VLOOKUP(C107,'KO32'!$D$4:$D$65,1,0))&lt;4,32,999)</f>
        <v>32</v>
      </c>
      <c r="I107" s="318">
        <f ca="1">IF(TYPE(VLOOKUP(C107,'KO16'!$D$4:$D$33,1,0))&lt;4,16,999)</f>
        <v>999</v>
      </c>
      <c r="J107" s="318">
        <f ca="1">IF(TYPE(VLOOKUP(C107,'KO8'!$D$4:$D$17,1,0))&lt;4,8,999)</f>
        <v>999</v>
      </c>
      <c r="K107" s="318">
        <f ca="1">IF(TYPE(VLOOKUP(C107,'KO4'!$D$4:$D$9,1,0))&lt;4,4,999)</f>
        <v>999</v>
      </c>
      <c r="M107" s="319">
        <v>105</v>
      </c>
      <c r="O107" s="318">
        <f t="shared" ca="1" si="42"/>
        <v>0</v>
      </c>
      <c r="P107" s="318">
        <f t="shared" ca="1" si="43"/>
        <v>0</v>
      </c>
      <c r="Q107" s="318">
        <f t="shared" ca="1" si="60"/>
        <v>2</v>
      </c>
      <c r="R107" s="318">
        <f t="shared" ca="1" si="61"/>
        <v>0</v>
      </c>
      <c r="S107" s="318">
        <f t="shared" ca="1" si="44"/>
        <v>18</v>
      </c>
      <c r="T107" s="318">
        <f t="shared" ca="1" si="45"/>
        <v>0</v>
      </c>
      <c r="U107" s="397">
        <f t="shared" si="59"/>
        <v>105</v>
      </c>
      <c r="V107" s="397" t="s">
        <v>1869</v>
      </c>
      <c r="W107" s="423" t="str">
        <f ca="1">IF($V107="","",CONCATENATE(TEXT($O107,"0"),IF(Start.listina!$Y$5="","",TEXT(500+$P107,"0000")),IF(Start.listina!$Y$6="","",CHOOSE(Start.listina!$Y$7,TEXT($Q107,"00"),CONCATENATE(TEXT($Q107,"00"),TEXT($S107,"000")), TEXT($R107,"00"))),TEXT(500+$P107,"0000"),IF(Start.listina!$Y$8="","",TEXT($T107,"0")),TEXT(999999*RAND(),"000000")))</f>
        <v/>
      </c>
      <c r="X107" s="399">
        <f t="shared" si="46"/>
        <v>105</v>
      </c>
      <c r="Y107" s="397">
        <f t="shared" ca="1" si="62"/>
        <v>0</v>
      </c>
      <c r="Z107" s="318">
        <f t="shared" ca="1" si="47"/>
        <v>57</v>
      </c>
      <c r="AA107" s="318" t="str">
        <f t="shared" ca="1" si="48"/>
        <v/>
      </c>
      <c r="AB107" s="318" t="str">
        <f t="shared" ca="1" si="49"/>
        <v/>
      </c>
      <c r="AC107" s="318" t="str">
        <f t="shared" ca="1" si="50"/>
        <v/>
      </c>
      <c r="AD107" s="318" t="str">
        <f t="shared" ca="1" si="51"/>
        <v/>
      </c>
      <c r="AE107" s="318" t="str">
        <f t="shared" ca="1" si="52"/>
        <v/>
      </c>
      <c r="AG107" s="318">
        <f ca="1">IF(TYPE(VLOOKUP($A107,'1.kolo'!$L$3:$L$66,1,0))&gt;3,VLOOKUP($A107,'1.kolo'!$K$3:$L$66,2,0),VLOOKUP($A107,'1.kolo'!$L$3:$O$66,4,0))</f>
        <v>57</v>
      </c>
      <c r="AH107" s="318">
        <f ca="1">IF(TYPE(VLOOKUP($A107,'1.kolo'!$L$3:$L$66,1,0))&gt;3,VLOOKUP($A107,'1.kolo'!$O$3:$Q$66,2,0),VLOOKUP($A107,'1.kolo'!$L$3:$N$66,2,0))</f>
        <v>0</v>
      </c>
      <c r="AI107" s="318">
        <f ca="1">IF(TYPE(VLOOKUP($A107,'1.kolo'!$L$3:$L$66,1,0))&gt;3,VLOOKUP($A107,'1.kolo'!$O$3:$Q$66,3,0),VLOOKUP($A107,'1.kolo'!$L$3:$N$66,3,0))</f>
        <v>0</v>
      </c>
      <c r="AJ107" s="318">
        <f t="shared" ca="1" si="53"/>
        <v>0</v>
      </c>
      <c r="AK107" s="318">
        <v>105</v>
      </c>
      <c r="AL107" s="424"/>
      <c r="AP107" s="318" t="str">
        <f ca="1">IF(TYPE(VLOOKUP($A107,'2.kolo'!$L$3:$L$66,1,0))&gt;3,IF(TYPE(VLOOKUP($A107,'2.kolo'!$K$3:$L$66,2,0))&gt;3,0,VLOOKUP($A107,'2.kolo'!$K$3:$L$66,2,0)),VLOOKUP($A107,'2.kolo'!$L$3:$O$66,4,0))</f>
        <v/>
      </c>
      <c r="AQ107" s="318">
        <f ca="1">IF(TYPE(VLOOKUP($A107,'2.kolo'!$L$3:$L$66,1,0))&gt;3,IF(TYPE(VLOOKUP($A107,'2.kolo'!$O$3:$Q$66,2,0))&gt;3,0,VLOOKUP($A107,'2.kolo'!$O$3:$Q$66,2,0)),VLOOKUP($A107,'2.kolo'!$L$3:$N$66,2,0))</f>
        <v>0</v>
      </c>
      <c r="AR107" s="318">
        <f ca="1">IF(TYPE(VLOOKUP($A107,'2.kolo'!$L$3:$L$66,1,0))&gt;3,IF(TYPE(VLOOKUP($A107,'2.kolo'!$O$3:$Q$66,3,0))&gt;3,0,VLOOKUP($A107,'2.kolo'!$O$3:$Q$66,3,0)),VLOOKUP($A107,'2.kolo'!$L$3:$N$66,3,0))</f>
        <v>0</v>
      </c>
      <c r="AS107" s="318">
        <f t="shared" ca="1" si="54"/>
        <v>0</v>
      </c>
      <c r="AT107" s="397" t="s">
        <v>1869</v>
      </c>
      <c r="AU107" s="424" t="str">
        <f ca="1">IF(AT107="","",CONCATENATE(TEXT($O107,"0"),IF(Start.listina!$Y$5="","",TEXT(500+$P107,"000")),TEXT(999999*RAND(),"000000")))</f>
        <v/>
      </c>
      <c r="AV107" s="318">
        <f t="shared" ca="1" si="63"/>
        <v>0</v>
      </c>
      <c r="AY107" s="318" t="str">
        <f ca="1">IF(TYPE(VLOOKUP($A107,'3.kolo'!$L$3:$L$66,1,0))&gt;3,IF(TYPE(VLOOKUP($A107,'3.kolo'!$K$3:$L$66,2,0))&gt;3,0,VLOOKUP($A107,'3.kolo'!$K$3:$L$66,2,0)),VLOOKUP($A107,'3.kolo'!$L$3:$O$66,4,0))</f>
        <v/>
      </c>
      <c r="AZ107" s="318">
        <f ca="1">IF(TYPE(VLOOKUP($A107,'3.kolo'!$L$3:$L$66,1,0))&gt;3,IF(TYPE(VLOOKUP($A107,'3.kolo'!$O$3:$Q$66,2,0))&gt;3,0,VLOOKUP($A107,'3.kolo'!$O$3:$Q$66,2,0)),VLOOKUP($A107,'3.kolo'!$L$3:$N$66,2,0))</f>
        <v>0</v>
      </c>
      <c r="BA107" s="318">
        <f ca="1">IF(TYPE(VLOOKUP($A107,'3.kolo'!$L$3:$L$66,1,0))&gt;3,IF(TYPE(VLOOKUP($A107,'3.kolo'!$O$3:$Q$66,3,0))&gt;3,0,VLOOKUP($A107,'3.kolo'!$O$3:$Q$66,3,0)),VLOOKUP($A107,'3.kolo'!$L$3:$N$66,3,0))</f>
        <v>0</v>
      </c>
      <c r="BB107" s="318">
        <f t="shared" ca="1" si="55"/>
        <v>0</v>
      </c>
      <c r="BC107" s="397" t="s">
        <v>1869</v>
      </c>
      <c r="BD107" s="424" t="str">
        <f ca="1">IF(BC107="","",CONCATENATE(TEXT($O107,"0"),IF(Start.listina!$Y$5="","",TEXT(500+$P107,"000")),TEXT(999999*RAND(),"000000")))</f>
        <v/>
      </c>
      <c r="BE107" s="318">
        <f t="shared" ca="1" si="64"/>
        <v>0</v>
      </c>
      <c r="BH107" s="318" t="str">
        <f ca="1">IF(TYPE(VLOOKUP($A107,'4.kolo'!$L$3:$L$66,1,0))&gt;3,IF(TYPE(VLOOKUP($A107,'4.kolo'!$K$3:$L$66,2,0))&gt;3,0,VLOOKUP($A107,'4.kolo'!$K$3:$L$66,2,0)),VLOOKUP($A107,'4.kolo'!$L$3:$O$66,4,0))</f>
        <v/>
      </c>
      <c r="BI107" s="318">
        <f ca="1">IF(TYPE(VLOOKUP($A107,'4.kolo'!$L$3:$L$66,1,0))&gt;3,IF(TYPE(VLOOKUP($A107,'4.kolo'!$O$3:$Q$66,2,0))&gt;3,0,VLOOKUP($A107,'4.kolo'!$O$3:$Q$66,2,0)),VLOOKUP($A107,'4.kolo'!$L$3:$N$66,2,0))</f>
        <v>0</v>
      </c>
      <c r="BJ107" s="318">
        <f ca="1">IF(TYPE(VLOOKUP($A107,'4.kolo'!$L$3:$L$66,1,0))&gt;3,IF(TYPE(VLOOKUP($A107,'4.kolo'!$O$3:$Q$66,3,0))&gt;3,0,VLOOKUP($A107,'4.kolo'!$O$3:$Q$66,3,0)),VLOOKUP($A107,'4.kolo'!$L$3:$N$66,3,0))</f>
        <v>0</v>
      </c>
      <c r="BK107" s="318">
        <f t="shared" ca="1" si="56"/>
        <v>0</v>
      </c>
      <c r="BL107" s="397" t="s">
        <v>1869</v>
      </c>
      <c r="BM107" s="424" t="str">
        <f ca="1">IF(BL107="","",CONCATENATE(TEXT($O107,"0"),IF(Start.listina!$Y$5="","",TEXT(500+$P107,"000")),TEXT(999999*RAND(),"000000")))</f>
        <v/>
      </c>
      <c r="BN107" s="318">
        <f t="shared" ca="1" si="65"/>
        <v>0</v>
      </c>
      <c r="BQ107" s="318" t="str">
        <f ca="1">IF(TYPE(VLOOKUP($A107,'5.kolo'!$L$3:$L$66,1,0))&gt;3,IF(TYPE(VLOOKUP($A107,'5.kolo'!$K$3:$L$66,2,0))&gt;3,0,VLOOKUP($A107,'5.kolo'!$K$3:$L$66,2,0)),VLOOKUP($A107,'5.kolo'!$L$3:$O$66,4,0))</f>
        <v/>
      </c>
      <c r="BR107" s="318">
        <f ca="1">IF(TYPE(VLOOKUP($A107,'5.kolo'!$L$3:$L$66,1,0))&gt;3,IF(TYPE(VLOOKUP($A107,'5.kolo'!$O$3:$Q$66,2,0))&gt;3,0,VLOOKUP($A107,'5.kolo'!$O$3:$Q$66,2,0)),VLOOKUP($A107,'5.kolo'!$L$3:$N$66,2,0))</f>
        <v>0</v>
      </c>
      <c r="BS107" s="318">
        <f ca="1">IF(TYPE(VLOOKUP($A107,'5.kolo'!$L$3:$L$66,1,0))&gt;3,IF(TYPE(VLOOKUP($A107,'5.kolo'!$O$3:$Q$66,3,0))&gt;3,0,VLOOKUP($A107,'5.kolo'!$O$3:$Q$66,3,0)),VLOOKUP($A107,'5.kolo'!$L$3:$N$66,3,0))</f>
        <v>0</v>
      </c>
      <c r="BT107" s="318">
        <f t="shared" ca="1" si="57"/>
        <v>0</v>
      </c>
      <c r="BU107" s="397"/>
      <c r="BV107" s="424" t="str">
        <f ca="1">IF(BU107="","",CONCATENATE(TEXT($O107,"0"),IF(Start.listina!$Y$5="","",TEXT(500+$P107,"000")),TEXT(999999*RAND(),"000000")))</f>
        <v/>
      </c>
      <c r="BW107" s="318">
        <f t="shared" ca="1" si="66"/>
        <v>0</v>
      </c>
      <c r="BZ107" s="318" t="str">
        <f ca="1">IF(TYPE(VLOOKUP($A107,'6.kolo'!$L$3:$L$66,1,0))&gt;3,IF(TYPE(VLOOKUP($A107,'6.kolo'!$K$3:$L$66,2,0))&gt;3,0,VLOOKUP($A107,'6.kolo'!$K$3:$L$66,2,0)),VLOOKUP($A107,'6.kolo'!$L$3:$O$66,4,0))</f>
        <v/>
      </c>
      <c r="CA107" s="318">
        <f ca="1">IF(TYPE(VLOOKUP($A107,'6.kolo'!$L$3:$L$66,1,0))&gt;3,IF(TYPE(VLOOKUP($A107,'6.kolo'!$O$3:$Q$66,2,0))&gt;3,0,VLOOKUP($A107,'6.kolo'!$O$3:$Q$66,2,0)),VLOOKUP($A107,'6.kolo'!$L$3:$N$66,2,0))</f>
        <v>0</v>
      </c>
      <c r="CB107" s="318">
        <f ca="1">IF(TYPE(VLOOKUP($A107,'6.kolo'!$L$3:$L$66,1,0))&gt;3,IF(TYPE(VLOOKUP($A107,'6.kolo'!$O$3:$Q$66,3,0))&gt;3,0,VLOOKUP($A107,'6.kolo'!$O$3:$Q$66,3,0)),VLOOKUP($A107,'6.kolo'!$L$3:$N$66,3,0))</f>
        <v>0</v>
      </c>
      <c r="CC107" s="318">
        <f t="shared" ca="1" si="58"/>
        <v>0</v>
      </c>
      <c r="CD107" s="397"/>
      <c r="CE107" s="424" t="str">
        <f ca="1">IF(CD107="","",CONCATENATE(TEXT($O107,"0"),IF(Start.listina!$Y$5="","",TEXT(500+$P107,"000")),TEXT(999999*RAND(),"000000")))</f>
        <v/>
      </c>
      <c r="CF107" s="318">
        <f t="shared" ca="1" si="67"/>
        <v>0</v>
      </c>
    </row>
    <row r="108" spans="1:84" x14ac:dyDescent="0.4">
      <c r="A108" s="318" t="str">
        <f ca="1">IF(OR(Start.listina!H116&gt;Start.listina!$K$7,Start.listina!G116=TRUE),"",Start.listina!H116)</f>
        <v/>
      </c>
      <c r="B108" s="318" t="str">
        <f ca="1">IF($A108&gt;Start.listina!$K$7,"",INT(($A108-1)/Start.listina!$O$7)+1)</f>
        <v/>
      </c>
      <c r="C108" s="421" t="str">
        <f ca="1">IF(OR(Start.listina!H116&gt;Start.listina!$K$7,Start.listina!G116=TRUE)," - ",Start.listina!AL116)</f>
        <v xml:space="preserve"> - </v>
      </c>
      <c r="D108" s="318" t="str">
        <f ca="1">IF(OR(A108&gt;Start.listina!$K$7,TYPE(VLOOKUP(A108,$V$3:$X$130,3,0))&gt;3),"",VLOOKUP(A108,$V$3:$X$130,3,0))</f>
        <v/>
      </c>
      <c r="E108" s="422" t="str">
        <f ca="1">IF(A108&gt;Start.listina!$K$7,"",IF(MIN(F108:K108)&gt;Start.listina!$Y$4,D108,MIN(F108:K108)))</f>
        <v/>
      </c>
      <c r="F108" s="318">
        <f ca="1">IF(TYPE(VLOOKUP(C108,Konečné_pořadí_1_16!$B$2:$D$17,3,0))&lt;4,VLOOKUP(C108,Konečné_pořadí_1_16!$B$2:$D$17,3,0),999)</f>
        <v>999</v>
      </c>
      <c r="G108" s="318">
        <f ca="1">IF(TYPE(VLOOKUP(C108,'KO64'!$D$4:$D$129,1,0))&lt;4,64,999)</f>
        <v>64</v>
      </c>
      <c r="H108" s="318">
        <f ca="1">IF(TYPE(VLOOKUP(C108,'KO32'!$D$4:$D$65,1,0))&lt;4,32,999)</f>
        <v>32</v>
      </c>
      <c r="I108" s="318">
        <f ca="1">IF(TYPE(VLOOKUP(C108,'KO16'!$D$4:$D$33,1,0))&lt;4,16,999)</f>
        <v>999</v>
      </c>
      <c r="J108" s="318">
        <f ca="1">IF(TYPE(VLOOKUP(C108,'KO8'!$D$4:$D$17,1,0))&lt;4,8,999)</f>
        <v>999</v>
      </c>
      <c r="K108" s="318">
        <f ca="1">IF(TYPE(VLOOKUP(C108,'KO4'!$D$4:$D$9,1,0))&lt;4,4,999)</f>
        <v>999</v>
      </c>
      <c r="M108" s="319">
        <v>106</v>
      </c>
      <c r="O108" s="318">
        <f t="shared" ca="1" si="42"/>
        <v>0</v>
      </c>
      <c r="P108" s="318">
        <f t="shared" ca="1" si="43"/>
        <v>0</v>
      </c>
      <c r="Q108" s="318">
        <f t="shared" ca="1" si="60"/>
        <v>2</v>
      </c>
      <c r="R108" s="318">
        <f t="shared" ca="1" si="61"/>
        <v>0</v>
      </c>
      <c r="S108" s="318">
        <f t="shared" ca="1" si="44"/>
        <v>18</v>
      </c>
      <c r="T108" s="318">
        <f t="shared" ca="1" si="45"/>
        <v>0</v>
      </c>
      <c r="U108" s="397">
        <f t="shared" si="59"/>
        <v>106</v>
      </c>
      <c r="V108" s="397" t="s">
        <v>1869</v>
      </c>
      <c r="W108" s="423" t="str">
        <f ca="1">IF($V108="","",CONCATENATE(TEXT($O108,"0"),IF(Start.listina!$Y$5="","",TEXT(500+$P108,"0000")),IF(Start.listina!$Y$6="","",CHOOSE(Start.listina!$Y$7,TEXT($Q108,"00"),CONCATENATE(TEXT($Q108,"00"),TEXT($S108,"000")), TEXT($R108,"00"))),TEXT(500+$P108,"0000"),IF(Start.listina!$Y$8="","",TEXT($T108,"0")),TEXT(999999*RAND(),"000000")))</f>
        <v/>
      </c>
      <c r="X108" s="399">
        <f t="shared" si="46"/>
        <v>106</v>
      </c>
      <c r="Y108" s="397">
        <f t="shared" ca="1" si="62"/>
        <v>0</v>
      </c>
      <c r="Z108" s="318">
        <f t="shared" ca="1" si="47"/>
        <v>57</v>
      </c>
      <c r="AA108" s="318" t="str">
        <f t="shared" ca="1" si="48"/>
        <v/>
      </c>
      <c r="AB108" s="318" t="str">
        <f t="shared" ca="1" si="49"/>
        <v/>
      </c>
      <c r="AC108" s="318" t="str">
        <f t="shared" ca="1" si="50"/>
        <v/>
      </c>
      <c r="AD108" s="318" t="str">
        <f t="shared" ca="1" si="51"/>
        <v/>
      </c>
      <c r="AE108" s="318" t="str">
        <f t="shared" ca="1" si="52"/>
        <v/>
      </c>
      <c r="AG108" s="318">
        <f ca="1">IF(TYPE(VLOOKUP($A108,'1.kolo'!$L$3:$L$66,1,0))&gt;3,VLOOKUP($A108,'1.kolo'!$K$3:$L$66,2,0),VLOOKUP($A108,'1.kolo'!$L$3:$O$66,4,0))</f>
        <v>57</v>
      </c>
      <c r="AH108" s="318">
        <f ca="1">IF(TYPE(VLOOKUP($A108,'1.kolo'!$L$3:$L$66,1,0))&gt;3,VLOOKUP($A108,'1.kolo'!$O$3:$Q$66,2,0),VLOOKUP($A108,'1.kolo'!$L$3:$N$66,2,0))</f>
        <v>0</v>
      </c>
      <c r="AI108" s="318">
        <f ca="1">IF(TYPE(VLOOKUP($A108,'1.kolo'!$L$3:$L$66,1,0))&gt;3,VLOOKUP($A108,'1.kolo'!$O$3:$Q$66,3,0),VLOOKUP($A108,'1.kolo'!$L$3:$N$66,3,0))</f>
        <v>0</v>
      </c>
      <c r="AJ108" s="318">
        <f t="shared" ca="1" si="53"/>
        <v>0</v>
      </c>
      <c r="AK108" s="318">
        <v>106</v>
      </c>
      <c r="AL108" s="424"/>
      <c r="AP108" s="318" t="str">
        <f ca="1">IF(TYPE(VLOOKUP($A108,'2.kolo'!$L$3:$L$66,1,0))&gt;3,IF(TYPE(VLOOKUP($A108,'2.kolo'!$K$3:$L$66,2,0))&gt;3,0,VLOOKUP($A108,'2.kolo'!$K$3:$L$66,2,0)),VLOOKUP($A108,'2.kolo'!$L$3:$O$66,4,0))</f>
        <v/>
      </c>
      <c r="AQ108" s="318">
        <f ca="1">IF(TYPE(VLOOKUP($A108,'2.kolo'!$L$3:$L$66,1,0))&gt;3,IF(TYPE(VLOOKUP($A108,'2.kolo'!$O$3:$Q$66,2,0))&gt;3,0,VLOOKUP($A108,'2.kolo'!$O$3:$Q$66,2,0)),VLOOKUP($A108,'2.kolo'!$L$3:$N$66,2,0))</f>
        <v>0</v>
      </c>
      <c r="AR108" s="318">
        <f ca="1">IF(TYPE(VLOOKUP($A108,'2.kolo'!$L$3:$L$66,1,0))&gt;3,IF(TYPE(VLOOKUP($A108,'2.kolo'!$O$3:$Q$66,3,0))&gt;3,0,VLOOKUP($A108,'2.kolo'!$O$3:$Q$66,3,0)),VLOOKUP($A108,'2.kolo'!$L$3:$N$66,3,0))</f>
        <v>0</v>
      </c>
      <c r="AS108" s="318">
        <f t="shared" ca="1" si="54"/>
        <v>0</v>
      </c>
      <c r="AT108" s="397" t="s">
        <v>1869</v>
      </c>
      <c r="AU108" s="424" t="str">
        <f ca="1">IF(AT108="","",CONCATENATE(TEXT($O108,"0"),IF(Start.listina!$Y$5="","",TEXT(500+$P108,"000")),TEXT(999999*RAND(),"000000")))</f>
        <v/>
      </c>
      <c r="AV108" s="318">
        <f t="shared" ca="1" si="63"/>
        <v>0</v>
      </c>
      <c r="AY108" s="318" t="str">
        <f ca="1">IF(TYPE(VLOOKUP($A108,'3.kolo'!$L$3:$L$66,1,0))&gt;3,IF(TYPE(VLOOKUP($A108,'3.kolo'!$K$3:$L$66,2,0))&gt;3,0,VLOOKUP($A108,'3.kolo'!$K$3:$L$66,2,0)),VLOOKUP($A108,'3.kolo'!$L$3:$O$66,4,0))</f>
        <v/>
      </c>
      <c r="AZ108" s="318">
        <f ca="1">IF(TYPE(VLOOKUP($A108,'3.kolo'!$L$3:$L$66,1,0))&gt;3,IF(TYPE(VLOOKUP($A108,'3.kolo'!$O$3:$Q$66,2,0))&gt;3,0,VLOOKUP($A108,'3.kolo'!$O$3:$Q$66,2,0)),VLOOKUP($A108,'3.kolo'!$L$3:$N$66,2,0))</f>
        <v>0</v>
      </c>
      <c r="BA108" s="318">
        <f ca="1">IF(TYPE(VLOOKUP($A108,'3.kolo'!$L$3:$L$66,1,0))&gt;3,IF(TYPE(VLOOKUP($A108,'3.kolo'!$O$3:$Q$66,3,0))&gt;3,0,VLOOKUP($A108,'3.kolo'!$O$3:$Q$66,3,0)),VLOOKUP($A108,'3.kolo'!$L$3:$N$66,3,0))</f>
        <v>0</v>
      </c>
      <c r="BB108" s="318">
        <f t="shared" ca="1" si="55"/>
        <v>0</v>
      </c>
      <c r="BC108" s="397" t="s">
        <v>1869</v>
      </c>
      <c r="BD108" s="424" t="str">
        <f ca="1">IF(BC108="","",CONCATENATE(TEXT($O108,"0"),IF(Start.listina!$Y$5="","",TEXT(500+$P108,"000")),TEXT(999999*RAND(),"000000")))</f>
        <v/>
      </c>
      <c r="BE108" s="318">
        <f t="shared" ca="1" si="64"/>
        <v>0</v>
      </c>
      <c r="BH108" s="318" t="str">
        <f ca="1">IF(TYPE(VLOOKUP($A108,'4.kolo'!$L$3:$L$66,1,0))&gt;3,IF(TYPE(VLOOKUP($A108,'4.kolo'!$K$3:$L$66,2,0))&gt;3,0,VLOOKUP($A108,'4.kolo'!$K$3:$L$66,2,0)),VLOOKUP($A108,'4.kolo'!$L$3:$O$66,4,0))</f>
        <v/>
      </c>
      <c r="BI108" s="318">
        <f ca="1">IF(TYPE(VLOOKUP($A108,'4.kolo'!$L$3:$L$66,1,0))&gt;3,IF(TYPE(VLOOKUP($A108,'4.kolo'!$O$3:$Q$66,2,0))&gt;3,0,VLOOKUP($A108,'4.kolo'!$O$3:$Q$66,2,0)),VLOOKUP($A108,'4.kolo'!$L$3:$N$66,2,0))</f>
        <v>0</v>
      </c>
      <c r="BJ108" s="318">
        <f ca="1">IF(TYPE(VLOOKUP($A108,'4.kolo'!$L$3:$L$66,1,0))&gt;3,IF(TYPE(VLOOKUP($A108,'4.kolo'!$O$3:$Q$66,3,0))&gt;3,0,VLOOKUP($A108,'4.kolo'!$O$3:$Q$66,3,0)),VLOOKUP($A108,'4.kolo'!$L$3:$N$66,3,0))</f>
        <v>0</v>
      </c>
      <c r="BK108" s="318">
        <f t="shared" ca="1" si="56"/>
        <v>0</v>
      </c>
      <c r="BL108" s="397" t="s">
        <v>1869</v>
      </c>
      <c r="BM108" s="424" t="str">
        <f ca="1">IF(BL108="","",CONCATENATE(TEXT($O108,"0"),IF(Start.listina!$Y$5="","",TEXT(500+$P108,"000")),TEXT(999999*RAND(),"000000")))</f>
        <v/>
      </c>
      <c r="BN108" s="318">
        <f t="shared" ca="1" si="65"/>
        <v>0</v>
      </c>
      <c r="BQ108" s="318" t="str">
        <f ca="1">IF(TYPE(VLOOKUP($A108,'5.kolo'!$L$3:$L$66,1,0))&gt;3,IF(TYPE(VLOOKUP($A108,'5.kolo'!$K$3:$L$66,2,0))&gt;3,0,VLOOKUP($A108,'5.kolo'!$K$3:$L$66,2,0)),VLOOKUP($A108,'5.kolo'!$L$3:$O$66,4,0))</f>
        <v/>
      </c>
      <c r="BR108" s="318">
        <f ca="1">IF(TYPE(VLOOKUP($A108,'5.kolo'!$L$3:$L$66,1,0))&gt;3,IF(TYPE(VLOOKUP($A108,'5.kolo'!$O$3:$Q$66,2,0))&gt;3,0,VLOOKUP($A108,'5.kolo'!$O$3:$Q$66,2,0)),VLOOKUP($A108,'5.kolo'!$L$3:$N$66,2,0))</f>
        <v>0</v>
      </c>
      <c r="BS108" s="318">
        <f ca="1">IF(TYPE(VLOOKUP($A108,'5.kolo'!$L$3:$L$66,1,0))&gt;3,IF(TYPE(VLOOKUP($A108,'5.kolo'!$O$3:$Q$66,3,0))&gt;3,0,VLOOKUP($A108,'5.kolo'!$O$3:$Q$66,3,0)),VLOOKUP($A108,'5.kolo'!$L$3:$N$66,3,0))</f>
        <v>0</v>
      </c>
      <c r="BT108" s="318">
        <f t="shared" ca="1" si="57"/>
        <v>0</v>
      </c>
      <c r="BU108" s="397"/>
      <c r="BV108" s="424" t="str">
        <f ca="1">IF(BU108="","",CONCATENATE(TEXT($O108,"0"),IF(Start.listina!$Y$5="","",TEXT(500+$P108,"000")),TEXT(999999*RAND(),"000000")))</f>
        <v/>
      </c>
      <c r="BW108" s="318">
        <f t="shared" ca="1" si="66"/>
        <v>0</v>
      </c>
      <c r="BZ108" s="318" t="str">
        <f ca="1">IF(TYPE(VLOOKUP($A108,'6.kolo'!$L$3:$L$66,1,0))&gt;3,IF(TYPE(VLOOKUP($A108,'6.kolo'!$K$3:$L$66,2,0))&gt;3,0,VLOOKUP($A108,'6.kolo'!$K$3:$L$66,2,0)),VLOOKUP($A108,'6.kolo'!$L$3:$O$66,4,0))</f>
        <v/>
      </c>
      <c r="CA108" s="318">
        <f ca="1">IF(TYPE(VLOOKUP($A108,'6.kolo'!$L$3:$L$66,1,0))&gt;3,IF(TYPE(VLOOKUP($A108,'6.kolo'!$O$3:$Q$66,2,0))&gt;3,0,VLOOKUP($A108,'6.kolo'!$O$3:$Q$66,2,0)),VLOOKUP($A108,'6.kolo'!$L$3:$N$66,2,0))</f>
        <v>0</v>
      </c>
      <c r="CB108" s="318">
        <f ca="1">IF(TYPE(VLOOKUP($A108,'6.kolo'!$L$3:$L$66,1,0))&gt;3,IF(TYPE(VLOOKUP($A108,'6.kolo'!$O$3:$Q$66,3,0))&gt;3,0,VLOOKUP($A108,'6.kolo'!$O$3:$Q$66,3,0)),VLOOKUP($A108,'6.kolo'!$L$3:$N$66,3,0))</f>
        <v>0</v>
      </c>
      <c r="CC108" s="318">
        <f t="shared" ca="1" si="58"/>
        <v>0</v>
      </c>
      <c r="CD108" s="397"/>
      <c r="CE108" s="424" t="str">
        <f ca="1">IF(CD108="","",CONCATENATE(TEXT($O108,"0"),IF(Start.listina!$Y$5="","",TEXT(500+$P108,"000")),TEXT(999999*RAND(),"000000")))</f>
        <v/>
      </c>
      <c r="CF108" s="318">
        <f t="shared" ca="1" si="67"/>
        <v>0</v>
      </c>
    </row>
    <row r="109" spans="1:84" x14ac:dyDescent="0.4">
      <c r="A109" s="318" t="str">
        <f ca="1">IF(OR(Start.listina!H117&gt;Start.listina!$K$7,Start.listina!G117=TRUE),"",Start.listina!H117)</f>
        <v/>
      </c>
      <c r="B109" s="318" t="str">
        <f ca="1">IF($A109&gt;Start.listina!$K$7,"",INT(($A109-1)/Start.listina!$O$7)+1)</f>
        <v/>
      </c>
      <c r="C109" s="421" t="str">
        <f ca="1">IF(OR(Start.listina!H117&gt;Start.listina!$K$7,Start.listina!G117=TRUE)," - ",Start.listina!AL117)</f>
        <v xml:space="preserve"> - </v>
      </c>
      <c r="D109" s="318" t="str">
        <f ca="1">IF(OR(A109&gt;Start.listina!$K$7,TYPE(VLOOKUP(A109,$V$3:$X$130,3,0))&gt;3),"",VLOOKUP(A109,$V$3:$X$130,3,0))</f>
        <v/>
      </c>
      <c r="E109" s="422" t="str">
        <f ca="1">IF(A109&gt;Start.listina!$K$7,"",IF(MIN(F109:K109)&gt;Start.listina!$Y$4,D109,MIN(F109:K109)))</f>
        <v/>
      </c>
      <c r="F109" s="318">
        <f ca="1">IF(TYPE(VLOOKUP(C109,Konečné_pořadí_1_16!$B$2:$D$17,3,0))&lt;4,VLOOKUP(C109,Konečné_pořadí_1_16!$B$2:$D$17,3,0),999)</f>
        <v>999</v>
      </c>
      <c r="G109" s="318">
        <f ca="1">IF(TYPE(VLOOKUP(C109,'KO64'!$D$4:$D$129,1,0))&lt;4,64,999)</f>
        <v>64</v>
      </c>
      <c r="H109" s="318">
        <f ca="1">IF(TYPE(VLOOKUP(C109,'KO32'!$D$4:$D$65,1,0))&lt;4,32,999)</f>
        <v>32</v>
      </c>
      <c r="I109" s="318">
        <f ca="1">IF(TYPE(VLOOKUP(C109,'KO16'!$D$4:$D$33,1,0))&lt;4,16,999)</f>
        <v>999</v>
      </c>
      <c r="J109" s="318">
        <f ca="1">IF(TYPE(VLOOKUP(C109,'KO8'!$D$4:$D$17,1,0))&lt;4,8,999)</f>
        <v>999</v>
      </c>
      <c r="K109" s="318">
        <f ca="1">IF(TYPE(VLOOKUP(C109,'KO4'!$D$4:$D$9,1,0))&lt;4,4,999)</f>
        <v>999</v>
      </c>
      <c r="M109" s="319">
        <v>107</v>
      </c>
      <c r="O109" s="318">
        <f t="shared" ca="1" si="42"/>
        <v>0</v>
      </c>
      <c r="P109" s="318">
        <f t="shared" ca="1" si="43"/>
        <v>0</v>
      </c>
      <c r="Q109" s="318">
        <f t="shared" ca="1" si="60"/>
        <v>2</v>
      </c>
      <c r="R109" s="318">
        <f t="shared" ca="1" si="61"/>
        <v>0</v>
      </c>
      <c r="S109" s="318">
        <f t="shared" ca="1" si="44"/>
        <v>18</v>
      </c>
      <c r="T109" s="318">
        <f t="shared" ca="1" si="45"/>
        <v>0</v>
      </c>
      <c r="U109" s="397">
        <f t="shared" si="59"/>
        <v>107</v>
      </c>
      <c r="V109" s="397" t="s">
        <v>1869</v>
      </c>
      <c r="W109" s="423" t="str">
        <f ca="1">IF($V109="","",CONCATENATE(TEXT($O109,"0"),IF(Start.listina!$Y$5="","",TEXT(500+$P109,"0000")),IF(Start.listina!$Y$6="","",CHOOSE(Start.listina!$Y$7,TEXT($Q109,"00"),CONCATENATE(TEXT($Q109,"00"),TEXT($S109,"000")), TEXT($R109,"00"))),TEXT(500+$P109,"0000"),IF(Start.listina!$Y$8="","",TEXT($T109,"0")),TEXT(999999*RAND(),"000000")))</f>
        <v/>
      </c>
      <c r="X109" s="399">
        <f t="shared" si="46"/>
        <v>107</v>
      </c>
      <c r="Y109" s="397">
        <f t="shared" ca="1" si="62"/>
        <v>0</v>
      </c>
      <c r="Z109" s="318">
        <f t="shared" ca="1" si="47"/>
        <v>57</v>
      </c>
      <c r="AA109" s="318" t="str">
        <f t="shared" ca="1" si="48"/>
        <v/>
      </c>
      <c r="AB109" s="318" t="str">
        <f t="shared" ca="1" si="49"/>
        <v/>
      </c>
      <c r="AC109" s="318" t="str">
        <f t="shared" ca="1" si="50"/>
        <v/>
      </c>
      <c r="AD109" s="318" t="str">
        <f t="shared" ca="1" si="51"/>
        <v/>
      </c>
      <c r="AE109" s="318" t="str">
        <f t="shared" ca="1" si="52"/>
        <v/>
      </c>
      <c r="AG109" s="318">
        <f ca="1">IF(TYPE(VLOOKUP($A109,'1.kolo'!$L$3:$L$66,1,0))&gt;3,VLOOKUP($A109,'1.kolo'!$K$3:$L$66,2,0),VLOOKUP($A109,'1.kolo'!$L$3:$O$66,4,0))</f>
        <v>57</v>
      </c>
      <c r="AH109" s="318">
        <f ca="1">IF(TYPE(VLOOKUP($A109,'1.kolo'!$L$3:$L$66,1,0))&gt;3,VLOOKUP($A109,'1.kolo'!$O$3:$Q$66,2,0),VLOOKUP($A109,'1.kolo'!$L$3:$N$66,2,0))</f>
        <v>0</v>
      </c>
      <c r="AI109" s="318">
        <f ca="1">IF(TYPE(VLOOKUP($A109,'1.kolo'!$L$3:$L$66,1,0))&gt;3,VLOOKUP($A109,'1.kolo'!$O$3:$Q$66,3,0),VLOOKUP($A109,'1.kolo'!$L$3:$N$66,3,0))</f>
        <v>0</v>
      </c>
      <c r="AJ109" s="318">
        <f t="shared" ca="1" si="53"/>
        <v>0</v>
      </c>
      <c r="AK109" s="318">
        <v>107</v>
      </c>
      <c r="AL109" s="424"/>
      <c r="AP109" s="318" t="str">
        <f ca="1">IF(TYPE(VLOOKUP($A109,'2.kolo'!$L$3:$L$66,1,0))&gt;3,IF(TYPE(VLOOKUP($A109,'2.kolo'!$K$3:$L$66,2,0))&gt;3,0,VLOOKUP($A109,'2.kolo'!$K$3:$L$66,2,0)),VLOOKUP($A109,'2.kolo'!$L$3:$O$66,4,0))</f>
        <v/>
      </c>
      <c r="AQ109" s="318">
        <f ca="1">IF(TYPE(VLOOKUP($A109,'2.kolo'!$L$3:$L$66,1,0))&gt;3,IF(TYPE(VLOOKUP($A109,'2.kolo'!$O$3:$Q$66,2,0))&gt;3,0,VLOOKUP($A109,'2.kolo'!$O$3:$Q$66,2,0)),VLOOKUP($A109,'2.kolo'!$L$3:$N$66,2,0))</f>
        <v>0</v>
      </c>
      <c r="AR109" s="318">
        <f ca="1">IF(TYPE(VLOOKUP($A109,'2.kolo'!$L$3:$L$66,1,0))&gt;3,IF(TYPE(VLOOKUP($A109,'2.kolo'!$O$3:$Q$66,3,0))&gt;3,0,VLOOKUP($A109,'2.kolo'!$O$3:$Q$66,3,0)),VLOOKUP($A109,'2.kolo'!$L$3:$N$66,3,0))</f>
        <v>0</v>
      </c>
      <c r="AS109" s="318">
        <f t="shared" ca="1" si="54"/>
        <v>0</v>
      </c>
      <c r="AT109" s="397" t="s">
        <v>1869</v>
      </c>
      <c r="AU109" s="424" t="str">
        <f ca="1">IF(AT109="","",CONCATENATE(TEXT($O109,"0"),IF(Start.listina!$Y$5="","",TEXT(500+$P109,"000")),TEXT(999999*RAND(),"000000")))</f>
        <v/>
      </c>
      <c r="AV109" s="318">
        <f t="shared" ca="1" si="63"/>
        <v>0</v>
      </c>
      <c r="AY109" s="318" t="str">
        <f ca="1">IF(TYPE(VLOOKUP($A109,'3.kolo'!$L$3:$L$66,1,0))&gt;3,IF(TYPE(VLOOKUP($A109,'3.kolo'!$K$3:$L$66,2,0))&gt;3,0,VLOOKUP($A109,'3.kolo'!$K$3:$L$66,2,0)),VLOOKUP($A109,'3.kolo'!$L$3:$O$66,4,0))</f>
        <v/>
      </c>
      <c r="AZ109" s="318">
        <f ca="1">IF(TYPE(VLOOKUP($A109,'3.kolo'!$L$3:$L$66,1,0))&gt;3,IF(TYPE(VLOOKUP($A109,'3.kolo'!$O$3:$Q$66,2,0))&gt;3,0,VLOOKUP($A109,'3.kolo'!$O$3:$Q$66,2,0)),VLOOKUP($A109,'3.kolo'!$L$3:$N$66,2,0))</f>
        <v>0</v>
      </c>
      <c r="BA109" s="318">
        <f ca="1">IF(TYPE(VLOOKUP($A109,'3.kolo'!$L$3:$L$66,1,0))&gt;3,IF(TYPE(VLOOKUP($A109,'3.kolo'!$O$3:$Q$66,3,0))&gt;3,0,VLOOKUP($A109,'3.kolo'!$O$3:$Q$66,3,0)),VLOOKUP($A109,'3.kolo'!$L$3:$N$66,3,0))</f>
        <v>0</v>
      </c>
      <c r="BB109" s="318">
        <f t="shared" ca="1" si="55"/>
        <v>0</v>
      </c>
      <c r="BC109" s="397" t="s">
        <v>1869</v>
      </c>
      <c r="BD109" s="424" t="str">
        <f ca="1">IF(BC109="","",CONCATENATE(TEXT($O109,"0"),IF(Start.listina!$Y$5="","",TEXT(500+$P109,"000")),TEXT(999999*RAND(),"000000")))</f>
        <v/>
      </c>
      <c r="BE109" s="318">
        <f t="shared" ca="1" si="64"/>
        <v>0</v>
      </c>
      <c r="BH109" s="318" t="str">
        <f ca="1">IF(TYPE(VLOOKUP($A109,'4.kolo'!$L$3:$L$66,1,0))&gt;3,IF(TYPE(VLOOKUP($A109,'4.kolo'!$K$3:$L$66,2,0))&gt;3,0,VLOOKUP($A109,'4.kolo'!$K$3:$L$66,2,0)),VLOOKUP($A109,'4.kolo'!$L$3:$O$66,4,0))</f>
        <v/>
      </c>
      <c r="BI109" s="318">
        <f ca="1">IF(TYPE(VLOOKUP($A109,'4.kolo'!$L$3:$L$66,1,0))&gt;3,IF(TYPE(VLOOKUP($A109,'4.kolo'!$O$3:$Q$66,2,0))&gt;3,0,VLOOKUP($A109,'4.kolo'!$O$3:$Q$66,2,0)),VLOOKUP($A109,'4.kolo'!$L$3:$N$66,2,0))</f>
        <v>0</v>
      </c>
      <c r="BJ109" s="318">
        <f ca="1">IF(TYPE(VLOOKUP($A109,'4.kolo'!$L$3:$L$66,1,0))&gt;3,IF(TYPE(VLOOKUP($A109,'4.kolo'!$O$3:$Q$66,3,0))&gt;3,0,VLOOKUP($A109,'4.kolo'!$O$3:$Q$66,3,0)),VLOOKUP($A109,'4.kolo'!$L$3:$N$66,3,0))</f>
        <v>0</v>
      </c>
      <c r="BK109" s="318">
        <f t="shared" ca="1" si="56"/>
        <v>0</v>
      </c>
      <c r="BL109" s="397" t="s">
        <v>1869</v>
      </c>
      <c r="BM109" s="424" t="str">
        <f ca="1">IF(BL109="","",CONCATENATE(TEXT($O109,"0"),IF(Start.listina!$Y$5="","",TEXT(500+$P109,"000")),TEXT(999999*RAND(),"000000")))</f>
        <v/>
      </c>
      <c r="BN109" s="318">
        <f t="shared" ca="1" si="65"/>
        <v>0</v>
      </c>
      <c r="BQ109" s="318" t="str">
        <f ca="1">IF(TYPE(VLOOKUP($A109,'5.kolo'!$L$3:$L$66,1,0))&gt;3,IF(TYPE(VLOOKUP($A109,'5.kolo'!$K$3:$L$66,2,0))&gt;3,0,VLOOKUP($A109,'5.kolo'!$K$3:$L$66,2,0)),VLOOKUP($A109,'5.kolo'!$L$3:$O$66,4,0))</f>
        <v/>
      </c>
      <c r="BR109" s="318">
        <f ca="1">IF(TYPE(VLOOKUP($A109,'5.kolo'!$L$3:$L$66,1,0))&gt;3,IF(TYPE(VLOOKUP($A109,'5.kolo'!$O$3:$Q$66,2,0))&gt;3,0,VLOOKUP($A109,'5.kolo'!$O$3:$Q$66,2,0)),VLOOKUP($A109,'5.kolo'!$L$3:$N$66,2,0))</f>
        <v>0</v>
      </c>
      <c r="BS109" s="318">
        <f ca="1">IF(TYPE(VLOOKUP($A109,'5.kolo'!$L$3:$L$66,1,0))&gt;3,IF(TYPE(VLOOKUP($A109,'5.kolo'!$O$3:$Q$66,3,0))&gt;3,0,VLOOKUP($A109,'5.kolo'!$O$3:$Q$66,3,0)),VLOOKUP($A109,'5.kolo'!$L$3:$N$66,3,0))</f>
        <v>0</v>
      </c>
      <c r="BT109" s="318">
        <f t="shared" ca="1" si="57"/>
        <v>0</v>
      </c>
      <c r="BU109" s="397"/>
      <c r="BV109" s="424" t="str">
        <f ca="1">IF(BU109="","",CONCATENATE(TEXT($O109,"0"),IF(Start.listina!$Y$5="","",TEXT(500+$P109,"000")),TEXT(999999*RAND(),"000000")))</f>
        <v/>
      </c>
      <c r="BW109" s="318">
        <f t="shared" ca="1" si="66"/>
        <v>0</v>
      </c>
      <c r="BZ109" s="318" t="str">
        <f ca="1">IF(TYPE(VLOOKUP($A109,'6.kolo'!$L$3:$L$66,1,0))&gt;3,IF(TYPE(VLOOKUP($A109,'6.kolo'!$K$3:$L$66,2,0))&gt;3,0,VLOOKUP($A109,'6.kolo'!$K$3:$L$66,2,0)),VLOOKUP($A109,'6.kolo'!$L$3:$O$66,4,0))</f>
        <v/>
      </c>
      <c r="CA109" s="318">
        <f ca="1">IF(TYPE(VLOOKUP($A109,'6.kolo'!$L$3:$L$66,1,0))&gt;3,IF(TYPE(VLOOKUP($A109,'6.kolo'!$O$3:$Q$66,2,0))&gt;3,0,VLOOKUP($A109,'6.kolo'!$O$3:$Q$66,2,0)),VLOOKUP($A109,'6.kolo'!$L$3:$N$66,2,0))</f>
        <v>0</v>
      </c>
      <c r="CB109" s="318">
        <f ca="1">IF(TYPE(VLOOKUP($A109,'6.kolo'!$L$3:$L$66,1,0))&gt;3,IF(TYPE(VLOOKUP($A109,'6.kolo'!$O$3:$Q$66,3,0))&gt;3,0,VLOOKUP($A109,'6.kolo'!$O$3:$Q$66,3,0)),VLOOKUP($A109,'6.kolo'!$L$3:$N$66,3,0))</f>
        <v>0</v>
      </c>
      <c r="CC109" s="318">
        <f t="shared" ca="1" si="58"/>
        <v>0</v>
      </c>
      <c r="CD109" s="397"/>
      <c r="CE109" s="424" t="str">
        <f ca="1">IF(CD109="","",CONCATENATE(TEXT($O109,"0"),IF(Start.listina!$Y$5="","",TEXT(500+$P109,"000")),TEXT(999999*RAND(),"000000")))</f>
        <v/>
      </c>
      <c r="CF109" s="318">
        <f t="shared" ca="1" si="67"/>
        <v>0</v>
      </c>
    </row>
    <row r="110" spans="1:84" x14ac:dyDescent="0.4">
      <c r="A110" s="318" t="str">
        <f ca="1">IF(OR(Start.listina!H118&gt;Start.listina!$K$7,Start.listina!G118=TRUE),"",Start.listina!H118)</f>
        <v/>
      </c>
      <c r="B110" s="318" t="str">
        <f ca="1">IF($A110&gt;Start.listina!$K$7,"",INT(($A110-1)/Start.listina!$O$7)+1)</f>
        <v/>
      </c>
      <c r="C110" s="421" t="str">
        <f ca="1">IF(OR(Start.listina!H118&gt;Start.listina!$K$7,Start.listina!G118=TRUE)," - ",Start.listina!AL118)</f>
        <v xml:space="preserve"> - </v>
      </c>
      <c r="D110" s="318" t="str">
        <f ca="1">IF(OR(A110&gt;Start.listina!$K$7,TYPE(VLOOKUP(A110,$V$3:$X$130,3,0))&gt;3),"",VLOOKUP(A110,$V$3:$X$130,3,0))</f>
        <v/>
      </c>
      <c r="E110" s="422" t="str">
        <f ca="1">IF(A110&gt;Start.listina!$K$7,"",IF(MIN(F110:K110)&gt;Start.listina!$Y$4,D110,MIN(F110:K110)))</f>
        <v/>
      </c>
      <c r="F110" s="318">
        <f ca="1">IF(TYPE(VLOOKUP(C110,Konečné_pořadí_1_16!$B$2:$D$17,3,0))&lt;4,VLOOKUP(C110,Konečné_pořadí_1_16!$B$2:$D$17,3,0),999)</f>
        <v>999</v>
      </c>
      <c r="G110" s="318">
        <f ca="1">IF(TYPE(VLOOKUP(C110,'KO64'!$D$4:$D$129,1,0))&lt;4,64,999)</f>
        <v>64</v>
      </c>
      <c r="H110" s="318">
        <f ca="1">IF(TYPE(VLOOKUP(C110,'KO32'!$D$4:$D$65,1,0))&lt;4,32,999)</f>
        <v>32</v>
      </c>
      <c r="I110" s="318">
        <f ca="1">IF(TYPE(VLOOKUP(C110,'KO16'!$D$4:$D$33,1,0))&lt;4,16,999)</f>
        <v>999</v>
      </c>
      <c r="J110" s="318">
        <f ca="1">IF(TYPE(VLOOKUP(C110,'KO8'!$D$4:$D$17,1,0))&lt;4,8,999)</f>
        <v>999</v>
      </c>
      <c r="K110" s="318">
        <f ca="1">IF(TYPE(VLOOKUP(C110,'KO4'!$D$4:$D$9,1,0))&lt;4,4,999)</f>
        <v>999</v>
      </c>
      <c r="M110" s="319">
        <v>108</v>
      </c>
      <c r="O110" s="318">
        <f t="shared" ca="1" si="42"/>
        <v>0</v>
      </c>
      <c r="P110" s="318">
        <f t="shared" ca="1" si="43"/>
        <v>0</v>
      </c>
      <c r="Q110" s="318">
        <f t="shared" ca="1" si="60"/>
        <v>2</v>
      </c>
      <c r="R110" s="318">
        <f t="shared" ca="1" si="61"/>
        <v>0</v>
      </c>
      <c r="S110" s="318">
        <f t="shared" ca="1" si="44"/>
        <v>18</v>
      </c>
      <c r="T110" s="318">
        <f t="shared" ca="1" si="45"/>
        <v>0</v>
      </c>
      <c r="U110" s="397">
        <f t="shared" si="59"/>
        <v>108</v>
      </c>
      <c r="V110" s="397" t="s">
        <v>1869</v>
      </c>
      <c r="W110" s="423" t="str">
        <f ca="1">IF($V110="","",CONCATENATE(TEXT($O110,"0"),IF(Start.listina!$Y$5="","",TEXT(500+$P110,"0000")),IF(Start.listina!$Y$6="","",CHOOSE(Start.listina!$Y$7,TEXT($Q110,"00"),CONCATENATE(TEXT($Q110,"00"),TEXT($S110,"000")), TEXT($R110,"00"))),TEXT(500+$P110,"0000"),IF(Start.listina!$Y$8="","",TEXT($T110,"0")),TEXT(999999*RAND(),"000000")))</f>
        <v/>
      </c>
      <c r="X110" s="399">
        <f t="shared" si="46"/>
        <v>108</v>
      </c>
      <c r="Y110" s="397">
        <f t="shared" ca="1" si="62"/>
        <v>0</v>
      </c>
      <c r="Z110" s="318">
        <f t="shared" ca="1" si="47"/>
        <v>57</v>
      </c>
      <c r="AA110" s="318" t="str">
        <f t="shared" ca="1" si="48"/>
        <v/>
      </c>
      <c r="AB110" s="318" t="str">
        <f t="shared" ca="1" si="49"/>
        <v/>
      </c>
      <c r="AC110" s="318" t="str">
        <f t="shared" ca="1" si="50"/>
        <v/>
      </c>
      <c r="AD110" s="318" t="str">
        <f t="shared" ca="1" si="51"/>
        <v/>
      </c>
      <c r="AE110" s="318" t="str">
        <f t="shared" ca="1" si="52"/>
        <v/>
      </c>
      <c r="AG110" s="318">
        <f ca="1">IF(TYPE(VLOOKUP($A110,'1.kolo'!$L$3:$L$66,1,0))&gt;3,VLOOKUP($A110,'1.kolo'!$K$3:$L$66,2,0),VLOOKUP($A110,'1.kolo'!$L$3:$O$66,4,0))</f>
        <v>57</v>
      </c>
      <c r="AH110" s="318">
        <f ca="1">IF(TYPE(VLOOKUP($A110,'1.kolo'!$L$3:$L$66,1,0))&gt;3,VLOOKUP($A110,'1.kolo'!$O$3:$Q$66,2,0),VLOOKUP($A110,'1.kolo'!$L$3:$N$66,2,0))</f>
        <v>0</v>
      </c>
      <c r="AI110" s="318">
        <f ca="1">IF(TYPE(VLOOKUP($A110,'1.kolo'!$L$3:$L$66,1,0))&gt;3,VLOOKUP($A110,'1.kolo'!$O$3:$Q$66,3,0),VLOOKUP($A110,'1.kolo'!$L$3:$N$66,3,0))</f>
        <v>0</v>
      </c>
      <c r="AJ110" s="318">
        <f t="shared" ca="1" si="53"/>
        <v>0</v>
      </c>
      <c r="AK110" s="318">
        <v>108</v>
      </c>
      <c r="AL110" s="424"/>
      <c r="AP110" s="318" t="str">
        <f ca="1">IF(TYPE(VLOOKUP($A110,'2.kolo'!$L$3:$L$66,1,0))&gt;3,IF(TYPE(VLOOKUP($A110,'2.kolo'!$K$3:$L$66,2,0))&gt;3,0,VLOOKUP($A110,'2.kolo'!$K$3:$L$66,2,0)),VLOOKUP($A110,'2.kolo'!$L$3:$O$66,4,0))</f>
        <v/>
      </c>
      <c r="AQ110" s="318">
        <f ca="1">IF(TYPE(VLOOKUP($A110,'2.kolo'!$L$3:$L$66,1,0))&gt;3,IF(TYPE(VLOOKUP($A110,'2.kolo'!$O$3:$Q$66,2,0))&gt;3,0,VLOOKUP($A110,'2.kolo'!$O$3:$Q$66,2,0)),VLOOKUP($A110,'2.kolo'!$L$3:$N$66,2,0))</f>
        <v>0</v>
      </c>
      <c r="AR110" s="318">
        <f ca="1">IF(TYPE(VLOOKUP($A110,'2.kolo'!$L$3:$L$66,1,0))&gt;3,IF(TYPE(VLOOKUP($A110,'2.kolo'!$O$3:$Q$66,3,0))&gt;3,0,VLOOKUP($A110,'2.kolo'!$O$3:$Q$66,3,0)),VLOOKUP($A110,'2.kolo'!$L$3:$N$66,3,0))</f>
        <v>0</v>
      </c>
      <c r="AS110" s="318">
        <f t="shared" ca="1" si="54"/>
        <v>0</v>
      </c>
      <c r="AT110" s="397" t="s">
        <v>1869</v>
      </c>
      <c r="AU110" s="424" t="str">
        <f ca="1">IF(AT110="","",CONCATENATE(TEXT($O110,"0"),IF(Start.listina!$Y$5="","",TEXT(500+$P110,"000")),TEXT(999999*RAND(),"000000")))</f>
        <v/>
      </c>
      <c r="AV110" s="318">
        <f t="shared" ca="1" si="63"/>
        <v>0</v>
      </c>
      <c r="AY110" s="318" t="str">
        <f ca="1">IF(TYPE(VLOOKUP($A110,'3.kolo'!$L$3:$L$66,1,0))&gt;3,IF(TYPE(VLOOKUP($A110,'3.kolo'!$K$3:$L$66,2,0))&gt;3,0,VLOOKUP($A110,'3.kolo'!$K$3:$L$66,2,0)),VLOOKUP($A110,'3.kolo'!$L$3:$O$66,4,0))</f>
        <v/>
      </c>
      <c r="AZ110" s="318">
        <f ca="1">IF(TYPE(VLOOKUP($A110,'3.kolo'!$L$3:$L$66,1,0))&gt;3,IF(TYPE(VLOOKUP($A110,'3.kolo'!$O$3:$Q$66,2,0))&gt;3,0,VLOOKUP($A110,'3.kolo'!$O$3:$Q$66,2,0)),VLOOKUP($A110,'3.kolo'!$L$3:$N$66,2,0))</f>
        <v>0</v>
      </c>
      <c r="BA110" s="318">
        <f ca="1">IF(TYPE(VLOOKUP($A110,'3.kolo'!$L$3:$L$66,1,0))&gt;3,IF(TYPE(VLOOKUP($A110,'3.kolo'!$O$3:$Q$66,3,0))&gt;3,0,VLOOKUP($A110,'3.kolo'!$O$3:$Q$66,3,0)),VLOOKUP($A110,'3.kolo'!$L$3:$N$66,3,0))</f>
        <v>0</v>
      </c>
      <c r="BB110" s="318">
        <f t="shared" ca="1" si="55"/>
        <v>0</v>
      </c>
      <c r="BC110" s="397" t="s">
        <v>1869</v>
      </c>
      <c r="BD110" s="424" t="str">
        <f ca="1">IF(BC110="","",CONCATENATE(TEXT($O110,"0"),IF(Start.listina!$Y$5="","",TEXT(500+$P110,"000")),TEXT(999999*RAND(),"000000")))</f>
        <v/>
      </c>
      <c r="BE110" s="318">
        <f t="shared" ca="1" si="64"/>
        <v>0</v>
      </c>
      <c r="BH110" s="318" t="str">
        <f ca="1">IF(TYPE(VLOOKUP($A110,'4.kolo'!$L$3:$L$66,1,0))&gt;3,IF(TYPE(VLOOKUP($A110,'4.kolo'!$K$3:$L$66,2,0))&gt;3,0,VLOOKUP($A110,'4.kolo'!$K$3:$L$66,2,0)),VLOOKUP($A110,'4.kolo'!$L$3:$O$66,4,0))</f>
        <v/>
      </c>
      <c r="BI110" s="318">
        <f ca="1">IF(TYPE(VLOOKUP($A110,'4.kolo'!$L$3:$L$66,1,0))&gt;3,IF(TYPE(VLOOKUP($A110,'4.kolo'!$O$3:$Q$66,2,0))&gt;3,0,VLOOKUP($A110,'4.kolo'!$O$3:$Q$66,2,0)),VLOOKUP($A110,'4.kolo'!$L$3:$N$66,2,0))</f>
        <v>0</v>
      </c>
      <c r="BJ110" s="318">
        <f ca="1">IF(TYPE(VLOOKUP($A110,'4.kolo'!$L$3:$L$66,1,0))&gt;3,IF(TYPE(VLOOKUP($A110,'4.kolo'!$O$3:$Q$66,3,0))&gt;3,0,VLOOKUP($A110,'4.kolo'!$O$3:$Q$66,3,0)),VLOOKUP($A110,'4.kolo'!$L$3:$N$66,3,0))</f>
        <v>0</v>
      </c>
      <c r="BK110" s="318">
        <f t="shared" ca="1" si="56"/>
        <v>0</v>
      </c>
      <c r="BL110" s="397" t="s">
        <v>1869</v>
      </c>
      <c r="BM110" s="424" t="str">
        <f ca="1">IF(BL110="","",CONCATENATE(TEXT($O110,"0"),IF(Start.listina!$Y$5="","",TEXT(500+$P110,"000")),TEXT(999999*RAND(),"000000")))</f>
        <v/>
      </c>
      <c r="BN110" s="318">
        <f t="shared" ca="1" si="65"/>
        <v>0</v>
      </c>
      <c r="BQ110" s="318" t="str">
        <f ca="1">IF(TYPE(VLOOKUP($A110,'5.kolo'!$L$3:$L$66,1,0))&gt;3,IF(TYPE(VLOOKUP($A110,'5.kolo'!$K$3:$L$66,2,0))&gt;3,0,VLOOKUP($A110,'5.kolo'!$K$3:$L$66,2,0)),VLOOKUP($A110,'5.kolo'!$L$3:$O$66,4,0))</f>
        <v/>
      </c>
      <c r="BR110" s="318">
        <f ca="1">IF(TYPE(VLOOKUP($A110,'5.kolo'!$L$3:$L$66,1,0))&gt;3,IF(TYPE(VLOOKUP($A110,'5.kolo'!$O$3:$Q$66,2,0))&gt;3,0,VLOOKUP($A110,'5.kolo'!$O$3:$Q$66,2,0)),VLOOKUP($A110,'5.kolo'!$L$3:$N$66,2,0))</f>
        <v>0</v>
      </c>
      <c r="BS110" s="318">
        <f ca="1">IF(TYPE(VLOOKUP($A110,'5.kolo'!$L$3:$L$66,1,0))&gt;3,IF(TYPE(VLOOKUP($A110,'5.kolo'!$O$3:$Q$66,3,0))&gt;3,0,VLOOKUP($A110,'5.kolo'!$O$3:$Q$66,3,0)),VLOOKUP($A110,'5.kolo'!$L$3:$N$66,3,0))</f>
        <v>0</v>
      </c>
      <c r="BT110" s="318">
        <f t="shared" ca="1" si="57"/>
        <v>0</v>
      </c>
      <c r="BU110" s="397"/>
      <c r="BV110" s="424" t="str">
        <f ca="1">IF(BU110="","",CONCATENATE(TEXT($O110,"0"),IF(Start.listina!$Y$5="","",TEXT(500+$P110,"000")),TEXT(999999*RAND(),"000000")))</f>
        <v/>
      </c>
      <c r="BW110" s="318">
        <f t="shared" ca="1" si="66"/>
        <v>0</v>
      </c>
      <c r="BZ110" s="318" t="str">
        <f ca="1">IF(TYPE(VLOOKUP($A110,'6.kolo'!$L$3:$L$66,1,0))&gt;3,IF(TYPE(VLOOKUP($A110,'6.kolo'!$K$3:$L$66,2,0))&gt;3,0,VLOOKUP($A110,'6.kolo'!$K$3:$L$66,2,0)),VLOOKUP($A110,'6.kolo'!$L$3:$O$66,4,0))</f>
        <v/>
      </c>
      <c r="CA110" s="318">
        <f ca="1">IF(TYPE(VLOOKUP($A110,'6.kolo'!$L$3:$L$66,1,0))&gt;3,IF(TYPE(VLOOKUP($A110,'6.kolo'!$O$3:$Q$66,2,0))&gt;3,0,VLOOKUP($A110,'6.kolo'!$O$3:$Q$66,2,0)),VLOOKUP($A110,'6.kolo'!$L$3:$N$66,2,0))</f>
        <v>0</v>
      </c>
      <c r="CB110" s="318">
        <f ca="1">IF(TYPE(VLOOKUP($A110,'6.kolo'!$L$3:$L$66,1,0))&gt;3,IF(TYPE(VLOOKUP($A110,'6.kolo'!$O$3:$Q$66,3,0))&gt;3,0,VLOOKUP($A110,'6.kolo'!$O$3:$Q$66,3,0)),VLOOKUP($A110,'6.kolo'!$L$3:$N$66,3,0))</f>
        <v>0</v>
      </c>
      <c r="CC110" s="318">
        <f t="shared" ca="1" si="58"/>
        <v>0</v>
      </c>
      <c r="CD110" s="397"/>
      <c r="CE110" s="424" t="str">
        <f ca="1">IF(CD110="","",CONCATENATE(TEXT($O110,"0"),IF(Start.listina!$Y$5="","",TEXT(500+$P110,"000")),TEXT(999999*RAND(),"000000")))</f>
        <v/>
      </c>
      <c r="CF110" s="318">
        <f t="shared" ca="1" si="67"/>
        <v>0</v>
      </c>
    </row>
    <row r="111" spans="1:84" x14ac:dyDescent="0.4">
      <c r="A111" s="318" t="str">
        <f ca="1">IF(OR(Start.listina!H119&gt;Start.listina!$K$7,Start.listina!G119=TRUE),"",Start.listina!H119)</f>
        <v/>
      </c>
      <c r="B111" s="318" t="str">
        <f ca="1">IF($A111&gt;Start.listina!$K$7,"",INT(($A111-1)/Start.listina!$O$7)+1)</f>
        <v/>
      </c>
      <c r="C111" s="421" t="str">
        <f ca="1">IF(OR(Start.listina!H119&gt;Start.listina!$K$7,Start.listina!G119=TRUE)," - ",Start.listina!AL119)</f>
        <v xml:space="preserve"> - </v>
      </c>
      <c r="D111" s="318" t="str">
        <f ca="1">IF(OR(A111&gt;Start.listina!$K$7,TYPE(VLOOKUP(A111,$V$3:$X$130,3,0))&gt;3),"",VLOOKUP(A111,$V$3:$X$130,3,0))</f>
        <v/>
      </c>
      <c r="E111" s="422" t="str">
        <f ca="1">IF(A111&gt;Start.listina!$K$7,"",IF(MIN(F111:K111)&gt;Start.listina!$Y$4,D111,MIN(F111:K111)))</f>
        <v/>
      </c>
      <c r="F111" s="318">
        <f ca="1">IF(TYPE(VLOOKUP(C111,Konečné_pořadí_1_16!$B$2:$D$17,3,0))&lt;4,VLOOKUP(C111,Konečné_pořadí_1_16!$B$2:$D$17,3,0),999)</f>
        <v>999</v>
      </c>
      <c r="G111" s="318">
        <f ca="1">IF(TYPE(VLOOKUP(C111,'KO64'!$D$4:$D$129,1,0))&lt;4,64,999)</f>
        <v>64</v>
      </c>
      <c r="H111" s="318">
        <f ca="1">IF(TYPE(VLOOKUP(C111,'KO32'!$D$4:$D$65,1,0))&lt;4,32,999)</f>
        <v>32</v>
      </c>
      <c r="I111" s="318">
        <f ca="1">IF(TYPE(VLOOKUP(C111,'KO16'!$D$4:$D$33,1,0))&lt;4,16,999)</f>
        <v>999</v>
      </c>
      <c r="J111" s="318">
        <f ca="1">IF(TYPE(VLOOKUP(C111,'KO8'!$D$4:$D$17,1,0))&lt;4,8,999)</f>
        <v>999</v>
      </c>
      <c r="K111" s="318">
        <f ca="1">IF(TYPE(VLOOKUP(C111,'KO4'!$D$4:$D$9,1,0))&lt;4,4,999)</f>
        <v>999</v>
      </c>
      <c r="M111" s="319">
        <v>109</v>
      </c>
      <c r="O111" s="318">
        <f t="shared" ca="1" si="42"/>
        <v>0</v>
      </c>
      <c r="P111" s="318">
        <f t="shared" ca="1" si="43"/>
        <v>0</v>
      </c>
      <c r="Q111" s="318">
        <f t="shared" ca="1" si="60"/>
        <v>2</v>
      </c>
      <c r="R111" s="318">
        <f t="shared" ca="1" si="61"/>
        <v>0</v>
      </c>
      <c r="S111" s="318">
        <f t="shared" ca="1" si="44"/>
        <v>18</v>
      </c>
      <c r="T111" s="318">
        <f t="shared" ca="1" si="45"/>
        <v>0</v>
      </c>
      <c r="U111" s="397">
        <f t="shared" si="59"/>
        <v>109</v>
      </c>
      <c r="V111" s="397" t="s">
        <v>1869</v>
      </c>
      <c r="W111" s="423" t="str">
        <f ca="1">IF($V111="","",CONCATENATE(TEXT($O111,"0"),IF(Start.listina!$Y$5="","",TEXT(500+$P111,"0000")),IF(Start.listina!$Y$6="","",CHOOSE(Start.listina!$Y$7,TEXT($Q111,"00"),CONCATENATE(TEXT($Q111,"00"),TEXT($S111,"000")), TEXT($R111,"00"))),TEXT(500+$P111,"0000"),IF(Start.listina!$Y$8="","",TEXT($T111,"0")),TEXT(999999*RAND(),"000000")))</f>
        <v/>
      </c>
      <c r="X111" s="399">
        <f t="shared" si="46"/>
        <v>109</v>
      </c>
      <c r="Y111" s="397">
        <f t="shared" ca="1" si="62"/>
        <v>0</v>
      </c>
      <c r="Z111" s="318">
        <f t="shared" ca="1" si="47"/>
        <v>57</v>
      </c>
      <c r="AA111" s="318" t="str">
        <f t="shared" ca="1" si="48"/>
        <v/>
      </c>
      <c r="AB111" s="318" t="str">
        <f t="shared" ca="1" si="49"/>
        <v/>
      </c>
      <c r="AC111" s="318" t="str">
        <f t="shared" ca="1" si="50"/>
        <v/>
      </c>
      <c r="AD111" s="318" t="str">
        <f t="shared" ca="1" si="51"/>
        <v/>
      </c>
      <c r="AE111" s="318" t="str">
        <f t="shared" ca="1" si="52"/>
        <v/>
      </c>
      <c r="AG111" s="318">
        <f ca="1">IF(TYPE(VLOOKUP($A111,'1.kolo'!$L$3:$L$66,1,0))&gt;3,VLOOKUP($A111,'1.kolo'!$K$3:$L$66,2,0),VLOOKUP($A111,'1.kolo'!$L$3:$O$66,4,0))</f>
        <v>57</v>
      </c>
      <c r="AH111" s="318">
        <f ca="1">IF(TYPE(VLOOKUP($A111,'1.kolo'!$L$3:$L$66,1,0))&gt;3,VLOOKUP($A111,'1.kolo'!$O$3:$Q$66,2,0),VLOOKUP($A111,'1.kolo'!$L$3:$N$66,2,0))</f>
        <v>0</v>
      </c>
      <c r="AI111" s="318">
        <f ca="1">IF(TYPE(VLOOKUP($A111,'1.kolo'!$L$3:$L$66,1,0))&gt;3,VLOOKUP($A111,'1.kolo'!$O$3:$Q$66,3,0),VLOOKUP($A111,'1.kolo'!$L$3:$N$66,3,0))</f>
        <v>0</v>
      </c>
      <c r="AJ111" s="318">
        <f t="shared" ca="1" si="53"/>
        <v>0</v>
      </c>
      <c r="AK111" s="318">
        <v>109</v>
      </c>
      <c r="AL111" s="424"/>
      <c r="AP111" s="318" t="str">
        <f ca="1">IF(TYPE(VLOOKUP($A111,'2.kolo'!$L$3:$L$66,1,0))&gt;3,IF(TYPE(VLOOKUP($A111,'2.kolo'!$K$3:$L$66,2,0))&gt;3,0,VLOOKUP($A111,'2.kolo'!$K$3:$L$66,2,0)),VLOOKUP($A111,'2.kolo'!$L$3:$O$66,4,0))</f>
        <v/>
      </c>
      <c r="AQ111" s="318">
        <f ca="1">IF(TYPE(VLOOKUP($A111,'2.kolo'!$L$3:$L$66,1,0))&gt;3,IF(TYPE(VLOOKUP($A111,'2.kolo'!$O$3:$Q$66,2,0))&gt;3,0,VLOOKUP($A111,'2.kolo'!$O$3:$Q$66,2,0)),VLOOKUP($A111,'2.kolo'!$L$3:$N$66,2,0))</f>
        <v>0</v>
      </c>
      <c r="AR111" s="318">
        <f ca="1">IF(TYPE(VLOOKUP($A111,'2.kolo'!$L$3:$L$66,1,0))&gt;3,IF(TYPE(VLOOKUP($A111,'2.kolo'!$O$3:$Q$66,3,0))&gt;3,0,VLOOKUP($A111,'2.kolo'!$O$3:$Q$66,3,0)),VLOOKUP($A111,'2.kolo'!$L$3:$N$66,3,0))</f>
        <v>0</v>
      </c>
      <c r="AS111" s="318">
        <f t="shared" ca="1" si="54"/>
        <v>0</v>
      </c>
      <c r="AT111" s="397" t="s">
        <v>1869</v>
      </c>
      <c r="AU111" s="424" t="str">
        <f ca="1">IF(AT111="","",CONCATENATE(TEXT($O111,"0"),IF(Start.listina!$Y$5="","",TEXT(500+$P111,"000")),TEXT(999999*RAND(),"000000")))</f>
        <v/>
      </c>
      <c r="AV111" s="318">
        <f t="shared" ca="1" si="63"/>
        <v>0</v>
      </c>
      <c r="AY111" s="318" t="str">
        <f ca="1">IF(TYPE(VLOOKUP($A111,'3.kolo'!$L$3:$L$66,1,0))&gt;3,IF(TYPE(VLOOKUP($A111,'3.kolo'!$K$3:$L$66,2,0))&gt;3,0,VLOOKUP($A111,'3.kolo'!$K$3:$L$66,2,0)),VLOOKUP($A111,'3.kolo'!$L$3:$O$66,4,0))</f>
        <v/>
      </c>
      <c r="AZ111" s="318">
        <f ca="1">IF(TYPE(VLOOKUP($A111,'3.kolo'!$L$3:$L$66,1,0))&gt;3,IF(TYPE(VLOOKUP($A111,'3.kolo'!$O$3:$Q$66,2,0))&gt;3,0,VLOOKUP($A111,'3.kolo'!$O$3:$Q$66,2,0)),VLOOKUP($A111,'3.kolo'!$L$3:$N$66,2,0))</f>
        <v>0</v>
      </c>
      <c r="BA111" s="318">
        <f ca="1">IF(TYPE(VLOOKUP($A111,'3.kolo'!$L$3:$L$66,1,0))&gt;3,IF(TYPE(VLOOKUP($A111,'3.kolo'!$O$3:$Q$66,3,0))&gt;3,0,VLOOKUP($A111,'3.kolo'!$O$3:$Q$66,3,0)),VLOOKUP($A111,'3.kolo'!$L$3:$N$66,3,0))</f>
        <v>0</v>
      </c>
      <c r="BB111" s="318">
        <f t="shared" ca="1" si="55"/>
        <v>0</v>
      </c>
      <c r="BC111" s="397" t="s">
        <v>1869</v>
      </c>
      <c r="BD111" s="424" t="str">
        <f ca="1">IF(BC111="","",CONCATENATE(TEXT($O111,"0"),IF(Start.listina!$Y$5="","",TEXT(500+$P111,"000")),TEXT(999999*RAND(),"000000")))</f>
        <v/>
      </c>
      <c r="BE111" s="318">
        <f t="shared" ca="1" si="64"/>
        <v>0</v>
      </c>
      <c r="BH111" s="318" t="str">
        <f ca="1">IF(TYPE(VLOOKUP($A111,'4.kolo'!$L$3:$L$66,1,0))&gt;3,IF(TYPE(VLOOKUP($A111,'4.kolo'!$K$3:$L$66,2,0))&gt;3,0,VLOOKUP($A111,'4.kolo'!$K$3:$L$66,2,0)),VLOOKUP($A111,'4.kolo'!$L$3:$O$66,4,0))</f>
        <v/>
      </c>
      <c r="BI111" s="318">
        <f ca="1">IF(TYPE(VLOOKUP($A111,'4.kolo'!$L$3:$L$66,1,0))&gt;3,IF(TYPE(VLOOKUP($A111,'4.kolo'!$O$3:$Q$66,2,0))&gt;3,0,VLOOKUP($A111,'4.kolo'!$O$3:$Q$66,2,0)),VLOOKUP($A111,'4.kolo'!$L$3:$N$66,2,0))</f>
        <v>0</v>
      </c>
      <c r="BJ111" s="318">
        <f ca="1">IF(TYPE(VLOOKUP($A111,'4.kolo'!$L$3:$L$66,1,0))&gt;3,IF(TYPE(VLOOKUP($A111,'4.kolo'!$O$3:$Q$66,3,0))&gt;3,0,VLOOKUP($A111,'4.kolo'!$O$3:$Q$66,3,0)),VLOOKUP($A111,'4.kolo'!$L$3:$N$66,3,0))</f>
        <v>0</v>
      </c>
      <c r="BK111" s="318">
        <f t="shared" ca="1" si="56"/>
        <v>0</v>
      </c>
      <c r="BL111" s="397" t="s">
        <v>1869</v>
      </c>
      <c r="BM111" s="424" t="str">
        <f ca="1">IF(BL111="","",CONCATENATE(TEXT($O111,"0"),IF(Start.listina!$Y$5="","",TEXT(500+$P111,"000")),TEXT(999999*RAND(),"000000")))</f>
        <v/>
      </c>
      <c r="BN111" s="318">
        <f t="shared" ca="1" si="65"/>
        <v>0</v>
      </c>
      <c r="BQ111" s="318" t="str">
        <f ca="1">IF(TYPE(VLOOKUP($A111,'5.kolo'!$L$3:$L$66,1,0))&gt;3,IF(TYPE(VLOOKUP($A111,'5.kolo'!$K$3:$L$66,2,0))&gt;3,0,VLOOKUP($A111,'5.kolo'!$K$3:$L$66,2,0)),VLOOKUP($A111,'5.kolo'!$L$3:$O$66,4,0))</f>
        <v/>
      </c>
      <c r="BR111" s="318">
        <f ca="1">IF(TYPE(VLOOKUP($A111,'5.kolo'!$L$3:$L$66,1,0))&gt;3,IF(TYPE(VLOOKUP($A111,'5.kolo'!$O$3:$Q$66,2,0))&gt;3,0,VLOOKUP($A111,'5.kolo'!$O$3:$Q$66,2,0)),VLOOKUP($A111,'5.kolo'!$L$3:$N$66,2,0))</f>
        <v>0</v>
      </c>
      <c r="BS111" s="318">
        <f ca="1">IF(TYPE(VLOOKUP($A111,'5.kolo'!$L$3:$L$66,1,0))&gt;3,IF(TYPE(VLOOKUP($A111,'5.kolo'!$O$3:$Q$66,3,0))&gt;3,0,VLOOKUP($A111,'5.kolo'!$O$3:$Q$66,3,0)),VLOOKUP($A111,'5.kolo'!$L$3:$N$66,3,0))</f>
        <v>0</v>
      </c>
      <c r="BT111" s="318">
        <f t="shared" ca="1" si="57"/>
        <v>0</v>
      </c>
      <c r="BU111" s="397"/>
      <c r="BV111" s="424" t="str">
        <f ca="1">IF(BU111="","",CONCATENATE(TEXT($O111,"0"),IF(Start.listina!$Y$5="","",TEXT(500+$P111,"000")),TEXT(999999*RAND(),"000000")))</f>
        <v/>
      </c>
      <c r="BW111" s="318">
        <f t="shared" ca="1" si="66"/>
        <v>0</v>
      </c>
      <c r="BZ111" s="318" t="str">
        <f ca="1">IF(TYPE(VLOOKUP($A111,'6.kolo'!$L$3:$L$66,1,0))&gt;3,IF(TYPE(VLOOKUP($A111,'6.kolo'!$K$3:$L$66,2,0))&gt;3,0,VLOOKUP($A111,'6.kolo'!$K$3:$L$66,2,0)),VLOOKUP($A111,'6.kolo'!$L$3:$O$66,4,0))</f>
        <v/>
      </c>
      <c r="CA111" s="318">
        <f ca="1">IF(TYPE(VLOOKUP($A111,'6.kolo'!$L$3:$L$66,1,0))&gt;3,IF(TYPE(VLOOKUP($A111,'6.kolo'!$O$3:$Q$66,2,0))&gt;3,0,VLOOKUP($A111,'6.kolo'!$O$3:$Q$66,2,0)),VLOOKUP($A111,'6.kolo'!$L$3:$N$66,2,0))</f>
        <v>0</v>
      </c>
      <c r="CB111" s="318">
        <f ca="1">IF(TYPE(VLOOKUP($A111,'6.kolo'!$L$3:$L$66,1,0))&gt;3,IF(TYPE(VLOOKUP($A111,'6.kolo'!$O$3:$Q$66,3,0))&gt;3,0,VLOOKUP($A111,'6.kolo'!$O$3:$Q$66,3,0)),VLOOKUP($A111,'6.kolo'!$L$3:$N$66,3,0))</f>
        <v>0</v>
      </c>
      <c r="CC111" s="318">
        <f t="shared" ca="1" si="58"/>
        <v>0</v>
      </c>
      <c r="CD111" s="397"/>
      <c r="CE111" s="424" t="str">
        <f ca="1">IF(CD111="","",CONCATENATE(TEXT($O111,"0"),IF(Start.listina!$Y$5="","",TEXT(500+$P111,"000")),TEXT(999999*RAND(),"000000")))</f>
        <v/>
      </c>
      <c r="CF111" s="318">
        <f t="shared" ca="1" si="67"/>
        <v>0</v>
      </c>
    </row>
    <row r="112" spans="1:84" x14ac:dyDescent="0.4">
      <c r="A112" s="318" t="str">
        <f ca="1">IF(OR(Start.listina!H120&gt;Start.listina!$K$7,Start.listina!G120=TRUE),"",Start.listina!H120)</f>
        <v/>
      </c>
      <c r="B112" s="318" t="str">
        <f ca="1">IF($A112&gt;Start.listina!$K$7,"",INT(($A112-1)/Start.listina!$O$7)+1)</f>
        <v/>
      </c>
      <c r="C112" s="421" t="str">
        <f ca="1">IF(OR(Start.listina!H120&gt;Start.listina!$K$7,Start.listina!G120=TRUE)," - ",Start.listina!AL120)</f>
        <v xml:space="preserve"> - </v>
      </c>
      <c r="D112" s="318" t="str">
        <f ca="1">IF(OR(A112&gt;Start.listina!$K$7,TYPE(VLOOKUP(A112,$V$3:$X$130,3,0))&gt;3),"",VLOOKUP(A112,$V$3:$X$130,3,0))</f>
        <v/>
      </c>
      <c r="E112" s="422" t="str">
        <f ca="1">IF(A112&gt;Start.listina!$K$7,"",IF(MIN(F112:K112)&gt;Start.listina!$Y$4,D112,MIN(F112:K112)))</f>
        <v/>
      </c>
      <c r="F112" s="318">
        <f ca="1">IF(TYPE(VLOOKUP(C112,Konečné_pořadí_1_16!$B$2:$D$17,3,0))&lt;4,VLOOKUP(C112,Konečné_pořadí_1_16!$B$2:$D$17,3,0),999)</f>
        <v>999</v>
      </c>
      <c r="G112" s="318">
        <f ca="1">IF(TYPE(VLOOKUP(C112,'KO64'!$D$4:$D$129,1,0))&lt;4,64,999)</f>
        <v>64</v>
      </c>
      <c r="H112" s="318">
        <f ca="1">IF(TYPE(VLOOKUP(C112,'KO32'!$D$4:$D$65,1,0))&lt;4,32,999)</f>
        <v>32</v>
      </c>
      <c r="I112" s="318">
        <f ca="1">IF(TYPE(VLOOKUP(C112,'KO16'!$D$4:$D$33,1,0))&lt;4,16,999)</f>
        <v>999</v>
      </c>
      <c r="J112" s="318">
        <f ca="1">IF(TYPE(VLOOKUP(C112,'KO8'!$D$4:$D$17,1,0))&lt;4,8,999)</f>
        <v>999</v>
      </c>
      <c r="K112" s="318">
        <f ca="1">IF(TYPE(VLOOKUP(C112,'KO4'!$D$4:$D$9,1,0))&lt;4,4,999)</f>
        <v>999</v>
      </c>
      <c r="M112" s="319">
        <v>110</v>
      </c>
      <c r="O112" s="318">
        <f t="shared" ca="1" si="42"/>
        <v>0</v>
      </c>
      <c r="P112" s="318">
        <f t="shared" ca="1" si="43"/>
        <v>0</v>
      </c>
      <c r="Q112" s="318">
        <f t="shared" ca="1" si="60"/>
        <v>2</v>
      </c>
      <c r="R112" s="318">
        <f t="shared" ca="1" si="61"/>
        <v>0</v>
      </c>
      <c r="S112" s="318">
        <f t="shared" ca="1" si="44"/>
        <v>18</v>
      </c>
      <c r="T112" s="318">
        <f t="shared" ca="1" si="45"/>
        <v>0</v>
      </c>
      <c r="U112" s="397">
        <f t="shared" si="59"/>
        <v>110</v>
      </c>
      <c r="V112" s="397" t="s">
        <v>1869</v>
      </c>
      <c r="W112" s="423" t="str">
        <f ca="1">IF($V112="","",CONCATENATE(TEXT($O112,"0"),IF(Start.listina!$Y$5="","",TEXT(500+$P112,"0000")),IF(Start.listina!$Y$6="","",CHOOSE(Start.listina!$Y$7,TEXT($Q112,"00"),CONCATENATE(TEXT($Q112,"00"),TEXT($S112,"000")), TEXT($R112,"00"))),TEXT(500+$P112,"0000"),IF(Start.listina!$Y$8="","",TEXT($T112,"0")),TEXT(999999*RAND(),"000000")))</f>
        <v/>
      </c>
      <c r="X112" s="399">
        <f t="shared" si="46"/>
        <v>110</v>
      </c>
      <c r="Y112" s="397">
        <f t="shared" ca="1" si="62"/>
        <v>0</v>
      </c>
      <c r="Z112" s="318">
        <f t="shared" ca="1" si="47"/>
        <v>57</v>
      </c>
      <c r="AA112" s="318" t="str">
        <f t="shared" ca="1" si="48"/>
        <v/>
      </c>
      <c r="AB112" s="318" t="str">
        <f t="shared" ca="1" si="49"/>
        <v/>
      </c>
      <c r="AC112" s="318" t="str">
        <f t="shared" ca="1" si="50"/>
        <v/>
      </c>
      <c r="AD112" s="318" t="str">
        <f t="shared" ca="1" si="51"/>
        <v/>
      </c>
      <c r="AE112" s="318" t="str">
        <f t="shared" ca="1" si="52"/>
        <v/>
      </c>
      <c r="AG112" s="318">
        <f ca="1">IF(TYPE(VLOOKUP($A112,'1.kolo'!$L$3:$L$66,1,0))&gt;3,VLOOKUP($A112,'1.kolo'!$K$3:$L$66,2,0),VLOOKUP($A112,'1.kolo'!$L$3:$O$66,4,0))</f>
        <v>57</v>
      </c>
      <c r="AH112" s="318">
        <f ca="1">IF(TYPE(VLOOKUP($A112,'1.kolo'!$L$3:$L$66,1,0))&gt;3,VLOOKUP($A112,'1.kolo'!$O$3:$Q$66,2,0),VLOOKUP($A112,'1.kolo'!$L$3:$N$66,2,0))</f>
        <v>0</v>
      </c>
      <c r="AI112" s="318">
        <f ca="1">IF(TYPE(VLOOKUP($A112,'1.kolo'!$L$3:$L$66,1,0))&gt;3,VLOOKUP($A112,'1.kolo'!$O$3:$Q$66,3,0),VLOOKUP($A112,'1.kolo'!$L$3:$N$66,3,0))</f>
        <v>0</v>
      </c>
      <c r="AJ112" s="318">
        <f t="shared" ca="1" si="53"/>
        <v>0</v>
      </c>
      <c r="AK112" s="318">
        <v>110</v>
      </c>
      <c r="AL112" s="424"/>
      <c r="AP112" s="318" t="str">
        <f ca="1">IF(TYPE(VLOOKUP($A112,'2.kolo'!$L$3:$L$66,1,0))&gt;3,IF(TYPE(VLOOKUP($A112,'2.kolo'!$K$3:$L$66,2,0))&gt;3,0,VLOOKUP($A112,'2.kolo'!$K$3:$L$66,2,0)),VLOOKUP($A112,'2.kolo'!$L$3:$O$66,4,0))</f>
        <v/>
      </c>
      <c r="AQ112" s="318">
        <f ca="1">IF(TYPE(VLOOKUP($A112,'2.kolo'!$L$3:$L$66,1,0))&gt;3,IF(TYPE(VLOOKUP($A112,'2.kolo'!$O$3:$Q$66,2,0))&gt;3,0,VLOOKUP($A112,'2.kolo'!$O$3:$Q$66,2,0)),VLOOKUP($A112,'2.kolo'!$L$3:$N$66,2,0))</f>
        <v>0</v>
      </c>
      <c r="AR112" s="318">
        <f ca="1">IF(TYPE(VLOOKUP($A112,'2.kolo'!$L$3:$L$66,1,0))&gt;3,IF(TYPE(VLOOKUP($A112,'2.kolo'!$O$3:$Q$66,3,0))&gt;3,0,VLOOKUP($A112,'2.kolo'!$O$3:$Q$66,3,0)),VLOOKUP($A112,'2.kolo'!$L$3:$N$66,3,0))</f>
        <v>0</v>
      </c>
      <c r="AS112" s="318">
        <f t="shared" ca="1" si="54"/>
        <v>0</v>
      </c>
      <c r="AT112" s="397" t="s">
        <v>1869</v>
      </c>
      <c r="AU112" s="424" t="str">
        <f ca="1">IF(AT112="","",CONCATENATE(TEXT($O112,"0"),IF(Start.listina!$Y$5="","",TEXT(500+$P112,"000")),TEXT(999999*RAND(),"000000")))</f>
        <v/>
      </c>
      <c r="AV112" s="318">
        <f t="shared" ca="1" si="63"/>
        <v>0</v>
      </c>
      <c r="AY112" s="318" t="str">
        <f ca="1">IF(TYPE(VLOOKUP($A112,'3.kolo'!$L$3:$L$66,1,0))&gt;3,IF(TYPE(VLOOKUP($A112,'3.kolo'!$K$3:$L$66,2,0))&gt;3,0,VLOOKUP($A112,'3.kolo'!$K$3:$L$66,2,0)),VLOOKUP($A112,'3.kolo'!$L$3:$O$66,4,0))</f>
        <v/>
      </c>
      <c r="AZ112" s="318">
        <f ca="1">IF(TYPE(VLOOKUP($A112,'3.kolo'!$L$3:$L$66,1,0))&gt;3,IF(TYPE(VLOOKUP($A112,'3.kolo'!$O$3:$Q$66,2,0))&gt;3,0,VLOOKUP($A112,'3.kolo'!$O$3:$Q$66,2,0)),VLOOKUP($A112,'3.kolo'!$L$3:$N$66,2,0))</f>
        <v>0</v>
      </c>
      <c r="BA112" s="318">
        <f ca="1">IF(TYPE(VLOOKUP($A112,'3.kolo'!$L$3:$L$66,1,0))&gt;3,IF(TYPE(VLOOKUP($A112,'3.kolo'!$O$3:$Q$66,3,0))&gt;3,0,VLOOKUP($A112,'3.kolo'!$O$3:$Q$66,3,0)),VLOOKUP($A112,'3.kolo'!$L$3:$N$66,3,0))</f>
        <v>0</v>
      </c>
      <c r="BB112" s="318">
        <f t="shared" ca="1" si="55"/>
        <v>0</v>
      </c>
      <c r="BC112" s="397" t="s">
        <v>1869</v>
      </c>
      <c r="BD112" s="424" t="str">
        <f ca="1">IF(BC112="","",CONCATENATE(TEXT($O112,"0"),IF(Start.listina!$Y$5="","",TEXT(500+$P112,"000")),TEXT(999999*RAND(),"000000")))</f>
        <v/>
      </c>
      <c r="BE112" s="318">
        <f t="shared" ca="1" si="64"/>
        <v>0</v>
      </c>
      <c r="BH112" s="318" t="str">
        <f ca="1">IF(TYPE(VLOOKUP($A112,'4.kolo'!$L$3:$L$66,1,0))&gt;3,IF(TYPE(VLOOKUP($A112,'4.kolo'!$K$3:$L$66,2,0))&gt;3,0,VLOOKUP($A112,'4.kolo'!$K$3:$L$66,2,0)),VLOOKUP($A112,'4.kolo'!$L$3:$O$66,4,0))</f>
        <v/>
      </c>
      <c r="BI112" s="318">
        <f ca="1">IF(TYPE(VLOOKUP($A112,'4.kolo'!$L$3:$L$66,1,0))&gt;3,IF(TYPE(VLOOKUP($A112,'4.kolo'!$O$3:$Q$66,2,0))&gt;3,0,VLOOKUP($A112,'4.kolo'!$O$3:$Q$66,2,0)),VLOOKUP($A112,'4.kolo'!$L$3:$N$66,2,0))</f>
        <v>0</v>
      </c>
      <c r="BJ112" s="318">
        <f ca="1">IF(TYPE(VLOOKUP($A112,'4.kolo'!$L$3:$L$66,1,0))&gt;3,IF(TYPE(VLOOKUP($A112,'4.kolo'!$O$3:$Q$66,3,0))&gt;3,0,VLOOKUP($A112,'4.kolo'!$O$3:$Q$66,3,0)),VLOOKUP($A112,'4.kolo'!$L$3:$N$66,3,0))</f>
        <v>0</v>
      </c>
      <c r="BK112" s="318">
        <f t="shared" ca="1" si="56"/>
        <v>0</v>
      </c>
      <c r="BL112" s="397" t="s">
        <v>1869</v>
      </c>
      <c r="BM112" s="424" t="str">
        <f ca="1">IF(BL112="","",CONCATENATE(TEXT($O112,"0"),IF(Start.listina!$Y$5="","",TEXT(500+$P112,"000")),TEXT(999999*RAND(),"000000")))</f>
        <v/>
      </c>
      <c r="BN112" s="318">
        <f t="shared" ca="1" si="65"/>
        <v>0</v>
      </c>
      <c r="BQ112" s="318" t="str">
        <f ca="1">IF(TYPE(VLOOKUP($A112,'5.kolo'!$L$3:$L$66,1,0))&gt;3,IF(TYPE(VLOOKUP($A112,'5.kolo'!$K$3:$L$66,2,0))&gt;3,0,VLOOKUP($A112,'5.kolo'!$K$3:$L$66,2,0)),VLOOKUP($A112,'5.kolo'!$L$3:$O$66,4,0))</f>
        <v/>
      </c>
      <c r="BR112" s="318">
        <f ca="1">IF(TYPE(VLOOKUP($A112,'5.kolo'!$L$3:$L$66,1,0))&gt;3,IF(TYPE(VLOOKUP($A112,'5.kolo'!$O$3:$Q$66,2,0))&gt;3,0,VLOOKUP($A112,'5.kolo'!$O$3:$Q$66,2,0)),VLOOKUP($A112,'5.kolo'!$L$3:$N$66,2,0))</f>
        <v>0</v>
      </c>
      <c r="BS112" s="318">
        <f ca="1">IF(TYPE(VLOOKUP($A112,'5.kolo'!$L$3:$L$66,1,0))&gt;3,IF(TYPE(VLOOKUP($A112,'5.kolo'!$O$3:$Q$66,3,0))&gt;3,0,VLOOKUP($A112,'5.kolo'!$O$3:$Q$66,3,0)),VLOOKUP($A112,'5.kolo'!$L$3:$N$66,3,0))</f>
        <v>0</v>
      </c>
      <c r="BT112" s="318">
        <f t="shared" ca="1" si="57"/>
        <v>0</v>
      </c>
      <c r="BU112" s="397"/>
      <c r="BV112" s="424" t="str">
        <f ca="1">IF(BU112="","",CONCATENATE(TEXT($O112,"0"),IF(Start.listina!$Y$5="","",TEXT(500+$P112,"000")),TEXT(999999*RAND(),"000000")))</f>
        <v/>
      </c>
      <c r="BW112" s="318">
        <f t="shared" ca="1" si="66"/>
        <v>0</v>
      </c>
      <c r="BZ112" s="318" t="str">
        <f ca="1">IF(TYPE(VLOOKUP($A112,'6.kolo'!$L$3:$L$66,1,0))&gt;3,IF(TYPE(VLOOKUP($A112,'6.kolo'!$K$3:$L$66,2,0))&gt;3,0,VLOOKUP($A112,'6.kolo'!$K$3:$L$66,2,0)),VLOOKUP($A112,'6.kolo'!$L$3:$O$66,4,0))</f>
        <v/>
      </c>
      <c r="CA112" s="318">
        <f ca="1">IF(TYPE(VLOOKUP($A112,'6.kolo'!$L$3:$L$66,1,0))&gt;3,IF(TYPE(VLOOKUP($A112,'6.kolo'!$O$3:$Q$66,2,0))&gt;3,0,VLOOKUP($A112,'6.kolo'!$O$3:$Q$66,2,0)),VLOOKUP($A112,'6.kolo'!$L$3:$N$66,2,0))</f>
        <v>0</v>
      </c>
      <c r="CB112" s="318">
        <f ca="1">IF(TYPE(VLOOKUP($A112,'6.kolo'!$L$3:$L$66,1,0))&gt;3,IF(TYPE(VLOOKUP($A112,'6.kolo'!$O$3:$Q$66,3,0))&gt;3,0,VLOOKUP($A112,'6.kolo'!$O$3:$Q$66,3,0)),VLOOKUP($A112,'6.kolo'!$L$3:$N$66,3,0))</f>
        <v>0</v>
      </c>
      <c r="CC112" s="318">
        <f t="shared" ca="1" si="58"/>
        <v>0</v>
      </c>
      <c r="CD112" s="397"/>
      <c r="CE112" s="424" t="str">
        <f ca="1">IF(CD112="","",CONCATENATE(TEXT($O112,"0"),IF(Start.listina!$Y$5="","",TEXT(500+$P112,"000")),TEXT(999999*RAND(),"000000")))</f>
        <v/>
      </c>
      <c r="CF112" s="318">
        <f t="shared" ca="1" si="67"/>
        <v>0</v>
      </c>
    </row>
    <row r="113" spans="1:84" x14ac:dyDescent="0.4">
      <c r="A113" s="318" t="str">
        <f ca="1">IF(OR(Start.listina!H121&gt;Start.listina!$K$7,Start.listina!G121=TRUE),"",Start.listina!H121)</f>
        <v/>
      </c>
      <c r="B113" s="318" t="str">
        <f ca="1">IF($A113&gt;Start.listina!$K$7,"",INT(($A113-1)/Start.listina!$O$7)+1)</f>
        <v/>
      </c>
      <c r="C113" s="421" t="str">
        <f ca="1">IF(OR(Start.listina!H121&gt;Start.listina!$K$7,Start.listina!G121=TRUE)," - ",Start.listina!AL121)</f>
        <v xml:space="preserve"> - </v>
      </c>
      <c r="D113" s="318" t="str">
        <f ca="1">IF(OR(A113&gt;Start.listina!$K$7,TYPE(VLOOKUP(A113,$V$3:$X$130,3,0))&gt;3),"",VLOOKUP(A113,$V$3:$X$130,3,0))</f>
        <v/>
      </c>
      <c r="E113" s="422" t="str">
        <f ca="1">IF(A113&gt;Start.listina!$K$7,"",IF(MIN(F113:K113)&gt;Start.listina!$Y$4,D113,MIN(F113:K113)))</f>
        <v/>
      </c>
      <c r="F113" s="318">
        <f ca="1">IF(TYPE(VLOOKUP(C113,Konečné_pořadí_1_16!$B$2:$D$17,3,0))&lt;4,VLOOKUP(C113,Konečné_pořadí_1_16!$B$2:$D$17,3,0),999)</f>
        <v>999</v>
      </c>
      <c r="G113" s="318">
        <f ca="1">IF(TYPE(VLOOKUP(C113,'KO64'!$D$4:$D$129,1,0))&lt;4,64,999)</f>
        <v>64</v>
      </c>
      <c r="H113" s="318">
        <f ca="1">IF(TYPE(VLOOKUP(C113,'KO32'!$D$4:$D$65,1,0))&lt;4,32,999)</f>
        <v>32</v>
      </c>
      <c r="I113" s="318">
        <f ca="1">IF(TYPE(VLOOKUP(C113,'KO16'!$D$4:$D$33,1,0))&lt;4,16,999)</f>
        <v>999</v>
      </c>
      <c r="J113" s="318">
        <f ca="1">IF(TYPE(VLOOKUP(C113,'KO8'!$D$4:$D$17,1,0))&lt;4,8,999)</f>
        <v>999</v>
      </c>
      <c r="K113" s="318">
        <f ca="1">IF(TYPE(VLOOKUP(C113,'KO4'!$D$4:$D$9,1,0))&lt;4,4,999)</f>
        <v>999</v>
      </c>
      <c r="M113" s="319">
        <v>111</v>
      </c>
      <c r="O113" s="318">
        <f t="shared" ca="1" si="42"/>
        <v>0</v>
      </c>
      <c r="P113" s="318">
        <f t="shared" ca="1" si="43"/>
        <v>0</v>
      </c>
      <c r="Q113" s="318">
        <f t="shared" ca="1" si="60"/>
        <v>2</v>
      </c>
      <c r="R113" s="318">
        <f t="shared" ca="1" si="61"/>
        <v>0</v>
      </c>
      <c r="S113" s="318">
        <f t="shared" ca="1" si="44"/>
        <v>18</v>
      </c>
      <c r="T113" s="318">
        <f t="shared" ca="1" si="45"/>
        <v>0</v>
      </c>
      <c r="U113" s="397">
        <f t="shared" si="59"/>
        <v>111</v>
      </c>
      <c r="V113" s="397" t="s">
        <v>1869</v>
      </c>
      <c r="W113" s="423" t="str">
        <f ca="1">IF($V113="","",CONCATENATE(TEXT($O113,"0"),IF(Start.listina!$Y$5="","",TEXT(500+$P113,"0000")),IF(Start.listina!$Y$6="","",CHOOSE(Start.listina!$Y$7,TEXT($Q113,"00"),CONCATENATE(TEXT($Q113,"00"),TEXT($S113,"000")), TEXT($R113,"00"))),TEXT(500+$P113,"0000"),IF(Start.listina!$Y$8="","",TEXT($T113,"0")),TEXT(999999*RAND(),"000000")))</f>
        <v/>
      </c>
      <c r="X113" s="399">
        <f t="shared" si="46"/>
        <v>111</v>
      </c>
      <c r="Y113" s="397">
        <f t="shared" ca="1" si="62"/>
        <v>0</v>
      </c>
      <c r="Z113" s="318">
        <f t="shared" ca="1" si="47"/>
        <v>57</v>
      </c>
      <c r="AA113" s="318" t="str">
        <f t="shared" ca="1" si="48"/>
        <v/>
      </c>
      <c r="AB113" s="318" t="str">
        <f t="shared" ca="1" si="49"/>
        <v/>
      </c>
      <c r="AC113" s="318" t="str">
        <f t="shared" ca="1" si="50"/>
        <v/>
      </c>
      <c r="AD113" s="318" t="str">
        <f t="shared" ca="1" si="51"/>
        <v/>
      </c>
      <c r="AE113" s="318" t="str">
        <f t="shared" ca="1" si="52"/>
        <v/>
      </c>
      <c r="AG113" s="318">
        <f ca="1">IF(TYPE(VLOOKUP($A113,'1.kolo'!$L$3:$L$66,1,0))&gt;3,VLOOKUP($A113,'1.kolo'!$K$3:$L$66,2,0),VLOOKUP($A113,'1.kolo'!$L$3:$O$66,4,0))</f>
        <v>57</v>
      </c>
      <c r="AH113" s="318">
        <f ca="1">IF(TYPE(VLOOKUP($A113,'1.kolo'!$L$3:$L$66,1,0))&gt;3,VLOOKUP($A113,'1.kolo'!$O$3:$Q$66,2,0),VLOOKUP($A113,'1.kolo'!$L$3:$N$66,2,0))</f>
        <v>0</v>
      </c>
      <c r="AI113" s="318">
        <f ca="1">IF(TYPE(VLOOKUP($A113,'1.kolo'!$L$3:$L$66,1,0))&gt;3,VLOOKUP($A113,'1.kolo'!$O$3:$Q$66,3,0),VLOOKUP($A113,'1.kolo'!$L$3:$N$66,3,0))</f>
        <v>0</v>
      </c>
      <c r="AJ113" s="318">
        <f t="shared" ca="1" si="53"/>
        <v>0</v>
      </c>
      <c r="AK113" s="318">
        <v>111</v>
      </c>
      <c r="AL113" s="424"/>
      <c r="AP113" s="318" t="str">
        <f ca="1">IF(TYPE(VLOOKUP($A113,'2.kolo'!$L$3:$L$66,1,0))&gt;3,IF(TYPE(VLOOKUP($A113,'2.kolo'!$K$3:$L$66,2,0))&gt;3,0,VLOOKUP($A113,'2.kolo'!$K$3:$L$66,2,0)),VLOOKUP($A113,'2.kolo'!$L$3:$O$66,4,0))</f>
        <v/>
      </c>
      <c r="AQ113" s="318">
        <f ca="1">IF(TYPE(VLOOKUP($A113,'2.kolo'!$L$3:$L$66,1,0))&gt;3,IF(TYPE(VLOOKUP($A113,'2.kolo'!$O$3:$Q$66,2,0))&gt;3,0,VLOOKUP($A113,'2.kolo'!$O$3:$Q$66,2,0)),VLOOKUP($A113,'2.kolo'!$L$3:$N$66,2,0))</f>
        <v>0</v>
      </c>
      <c r="AR113" s="318">
        <f ca="1">IF(TYPE(VLOOKUP($A113,'2.kolo'!$L$3:$L$66,1,0))&gt;3,IF(TYPE(VLOOKUP($A113,'2.kolo'!$O$3:$Q$66,3,0))&gt;3,0,VLOOKUP($A113,'2.kolo'!$O$3:$Q$66,3,0)),VLOOKUP($A113,'2.kolo'!$L$3:$N$66,3,0))</f>
        <v>0</v>
      </c>
      <c r="AS113" s="318">
        <f t="shared" ca="1" si="54"/>
        <v>0</v>
      </c>
      <c r="AT113" s="397" t="s">
        <v>1869</v>
      </c>
      <c r="AU113" s="424" t="str">
        <f ca="1">IF(AT113="","",CONCATENATE(TEXT($O113,"0"),IF(Start.listina!$Y$5="","",TEXT(500+$P113,"000")),TEXT(999999*RAND(),"000000")))</f>
        <v/>
      </c>
      <c r="AV113" s="318">
        <f t="shared" ca="1" si="63"/>
        <v>0</v>
      </c>
      <c r="AY113" s="318" t="str">
        <f ca="1">IF(TYPE(VLOOKUP($A113,'3.kolo'!$L$3:$L$66,1,0))&gt;3,IF(TYPE(VLOOKUP($A113,'3.kolo'!$K$3:$L$66,2,0))&gt;3,0,VLOOKUP($A113,'3.kolo'!$K$3:$L$66,2,0)),VLOOKUP($A113,'3.kolo'!$L$3:$O$66,4,0))</f>
        <v/>
      </c>
      <c r="AZ113" s="318">
        <f ca="1">IF(TYPE(VLOOKUP($A113,'3.kolo'!$L$3:$L$66,1,0))&gt;3,IF(TYPE(VLOOKUP($A113,'3.kolo'!$O$3:$Q$66,2,0))&gt;3,0,VLOOKUP($A113,'3.kolo'!$O$3:$Q$66,2,0)),VLOOKUP($A113,'3.kolo'!$L$3:$N$66,2,0))</f>
        <v>0</v>
      </c>
      <c r="BA113" s="318">
        <f ca="1">IF(TYPE(VLOOKUP($A113,'3.kolo'!$L$3:$L$66,1,0))&gt;3,IF(TYPE(VLOOKUP($A113,'3.kolo'!$O$3:$Q$66,3,0))&gt;3,0,VLOOKUP($A113,'3.kolo'!$O$3:$Q$66,3,0)),VLOOKUP($A113,'3.kolo'!$L$3:$N$66,3,0))</f>
        <v>0</v>
      </c>
      <c r="BB113" s="318">
        <f t="shared" ca="1" si="55"/>
        <v>0</v>
      </c>
      <c r="BC113" s="397" t="s">
        <v>1869</v>
      </c>
      <c r="BD113" s="424" t="str">
        <f ca="1">IF(BC113="","",CONCATENATE(TEXT($O113,"0"),IF(Start.listina!$Y$5="","",TEXT(500+$P113,"000")),TEXT(999999*RAND(),"000000")))</f>
        <v/>
      </c>
      <c r="BE113" s="318">
        <f t="shared" ca="1" si="64"/>
        <v>0</v>
      </c>
      <c r="BH113" s="318" t="str">
        <f ca="1">IF(TYPE(VLOOKUP($A113,'4.kolo'!$L$3:$L$66,1,0))&gt;3,IF(TYPE(VLOOKUP($A113,'4.kolo'!$K$3:$L$66,2,0))&gt;3,0,VLOOKUP($A113,'4.kolo'!$K$3:$L$66,2,0)),VLOOKUP($A113,'4.kolo'!$L$3:$O$66,4,0))</f>
        <v/>
      </c>
      <c r="BI113" s="318">
        <f ca="1">IF(TYPE(VLOOKUP($A113,'4.kolo'!$L$3:$L$66,1,0))&gt;3,IF(TYPE(VLOOKUP($A113,'4.kolo'!$O$3:$Q$66,2,0))&gt;3,0,VLOOKUP($A113,'4.kolo'!$O$3:$Q$66,2,0)),VLOOKUP($A113,'4.kolo'!$L$3:$N$66,2,0))</f>
        <v>0</v>
      </c>
      <c r="BJ113" s="318">
        <f ca="1">IF(TYPE(VLOOKUP($A113,'4.kolo'!$L$3:$L$66,1,0))&gt;3,IF(TYPE(VLOOKUP($A113,'4.kolo'!$O$3:$Q$66,3,0))&gt;3,0,VLOOKUP($A113,'4.kolo'!$O$3:$Q$66,3,0)),VLOOKUP($A113,'4.kolo'!$L$3:$N$66,3,0))</f>
        <v>0</v>
      </c>
      <c r="BK113" s="318">
        <f t="shared" ca="1" si="56"/>
        <v>0</v>
      </c>
      <c r="BL113" s="397" t="s">
        <v>1869</v>
      </c>
      <c r="BM113" s="424" t="str">
        <f ca="1">IF(BL113="","",CONCATENATE(TEXT($O113,"0"),IF(Start.listina!$Y$5="","",TEXT(500+$P113,"000")),TEXT(999999*RAND(),"000000")))</f>
        <v/>
      </c>
      <c r="BN113" s="318">
        <f t="shared" ca="1" si="65"/>
        <v>0</v>
      </c>
      <c r="BQ113" s="318" t="str">
        <f ca="1">IF(TYPE(VLOOKUP($A113,'5.kolo'!$L$3:$L$66,1,0))&gt;3,IF(TYPE(VLOOKUP($A113,'5.kolo'!$K$3:$L$66,2,0))&gt;3,0,VLOOKUP($A113,'5.kolo'!$K$3:$L$66,2,0)),VLOOKUP($A113,'5.kolo'!$L$3:$O$66,4,0))</f>
        <v/>
      </c>
      <c r="BR113" s="318">
        <f ca="1">IF(TYPE(VLOOKUP($A113,'5.kolo'!$L$3:$L$66,1,0))&gt;3,IF(TYPE(VLOOKUP($A113,'5.kolo'!$O$3:$Q$66,2,0))&gt;3,0,VLOOKUP($A113,'5.kolo'!$O$3:$Q$66,2,0)),VLOOKUP($A113,'5.kolo'!$L$3:$N$66,2,0))</f>
        <v>0</v>
      </c>
      <c r="BS113" s="318">
        <f ca="1">IF(TYPE(VLOOKUP($A113,'5.kolo'!$L$3:$L$66,1,0))&gt;3,IF(TYPE(VLOOKUP($A113,'5.kolo'!$O$3:$Q$66,3,0))&gt;3,0,VLOOKUP($A113,'5.kolo'!$O$3:$Q$66,3,0)),VLOOKUP($A113,'5.kolo'!$L$3:$N$66,3,0))</f>
        <v>0</v>
      </c>
      <c r="BT113" s="318">
        <f t="shared" ca="1" si="57"/>
        <v>0</v>
      </c>
      <c r="BU113" s="397"/>
      <c r="BV113" s="424" t="str">
        <f ca="1">IF(BU113="","",CONCATENATE(TEXT($O113,"0"),IF(Start.listina!$Y$5="","",TEXT(500+$P113,"000")),TEXT(999999*RAND(),"000000")))</f>
        <v/>
      </c>
      <c r="BW113" s="318">
        <f t="shared" ca="1" si="66"/>
        <v>0</v>
      </c>
      <c r="BZ113" s="318" t="str">
        <f ca="1">IF(TYPE(VLOOKUP($A113,'6.kolo'!$L$3:$L$66,1,0))&gt;3,IF(TYPE(VLOOKUP($A113,'6.kolo'!$K$3:$L$66,2,0))&gt;3,0,VLOOKUP($A113,'6.kolo'!$K$3:$L$66,2,0)),VLOOKUP($A113,'6.kolo'!$L$3:$O$66,4,0))</f>
        <v/>
      </c>
      <c r="CA113" s="318">
        <f ca="1">IF(TYPE(VLOOKUP($A113,'6.kolo'!$L$3:$L$66,1,0))&gt;3,IF(TYPE(VLOOKUP($A113,'6.kolo'!$O$3:$Q$66,2,0))&gt;3,0,VLOOKUP($A113,'6.kolo'!$O$3:$Q$66,2,0)),VLOOKUP($A113,'6.kolo'!$L$3:$N$66,2,0))</f>
        <v>0</v>
      </c>
      <c r="CB113" s="318">
        <f ca="1">IF(TYPE(VLOOKUP($A113,'6.kolo'!$L$3:$L$66,1,0))&gt;3,IF(TYPE(VLOOKUP($A113,'6.kolo'!$O$3:$Q$66,3,0))&gt;3,0,VLOOKUP($A113,'6.kolo'!$O$3:$Q$66,3,0)),VLOOKUP($A113,'6.kolo'!$L$3:$N$66,3,0))</f>
        <v>0</v>
      </c>
      <c r="CC113" s="318">
        <f t="shared" ca="1" si="58"/>
        <v>0</v>
      </c>
      <c r="CD113" s="397"/>
      <c r="CE113" s="424" t="str">
        <f ca="1">IF(CD113="","",CONCATENATE(TEXT($O113,"0"),IF(Start.listina!$Y$5="","",TEXT(500+$P113,"000")),TEXT(999999*RAND(),"000000")))</f>
        <v/>
      </c>
      <c r="CF113" s="318">
        <f t="shared" ca="1" si="67"/>
        <v>0</v>
      </c>
    </row>
    <row r="114" spans="1:84" x14ac:dyDescent="0.4">
      <c r="A114" s="318" t="str">
        <f ca="1">IF(OR(Start.listina!H122&gt;Start.listina!$K$7,Start.listina!G122=TRUE),"",Start.listina!H122)</f>
        <v/>
      </c>
      <c r="B114" s="318" t="str">
        <f ca="1">IF($A114&gt;Start.listina!$K$7,"",INT(($A114-1)/Start.listina!$O$7)+1)</f>
        <v/>
      </c>
      <c r="C114" s="421" t="str">
        <f ca="1">IF(OR(Start.listina!H122&gt;Start.listina!$K$7,Start.listina!G122=TRUE)," - ",Start.listina!AL122)</f>
        <v xml:space="preserve"> - </v>
      </c>
      <c r="D114" s="318" t="str">
        <f ca="1">IF(OR(A114&gt;Start.listina!$K$7,TYPE(VLOOKUP(A114,$V$3:$X$130,3,0))&gt;3),"",VLOOKUP(A114,$V$3:$X$130,3,0))</f>
        <v/>
      </c>
      <c r="E114" s="422" t="str">
        <f ca="1">IF(A114&gt;Start.listina!$K$7,"",IF(MIN(F114:K114)&gt;Start.listina!$Y$4,D114,MIN(F114:K114)))</f>
        <v/>
      </c>
      <c r="F114" s="318">
        <f ca="1">IF(TYPE(VLOOKUP(C114,Konečné_pořadí_1_16!$B$2:$D$17,3,0))&lt;4,VLOOKUP(C114,Konečné_pořadí_1_16!$B$2:$D$17,3,0),999)</f>
        <v>999</v>
      </c>
      <c r="G114" s="318">
        <f ca="1">IF(TYPE(VLOOKUP(C114,'KO64'!$D$4:$D$129,1,0))&lt;4,64,999)</f>
        <v>64</v>
      </c>
      <c r="H114" s="318">
        <f ca="1">IF(TYPE(VLOOKUP(C114,'KO32'!$D$4:$D$65,1,0))&lt;4,32,999)</f>
        <v>32</v>
      </c>
      <c r="I114" s="318">
        <f ca="1">IF(TYPE(VLOOKUP(C114,'KO16'!$D$4:$D$33,1,0))&lt;4,16,999)</f>
        <v>999</v>
      </c>
      <c r="J114" s="318">
        <f ca="1">IF(TYPE(VLOOKUP(C114,'KO8'!$D$4:$D$17,1,0))&lt;4,8,999)</f>
        <v>999</v>
      </c>
      <c r="K114" s="318">
        <f ca="1">IF(TYPE(VLOOKUP(C114,'KO4'!$D$4:$D$9,1,0))&lt;4,4,999)</f>
        <v>999</v>
      </c>
      <c r="M114" s="319">
        <v>112</v>
      </c>
      <c r="O114" s="318">
        <f t="shared" ca="1" si="42"/>
        <v>0</v>
      </c>
      <c r="P114" s="318">
        <f t="shared" ca="1" si="43"/>
        <v>0</v>
      </c>
      <c r="Q114" s="318">
        <f t="shared" ca="1" si="60"/>
        <v>2</v>
      </c>
      <c r="R114" s="318">
        <f t="shared" ca="1" si="61"/>
        <v>0</v>
      </c>
      <c r="S114" s="318">
        <f t="shared" ca="1" si="44"/>
        <v>18</v>
      </c>
      <c r="T114" s="318">
        <f t="shared" ca="1" si="45"/>
        <v>0</v>
      </c>
      <c r="U114" s="397">
        <f t="shared" si="59"/>
        <v>112</v>
      </c>
      <c r="V114" s="397" t="s">
        <v>1869</v>
      </c>
      <c r="W114" s="423" t="str">
        <f ca="1">IF($V114="","",CONCATENATE(TEXT($O114,"0"),IF(Start.listina!$Y$5="","",TEXT(500+$P114,"0000")),IF(Start.listina!$Y$6="","",CHOOSE(Start.listina!$Y$7,TEXT($Q114,"00"),CONCATENATE(TEXT($Q114,"00"),TEXT($S114,"000")), TEXT($R114,"00"))),TEXT(500+$P114,"0000"),IF(Start.listina!$Y$8="","",TEXT($T114,"0")),TEXT(999999*RAND(),"000000")))</f>
        <v/>
      </c>
      <c r="X114" s="399">
        <f t="shared" si="46"/>
        <v>112</v>
      </c>
      <c r="Y114" s="397">
        <f t="shared" ca="1" si="62"/>
        <v>0</v>
      </c>
      <c r="Z114" s="318">
        <f t="shared" ca="1" si="47"/>
        <v>57</v>
      </c>
      <c r="AA114" s="318" t="str">
        <f t="shared" ca="1" si="48"/>
        <v/>
      </c>
      <c r="AB114" s="318" t="str">
        <f t="shared" ca="1" si="49"/>
        <v/>
      </c>
      <c r="AC114" s="318" t="str">
        <f t="shared" ca="1" si="50"/>
        <v/>
      </c>
      <c r="AD114" s="318" t="str">
        <f t="shared" ca="1" si="51"/>
        <v/>
      </c>
      <c r="AE114" s="318" t="str">
        <f t="shared" ca="1" si="52"/>
        <v/>
      </c>
      <c r="AG114" s="318">
        <f ca="1">IF(TYPE(VLOOKUP($A114,'1.kolo'!$L$3:$L$66,1,0))&gt;3,VLOOKUP($A114,'1.kolo'!$K$3:$L$66,2,0),VLOOKUP($A114,'1.kolo'!$L$3:$O$66,4,0))</f>
        <v>57</v>
      </c>
      <c r="AH114" s="318">
        <f ca="1">IF(TYPE(VLOOKUP($A114,'1.kolo'!$L$3:$L$66,1,0))&gt;3,VLOOKUP($A114,'1.kolo'!$O$3:$Q$66,2,0),VLOOKUP($A114,'1.kolo'!$L$3:$N$66,2,0))</f>
        <v>0</v>
      </c>
      <c r="AI114" s="318">
        <f ca="1">IF(TYPE(VLOOKUP($A114,'1.kolo'!$L$3:$L$66,1,0))&gt;3,VLOOKUP($A114,'1.kolo'!$O$3:$Q$66,3,0),VLOOKUP($A114,'1.kolo'!$L$3:$N$66,3,0))</f>
        <v>0</v>
      </c>
      <c r="AJ114" s="318">
        <f t="shared" ca="1" si="53"/>
        <v>0</v>
      </c>
      <c r="AK114" s="318">
        <v>112</v>
      </c>
      <c r="AL114" s="424"/>
      <c r="AP114" s="318" t="str">
        <f ca="1">IF(TYPE(VLOOKUP($A114,'2.kolo'!$L$3:$L$66,1,0))&gt;3,IF(TYPE(VLOOKUP($A114,'2.kolo'!$K$3:$L$66,2,0))&gt;3,0,VLOOKUP($A114,'2.kolo'!$K$3:$L$66,2,0)),VLOOKUP($A114,'2.kolo'!$L$3:$O$66,4,0))</f>
        <v/>
      </c>
      <c r="AQ114" s="318">
        <f ca="1">IF(TYPE(VLOOKUP($A114,'2.kolo'!$L$3:$L$66,1,0))&gt;3,IF(TYPE(VLOOKUP($A114,'2.kolo'!$O$3:$Q$66,2,0))&gt;3,0,VLOOKUP($A114,'2.kolo'!$O$3:$Q$66,2,0)),VLOOKUP($A114,'2.kolo'!$L$3:$N$66,2,0))</f>
        <v>0</v>
      </c>
      <c r="AR114" s="318">
        <f ca="1">IF(TYPE(VLOOKUP($A114,'2.kolo'!$L$3:$L$66,1,0))&gt;3,IF(TYPE(VLOOKUP($A114,'2.kolo'!$O$3:$Q$66,3,0))&gt;3,0,VLOOKUP($A114,'2.kolo'!$O$3:$Q$66,3,0)),VLOOKUP($A114,'2.kolo'!$L$3:$N$66,3,0))</f>
        <v>0</v>
      </c>
      <c r="AS114" s="318">
        <f t="shared" ca="1" si="54"/>
        <v>0</v>
      </c>
      <c r="AT114" s="397" t="s">
        <v>1869</v>
      </c>
      <c r="AU114" s="424" t="str">
        <f ca="1">IF(AT114="","",CONCATENATE(TEXT($O114,"0"),IF(Start.listina!$Y$5="","",TEXT(500+$P114,"000")),TEXT(999999*RAND(),"000000")))</f>
        <v/>
      </c>
      <c r="AV114" s="318">
        <f t="shared" ca="1" si="63"/>
        <v>0</v>
      </c>
      <c r="AY114" s="318" t="str">
        <f ca="1">IF(TYPE(VLOOKUP($A114,'3.kolo'!$L$3:$L$66,1,0))&gt;3,IF(TYPE(VLOOKUP($A114,'3.kolo'!$K$3:$L$66,2,0))&gt;3,0,VLOOKUP($A114,'3.kolo'!$K$3:$L$66,2,0)),VLOOKUP($A114,'3.kolo'!$L$3:$O$66,4,0))</f>
        <v/>
      </c>
      <c r="AZ114" s="318">
        <f ca="1">IF(TYPE(VLOOKUP($A114,'3.kolo'!$L$3:$L$66,1,0))&gt;3,IF(TYPE(VLOOKUP($A114,'3.kolo'!$O$3:$Q$66,2,0))&gt;3,0,VLOOKUP($A114,'3.kolo'!$O$3:$Q$66,2,0)),VLOOKUP($A114,'3.kolo'!$L$3:$N$66,2,0))</f>
        <v>0</v>
      </c>
      <c r="BA114" s="318">
        <f ca="1">IF(TYPE(VLOOKUP($A114,'3.kolo'!$L$3:$L$66,1,0))&gt;3,IF(TYPE(VLOOKUP($A114,'3.kolo'!$O$3:$Q$66,3,0))&gt;3,0,VLOOKUP($A114,'3.kolo'!$O$3:$Q$66,3,0)),VLOOKUP($A114,'3.kolo'!$L$3:$N$66,3,0))</f>
        <v>0</v>
      </c>
      <c r="BB114" s="318">
        <f t="shared" ca="1" si="55"/>
        <v>0</v>
      </c>
      <c r="BC114" s="397" t="s">
        <v>1869</v>
      </c>
      <c r="BD114" s="424" t="str">
        <f ca="1">IF(BC114="","",CONCATENATE(TEXT($O114,"0"),IF(Start.listina!$Y$5="","",TEXT(500+$P114,"000")),TEXT(999999*RAND(),"000000")))</f>
        <v/>
      </c>
      <c r="BE114" s="318">
        <f t="shared" ca="1" si="64"/>
        <v>0</v>
      </c>
      <c r="BH114" s="318" t="str">
        <f ca="1">IF(TYPE(VLOOKUP($A114,'4.kolo'!$L$3:$L$66,1,0))&gt;3,IF(TYPE(VLOOKUP($A114,'4.kolo'!$K$3:$L$66,2,0))&gt;3,0,VLOOKUP($A114,'4.kolo'!$K$3:$L$66,2,0)),VLOOKUP($A114,'4.kolo'!$L$3:$O$66,4,0))</f>
        <v/>
      </c>
      <c r="BI114" s="318">
        <f ca="1">IF(TYPE(VLOOKUP($A114,'4.kolo'!$L$3:$L$66,1,0))&gt;3,IF(TYPE(VLOOKUP($A114,'4.kolo'!$O$3:$Q$66,2,0))&gt;3,0,VLOOKUP($A114,'4.kolo'!$O$3:$Q$66,2,0)),VLOOKUP($A114,'4.kolo'!$L$3:$N$66,2,0))</f>
        <v>0</v>
      </c>
      <c r="BJ114" s="318">
        <f ca="1">IF(TYPE(VLOOKUP($A114,'4.kolo'!$L$3:$L$66,1,0))&gt;3,IF(TYPE(VLOOKUP($A114,'4.kolo'!$O$3:$Q$66,3,0))&gt;3,0,VLOOKUP($A114,'4.kolo'!$O$3:$Q$66,3,0)),VLOOKUP($A114,'4.kolo'!$L$3:$N$66,3,0))</f>
        <v>0</v>
      </c>
      <c r="BK114" s="318">
        <f t="shared" ca="1" si="56"/>
        <v>0</v>
      </c>
      <c r="BL114" s="397" t="s">
        <v>1869</v>
      </c>
      <c r="BM114" s="424" t="str">
        <f ca="1">IF(BL114="","",CONCATENATE(TEXT($O114,"0"),IF(Start.listina!$Y$5="","",TEXT(500+$P114,"000")),TEXT(999999*RAND(),"000000")))</f>
        <v/>
      </c>
      <c r="BN114" s="318">
        <f t="shared" ca="1" si="65"/>
        <v>0</v>
      </c>
      <c r="BQ114" s="318" t="str">
        <f ca="1">IF(TYPE(VLOOKUP($A114,'5.kolo'!$L$3:$L$66,1,0))&gt;3,IF(TYPE(VLOOKUP($A114,'5.kolo'!$K$3:$L$66,2,0))&gt;3,0,VLOOKUP($A114,'5.kolo'!$K$3:$L$66,2,0)),VLOOKUP($A114,'5.kolo'!$L$3:$O$66,4,0))</f>
        <v/>
      </c>
      <c r="BR114" s="318">
        <f ca="1">IF(TYPE(VLOOKUP($A114,'5.kolo'!$L$3:$L$66,1,0))&gt;3,IF(TYPE(VLOOKUP($A114,'5.kolo'!$O$3:$Q$66,2,0))&gt;3,0,VLOOKUP($A114,'5.kolo'!$O$3:$Q$66,2,0)),VLOOKUP($A114,'5.kolo'!$L$3:$N$66,2,0))</f>
        <v>0</v>
      </c>
      <c r="BS114" s="318">
        <f ca="1">IF(TYPE(VLOOKUP($A114,'5.kolo'!$L$3:$L$66,1,0))&gt;3,IF(TYPE(VLOOKUP($A114,'5.kolo'!$O$3:$Q$66,3,0))&gt;3,0,VLOOKUP($A114,'5.kolo'!$O$3:$Q$66,3,0)),VLOOKUP($A114,'5.kolo'!$L$3:$N$66,3,0))</f>
        <v>0</v>
      </c>
      <c r="BT114" s="318">
        <f t="shared" ca="1" si="57"/>
        <v>0</v>
      </c>
      <c r="BU114" s="397"/>
      <c r="BV114" s="424" t="str">
        <f ca="1">IF(BU114="","",CONCATENATE(TEXT($O114,"0"),IF(Start.listina!$Y$5="","",TEXT(500+$P114,"000")),TEXT(999999*RAND(),"000000")))</f>
        <v/>
      </c>
      <c r="BW114" s="318">
        <f t="shared" ca="1" si="66"/>
        <v>0</v>
      </c>
      <c r="BZ114" s="318" t="str">
        <f ca="1">IF(TYPE(VLOOKUP($A114,'6.kolo'!$L$3:$L$66,1,0))&gt;3,IF(TYPE(VLOOKUP($A114,'6.kolo'!$K$3:$L$66,2,0))&gt;3,0,VLOOKUP($A114,'6.kolo'!$K$3:$L$66,2,0)),VLOOKUP($A114,'6.kolo'!$L$3:$O$66,4,0))</f>
        <v/>
      </c>
      <c r="CA114" s="318">
        <f ca="1">IF(TYPE(VLOOKUP($A114,'6.kolo'!$L$3:$L$66,1,0))&gt;3,IF(TYPE(VLOOKUP($A114,'6.kolo'!$O$3:$Q$66,2,0))&gt;3,0,VLOOKUP($A114,'6.kolo'!$O$3:$Q$66,2,0)),VLOOKUP($A114,'6.kolo'!$L$3:$N$66,2,0))</f>
        <v>0</v>
      </c>
      <c r="CB114" s="318">
        <f ca="1">IF(TYPE(VLOOKUP($A114,'6.kolo'!$L$3:$L$66,1,0))&gt;3,IF(TYPE(VLOOKUP($A114,'6.kolo'!$O$3:$Q$66,3,0))&gt;3,0,VLOOKUP($A114,'6.kolo'!$O$3:$Q$66,3,0)),VLOOKUP($A114,'6.kolo'!$L$3:$N$66,3,0))</f>
        <v>0</v>
      </c>
      <c r="CC114" s="318">
        <f t="shared" ca="1" si="58"/>
        <v>0</v>
      </c>
      <c r="CD114" s="397"/>
      <c r="CE114" s="424" t="str">
        <f ca="1">IF(CD114="","",CONCATENATE(TEXT($O114,"0"),IF(Start.listina!$Y$5="","",TEXT(500+$P114,"000")),TEXT(999999*RAND(),"000000")))</f>
        <v/>
      </c>
      <c r="CF114" s="318">
        <f t="shared" ca="1" si="67"/>
        <v>0</v>
      </c>
    </row>
    <row r="115" spans="1:84" x14ac:dyDescent="0.4">
      <c r="A115" s="318" t="str">
        <f ca="1">IF(OR(Start.listina!H123&gt;Start.listina!$K$7,Start.listina!G123=TRUE),"",Start.listina!H123)</f>
        <v/>
      </c>
      <c r="B115" s="318" t="str">
        <f ca="1">IF($A115&gt;Start.listina!$K$7,"",INT(($A115-1)/Start.listina!$O$7)+1)</f>
        <v/>
      </c>
      <c r="C115" s="421" t="str">
        <f ca="1">IF(OR(Start.listina!H123&gt;Start.listina!$K$7,Start.listina!G123=TRUE)," - ",Start.listina!AL123)</f>
        <v xml:space="preserve"> - </v>
      </c>
      <c r="D115" s="318" t="str">
        <f ca="1">IF(OR(A115&gt;Start.listina!$K$7,TYPE(VLOOKUP(A115,$V$3:$X$130,3,0))&gt;3),"",VLOOKUP(A115,$V$3:$X$130,3,0))</f>
        <v/>
      </c>
      <c r="E115" s="422" t="str">
        <f ca="1">IF(A115&gt;Start.listina!$K$7,"",IF(MIN(F115:K115)&gt;Start.listina!$Y$4,D115,MIN(F115:K115)))</f>
        <v/>
      </c>
      <c r="F115" s="318">
        <f ca="1">IF(TYPE(VLOOKUP(C115,Konečné_pořadí_1_16!$B$2:$D$17,3,0))&lt;4,VLOOKUP(C115,Konečné_pořadí_1_16!$B$2:$D$17,3,0),999)</f>
        <v>999</v>
      </c>
      <c r="G115" s="318">
        <f ca="1">IF(TYPE(VLOOKUP(C115,'KO64'!$D$4:$D$129,1,0))&lt;4,64,999)</f>
        <v>64</v>
      </c>
      <c r="H115" s="318">
        <f ca="1">IF(TYPE(VLOOKUP(C115,'KO32'!$D$4:$D$65,1,0))&lt;4,32,999)</f>
        <v>32</v>
      </c>
      <c r="I115" s="318">
        <f ca="1">IF(TYPE(VLOOKUP(C115,'KO16'!$D$4:$D$33,1,0))&lt;4,16,999)</f>
        <v>999</v>
      </c>
      <c r="J115" s="318">
        <f ca="1">IF(TYPE(VLOOKUP(C115,'KO8'!$D$4:$D$17,1,0))&lt;4,8,999)</f>
        <v>999</v>
      </c>
      <c r="K115" s="318">
        <f ca="1">IF(TYPE(VLOOKUP(C115,'KO4'!$D$4:$D$9,1,0))&lt;4,4,999)</f>
        <v>999</v>
      </c>
      <c r="M115" s="319">
        <v>113</v>
      </c>
      <c r="O115" s="318">
        <f t="shared" ca="1" si="42"/>
        <v>0</v>
      </c>
      <c r="P115" s="318">
        <f t="shared" ca="1" si="43"/>
        <v>0</v>
      </c>
      <c r="Q115" s="318">
        <f t="shared" ca="1" si="60"/>
        <v>2</v>
      </c>
      <c r="R115" s="318">
        <f t="shared" ca="1" si="61"/>
        <v>0</v>
      </c>
      <c r="S115" s="318">
        <f t="shared" ca="1" si="44"/>
        <v>18</v>
      </c>
      <c r="T115" s="318">
        <f t="shared" ca="1" si="45"/>
        <v>0</v>
      </c>
      <c r="U115" s="397">
        <f t="shared" si="59"/>
        <v>113</v>
      </c>
      <c r="V115" s="397" t="s">
        <v>1869</v>
      </c>
      <c r="W115" s="423" t="str">
        <f ca="1">IF($V115="","",CONCATENATE(TEXT($O115,"0"),IF(Start.listina!$Y$5="","",TEXT(500+$P115,"0000")),IF(Start.listina!$Y$6="","",CHOOSE(Start.listina!$Y$7,TEXT($Q115,"00"),CONCATENATE(TEXT($Q115,"00"),TEXT($S115,"000")), TEXT($R115,"00"))),TEXT(500+$P115,"0000"),IF(Start.listina!$Y$8="","",TEXT($T115,"0")),TEXT(999999*RAND(),"000000")))</f>
        <v/>
      </c>
      <c r="X115" s="399">
        <f t="shared" si="46"/>
        <v>113</v>
      </c>
      <c r="Y115" s="397">
        <f t="shared" ca="1" si="62"/>
        <v>0</v>
      </c>
      <c r="Z115" s="318">
        <f t="shared" ca="1" si="47"/>
        <v>57</v>
      </c>
      <c r="AA115" s="318" t="str">
        <f t="shared" ca="1" si="48"/>
        <v/>
      </c>
      <c r="AB115" s="318" t="str">
        <f t="shared" ca="1" si="49"/>
        <v/>
      </c>
      <c r="AC115" s="318" t="str">
        <f t="shared" ca="1" si="50"/>
        <v/>
      </c>
      <c r="AD115" s="318" t="str">
        <f t="shared" ca="1" si="51"/>
        <v/>
      </c>
      <c r="AE115" s="318" t="str">
        <f t="shared" ca="1" si="52"/>
        <v/>
      </c>
      <c r="AG115" s="318">
        <f ca="1">IF(TYPE(VLOOKUP($A115,'1.kolo'!$L$3:$L$66,1,0))&gt;3,VLOOKUP($A115,'1.kolo'!$K$3:$L$66,2,0),VLOOKUP($A115,'1.kolo'!$L$3:$O$66,4,0))</f>
        <v>57</v>
      </c>
      <c r="AH115" s="318">
        <f ca="1">IF(TYPE(VLOOKUP($A115,'1.kolo'!$L$3:$L$66,1,0))&gt;3,VLOOKUP($A115,'1.kolo'!$O$3:$Q$66,2,0),VLOOKUP($A115,'1.kolo'!$L$3:$N$66,2,0))</f>
        <v>0</v>
      </c>
      <c r="AI115" s="318">
        <f ca="1">IF(TYPE(VLOOKUP($A115,'1.kolo'!$L$3:$L$66,1,0))&gt;3,VLOOKUP($A115,'1.kolo'!$O$3:$Q$66,3,0),VLOOKUP($A115,'1.kolo'!$L$3:$N$66,3,0))</f>
        <v>0</v>
      </c>
      <c r="AJ115" s="318">
        <f t="shared" ca="1" si="53"/>
        <v>0</v>
      </c>
      <c r="AK115" s="318">
        <v>113</v>
      </c>
      <c r="AL115" s="424"/>
      <c r="AP115" s="318" t="str">
        <f ca="1">IF(TYPE(VLOOKUP($A115,'2.kolo'!$L$3:$L$66,1,0))&gt;3,IF(TYPE(VLOOKUP($A115,'2.kolo'!$K$3:$L$66,2,0))&gt;3,0,VLOOKUP($A115,'2.kolo'!$K$3:$L$66,2,0)),VLOOKUP($A115,'2.kolo'!$L$3:$O$66,4,0))</f>
        <v/>
      </c>
      <c r="AQ115" s="318">
        <f ca="1">IF(TYPE(VLOOKUP($A115,'2.kolo'!$L$3:$L$66,1,0))&gt;3,IF(TYPE(VLOOKUP($A115,'2.kolo'!$O$3:$Q$66,2,0))&gt;3,0,VLOOKUP($A115,'2.kolo'!$O$3:$Q$66,2,0)),VLOOKUP($A115,'2.kolo'!$L$3:$N$66,2,0))</f>
        <v>0</v>
      </c>
      <c r="AR115" s="318">
        <f ca="1">IF(TYPE(VLOOKUP($A115,'2.kolo'!$L$3:$L$66,1,0))&gt;3,IF(TYPE(VLOOKUP($A115,'2.kolo'!$O$3:$Q$66,3,0))&gt;3,0,VLOOKUP($A115,'2.kolo'!$O$3:$Q$66,3,0)),VLOOKUP($A115,'2.kolo'!$L$3:$N$66,3,0))</f>
        <v>0</v>
      </c>
      <c r="AS115" s="318">
        <f t="shared" ca="1" si="54"/>
        <v>0</v>
      </c>
      <c r="AT115" s="397" t="s">
        <v>1869</v>
      </c>
      <c r="AU115" s="424" t="str">
        <f ca="1">IF(AT115="","",CONCATENATE(TEXT($O115,"0"),IF(Start.listina!$Y$5="","",TEXT(500+$P115,"000")),TEXT(999999*RAND(),"000000")))</f>
        <v/>
      </c>
      <c r="AV115" s="318">
        <f t="shared" ca="1" si="63"/>
        <v>0</v>
      </c>
      <c r="AY115" s="318" t="str">
        <f ca="1">IF(TYPE(VLOOKUP($A115,'3.kolo'!$L$3:$L$66,1,0))&gt;3,IF(TYPE(VLOOKUP($A115,'3.kolo'!$K$3:$L$66,2,0))&gt;3,0,VLOOKUP($A115,'3.kolo'!$K$3:$L$66,2,0)),VLOOKUP($A115,'3.kolo'!$L$3:$O$66,4,0))</f>
        <v/>
      </c>
      <c r="AZ115" s="318">
        <f ca="1">IF(TYPE(VLOOKUP($A115,'3.kolo'!$L$3:$L$66,1,0))&gt;3,IF(TYPE(VLOOKUP($A115,'3.kolo'!$O$3:$Q$66,2,0))&gt;3,0,VLOOKUP($A115,'3.kolo'!$O$3:$Q$66,2,0)),VLOOKUP($A115,'3.kolo'!$L$3:$N$66,2,0))</f>
        <v>0</v>
      </c>
      <c r="BA115" s="318">
        <f ca="1">IF(TYPE(VLOOKUP($A115,'3.kolo'!$L$3:$L$66,1,0))&gt;3,IF(TYPE(VLOOKUP($A115,'3.kolo'!$O$3:$Q$66,3,0))&gt;3,0,VLOOKUP($A115,'3.kolo'!$O$3:$Q$66,3,0)),VLOOKUP($A115,'3.kolo'!$L$3:$N$66,3,0))</f>
        <v>0</v>
      </c>
      <c r="BB115" s="318">
        <f t="shared" ca="1" si="55"/>
        <v>0</v>
      </c>
      <c r="BC115" s="397" t="s">
        <v>1869</v>
      </c>
      <c r="BD115" s="424" t="str">
        <f ca="1">IF(BC115="","",CONCATENATE(TEXT($O115,"0"),IF(Start.listina!$Y$5="","",TEXT(500+$P115,"000")),TEXT(999999*RAND(),"000000")))</f>
        <v/>
      </c>
      <c r="BE115" s="318">
        <f t="shared" ca="1" si="64"/>
        <v>0</v>
      </c>
      <c r="BH115" s="318" t="str">
        <f ca="1">IF(TYPE(VLOOKUP($A115,'4.kolo'!$L$3:$L$66,1,0))&gt;3,IF(TYPE(VLOOKUP($A115,'4.kolo'!$K$3:$L$66,2,0))&gt;3,0,VLOOKUP($A115,'4.kolo'!$K$3:$L$66,2,0)),VLOOKUP($A115,'4.kolo'!$L$3:$O$66,4,0))</f>
        <v/>
      </c>
      <c r="BI115" s="318">
        <f ca="1">IF(TYPE(VLOOKUP($A115,'4.kolo'!$L$3:$L$66,1,0))&gt;3,IF(TYPE(VLOOKUP($A115,'4.kolo'!$O$3:$Q$66,2,0))&gt;3,0,VLOOKUP($A115,'4.kolo'!$O$3:$Q$66,2,0)),VLOOKUP($A115,'4.kolo'!$L$3:$N$66,2,0))</f>
        <v>0</v>
      </c>
      <c r="BJ115" s="318">
        <f ca="1">IF(TYPE(VLOOKUP($A115,'4.kolo'!$L$3:$L$66,1,0))&gt;3,IF(TYPE(VLOOKUP($A115,'4.kolo'!$O$3:$Q$66,3,0))&gt;3,0,VLOOKUP($A115,'4.kolo'!$O$3:$Q$66,3,0)),VLOOKUP($A115,'4.kolo'!$L$3:$N$66,3,0))</f>
        <v>0</v>
      </c>
      <c r="BK115" s="318">
        <f t="shared" ca="1" si="56"/>
        <v>0</v>
      </c>
      <c r="BL115" s="397" t="s">
        <v>1869</v>
      </c>
      <c r="BM115" s="424" t="str">
        <f ca="1">IF(BL115="","",CONCATENATE(TEXT($O115,"0"),IF(Start.listina!$Y$5="","",TEXT(500+$P115,"000")),TEXT(999999*RAND(),"000000")))</f>
        <v/>
      </c>
      <c r="BN115" s="318">
        <f t="shared" ca="1" si="65"/>
        <v>0</v>
      </c>
      <c r="BQ115" s="318" t="str">
        <f ca="1">IF(TYPE(VLOOKUP($A115,'5.kolo'!$L$3:$L$66,1,0))&gt;3,IF(TYPE(VLOOKUP($A115,'5.kolo'!$K$3:$L$66,2,0))&gt;3,0,VLOOKUP($A115,'5.kolo'!$K$3:$L$66,2,0)),VLOOKUP($A115,'5.kolo'!$L$3:$O$66,4,0))</f>
        <v/>
      </c>
      <c r="BR115" s="318">
        <f ca="1">IF(TYPE(VLOOKUP($A115,'5.kolo'!$L$3:$L$66,1,0))&gt;3,IF(TYPE(VLOOKUP($A115,'5.kolo'!$O$3:$Q$66,2,0))&gt;3,0,VLOOKUP($A115,'5.kolo'!$O$3:$Q$66,2,0)),VLOOKUP($A115,'5.kolo'!$L$3:$N$66,2,0))</f>
        <v>0</v>
      </c>
      <c r="BS115" s="318">
        <f ca="1">IF(TYPE(VLOOKUP($A115,'5.kolo'!$L$3:$L$66,1,0))&gt;3,IF(TYPE(VLOOKUP($A115,'5.kolo'!$O$3:$Q$66,3,0))&gt;3,0,VLOOKUP($A115,'5.kolo'!$O$3:$Q$66,3,0)),VLOOKUP($A115,'5.kolo'!$L$3:$N$66,3,0))</f>
        <v>0</v>
      </c>
      <c r="BT115" s="318">
        <f t="shared" ca="1" si="57"/>
        <v>0</v>
      </c>
      <c r="BU115" s="397"/>
      <c r="BV115" s="424" t="str">
        <f ca="1">IF(BU115="","",CONCATENATE(TEXT($O115,"0"),IF(Start.listina!$Y$5="","",TEXT(500+$P115,"000")),TEXT(999999*RAND(),"000000")))</f>
        <v/>
      </c>
      <c r="BW115" s="318">
        <f t="shared" ca="1" si="66"/>
        <v>0</v>
      </c>
      <c r="BZ115" s="318" t="str">
        <f ca="1">IF(TYPE(VLOOKUP($A115,'6.kolo'!$L$3:$L$66,1,0))&gt;3,IF(TYPE(VLOOKUP($A115,'6.kolo'!$K$3:$L$66,2,0))&gt;3,0,VLOOKUP($A115,'6.kolo'!$K$3:$L$66,2,0)),VLOOKUP($A115,'6.kolo'!$L$3:$O$66,4,0))</f>
        <v/>
      </c>
      <c r="CA115" s="318">
        <f ca="1">IF(TYPE(VLOOKUP($A115,'6.kolo'!$L$3:$L$66,1,0))&gt;3,IF(TYPE(VLOOKUP($A115,'6.kolo'!$O$3:$Q$66,2,0))&gt;3,0,VLOOKUP($A115,'6.kolo'!$O$3:$Q$66,2,0)),VLOOKUP($A115,'6.kolo'!$L$3:$N$66,2,0))</f>
        <v>0</v>
      </c>
      <c r="CB115" s="318">
        <f ca="1">IF(TYPE(VLOOKUP($A115,'6.kolo'!$L$3:$L$66,1,0))&gt;3,IF(TYPE(VLOOKUP($A115,'6.kolo'!$O$3:$Q$66,3,0))&gt;3,0,VLOOKUP($A115,'6.kolo'!$O$3:$Q$66,3,0)),VLOOKUP($A115,'6.kolo'!$L$3:$N$66,3,0))</f>
        <v>0</v>
      </c>
      <c r="CC115" s="318">
        <f t="shared" ca="1" si="58"/>
        <v>0</v>
      </c>
      <c r="CD115" s="397"/>
      <c r="CE115" s="424" t="str">
        <f ca="1">IF(CD115="","",CONCATENATE(TEXT($O115,"0"),IF(Start.listina!$Y$5="","",TEXT(500+$P115,"000")),TEXT(999999*RAND(),"000000")))</f>
        <v/>
      </c>
      <c r="CF115" s="318">
        <f t="shared" ca="1" si="67"/>
        <v>0</v>
      </c>
    </row>
    <row r="116" spans="1:84" x14ac:dyDescent="0.4">
      <c r="A116" s="318" t="str">
        <f ca="1">IF(OR(Start.listina!H124&gt;Start.listina!$K$7,Start.listina!G124=TRUE),"",Start.listina!H124)</f>
        <v/>
      </c>
      <c r="B116" s="318" t="str">
        <f ca="1">IF($A116&gt;Start.listina!$K$7,"",INT(($A116-1)/Start.listina!$O$7)+1)</f>
        <v/>
      </c>
      <c r="C116" s="421" t="str">
        <f ca="1">IF(OR(Start.listina!H124&gt;Start.listina!$K$7,Start.listina!G124=TRUE)," - ",Start.listina!AL124)</f>
        <v xml:space="preserve"> - </v>
      </c>
      <c r="D116" s="318" t="str">
        <f ca="1">IF(OR(A116&gt;Start.listina!$K$7,TYPE(VLOOKUP(A116,$V$3:$X$130,3,0))&gt;3),"",VLOOKUP(A116,$V$3:$X$130,3,0))</f>
        <v/>
      </c>
      <c r="E116" s="422" t="str">
        <f ca="1">IF(A116&gt;Start.listina!$K$7,"",IF(MIN(F116:K116)&gt;Start.listina!$Y$4,D116,MIN(F116:K116)))</f>
        <v/>
      </c>
      <c r="F116" s="318">
        <f ca="1">IF(TYPE(VLOOKUP(C116,Konečné_pořadí_1_16!$B$2:$D$17,3,0))&lt;4,VLOOKUP(C116,Konečné_pořadí_1_16!$B$2:$D$17,3,0),999)</f>
        <v>999</v>
      </c>
      <c r="G116" s="318">
        <f ca="1">IF(TYPE(VLOOKUP(C116,'KO64'!$D$4:$D$129,1,0))&lt;4,64,999)</f>
        <v>64</v>
      </c>
      <c r="H116" s="318">
        <f ca="1">IF(TYPE(VLOOKUP(C116,'KO32'!$D$4:$D$65,1,0))&lt;4,32,999)</f>
        <v>32</v>
      </c>
      <c r="I116" s="318">
        <f ca="1">IF(TYPE(VLOOKUP(C116,'KO16'!$D$4:$D$33,1,0))&lt;4,16,999)</f>
        <v>999</v>
      </c>
      <c r="J116" s="318">
        <f ca="1">IF(TYPE(VLOOKUP(C116,'KO8'!$D$4:$D$17,1,0))&lt;4,8,999)</f>
        <v>999</v>
      </c>
      <c r="K116" s="318">
        <f ca="1">IF(TYPE(VLOOKUP(C116,'KO4'!$D$4:$D$9,1,0))&lt;4,4,999)</f>
        <v>999</v>
      </c>
      <c r="M116" s="319">
        <v>114</v>
      </c>
      <c r="O116" s="318">
        <f t="shared" ca="1" si="42"/>
        <v>0</v>
      </c>
      <c r="P116" s="318">
        <f t="shared" ca="1" si="43"/>
        <v>0</v>
      </c>
      <c r="Q116" s="318">
        <f t="shared" ca="1" si="60"/>
        <v>2</v>
      </c>
      <c r="R116" s="318">
        <f t="shared" ca="1" si="61"/>
        <v>0</v>
      </c>
      <c r="S116" s="318">
        <f t="shared" ca="1" si="44"/>
        <v>18</v>
      </c>
      <c r="T116" s="318">
        <f t="shared" ca="1" si="45"/>
        <v>0</v>
      </c>
      <c r="U116" s="397">
        <f t="shared" si="59"/>
        <v>114</v>
      </c>
      <c r="V116" s="397" t="s">
        <v>1869</v>
      </c>
      <c r="W116" s="423" t="str">
        <f ca="1">IF($V116="","",CONCATENATE(TEXT($O116,"0"),IF(Start.listina!$Y$5="","",TEXT(500+$P116,"0000")),IF(Start.listina!$Y$6="","",CHOOSE(Start.listina!$Y$7,TEXT($Q116,"00"),CONCATENATE(TEXT($Q116,"00"),TEXT($S116,"000")), TEXT($R116,"00"))),TEXT(500+$P116,"0000"),IF(Start.listina!$Y$8="","",TEXT($T116,"0")),TEXT(999999*RAND(),"000000")))</f>
        <v/>
      </c>
      <c r="X116" s="399">
        <f t="shared" si="46"/>
        <v>114</v>
      </c>
      <c r="Y116" s="397">
        <f t="shared" ca="1" si="62"/>
        <v>0</v>
      </c>
      <c r="Z116" s="318">
        <f t="shared" ca="1" si="47"/>
        <v>57</v>
      </c>
      <c r="AA116" s="318" t="str">
        <f t="shared" ca="1" si="48"/>
        <v/>
      </c>
      <c r="AB116" s="318" t="str">
        <f t="shared" ca="1" si="49"/>
        <v/>
      </c>
      <c r="AC116" s="318" t="str">
        <f t="shared" ca="1" si="50"/>
        <v/>
      </c>
      <c r="AD116" s="318" t="str">
        <f t="shared" ca="1" si="51"/>
        <v/>
      </c>
      <c r="AE116" s="318" t="str">
        <f t="shared" ca="1" si="52"/>
        <v/>
      </c>
      <c r="AG116" s="318">
        <f ca="1">IF(TYPE(VLOOKUP($A116,'1.kolo'!$L$3:$L$66,1,0))&gt;3,VLOOKUP($A116,'1.kolo'!$K$3:$L$66,2,0),VLOOKUP($A116,'1.kolo'!$L$3:$O$66,4,0))</f>
        <v>57</v>
      </c>
      <c r="AH116" s="318">
        <f ca="1">IF(TYPE(VLOOKUP($A116,'1.kolo'!$L$3:$L$66,1,0))&gt;3,VLOOKUP($A116,'1.kolo'!$O$3:$Q$66,2,0),VLOOKUP($A116,'1.kolo'!$L$3:$N$66,2,0))</f>
        <v>0</v>
      </c>
      <c r="AI116" s="318">
        <f ca="1">IF(TYPE(VLOOKUP($A116,'1.kolo'!$L$3:$L$66,1,0))&gt;3,VLOOKUP($A116,'1.kolo'!$O$3:$Q$66,3,0),VLOOKUP($A116,'1.kolo'!$L$3:$N$66,3,0))</f>
        <v>0</v>
      </c>
      <c r="AJ116" s="318">
        <f t="shared" ca="1" si="53"/>
        <v>0</v>
      </c>
      <c r="AK116" s="318">
        <v>114</v>
      </c>
      <c r="AL116" s="424"/>
      <c r="AP116" s="318" t="str">
        <f ca="1">IF(TYPE(VLOOKUP($A116,'2.kolo'!$L$3:$L$66,1,0))&gt;3,IF(TYPE(VLOOKUP($A116,'2.kolo'!$K$3:$L$66,2,0))&gt;3,0,VLOOKUP($A116,'2.kolo'!$K$3:$L$66,2,0)),VLOOKUP($A116,'2.kolo'!$L$3:$O$66,4,0))</f>
        <v/>
      </c>
      <c r="AQ116" s="318">
        <f ca="1">IF(TYPE(VLOOKUP($A116,'2.kolo'!$L$3:$L$66,1,0))&gt;3,IF(TYPE(VLOOKUP($A116,'2.kolo'!$O$3:$Q$66,2,0))&gt;3,0,VLOOKUP($A116,'2.kolo'!$O$3:$Q$66,2,0)),VLOOKUP($A116,'2.kolo'!$L$3:$N$66,2,0))</f>
        <v>0</v>
      </c>
      <c r="AR116" s="318">
        <f ca="1">IF(TYPE(VLOOKUP($A116,'2.kolo'!$L$3:$L$66,1,0))&gt;3,IF(TYPE(VLOOKUP($A116,'2.kolo'!$O$3:$Q$66,3,0))&gt;3,0,VLOOKUP($A116,'2.kolo'!$O$3:$Q$66,3,0)),VLOOKUP($A116,'2.kolo'!$L$3:$N$66,3,0))</f>
        <v>0</v>
      </c>
      <c r="AS116" s="318">
        <f t="shared" ca="1" si="54"/>
        <v>0</v>
      </c>
      <c r="AT116" s="397" t="s">
        <v>1869</v>
      </c>
      <c r="AU116" s="424" t="str">
        <f ca="1">IF(AT116="","",CONCATENATE(TEXT($O116,"0"),IF(Start.listina!$Y$5="","",TEXT(500+$P116,"000")),TEXT(999999*RAND(),"000000")))</f>
        <v/>
      </c>
      <c r="AV116" s="318">
        <f t="shared" ca="1" si="63"/>
        <v>0</v>
      </c>
      <c r="AY116" s="318" t="str">
        <f ca="1">IF(TYPE(VLOOKUP($A116,'3.kolo'!$L$3:$L$66,1,0))&gt;3,IF(TYPE(VLOOKUP($A116,'3.kolo'!$K$3:$L$66,2,0))&gt;3,0,VLOOKUP($A116,'3.kolo'!$K$3:$L$66,2,0)),VLOOKUP($A116,'3.kolo'!$L$3:$O$66,4,0))</f>
        <v/>
      </c>
      <c r="AZ116" s="318">
        <f ca="1">IF(TYPE(VLOOKUP($A116,'3.kolo'!$L$3:$L$66,1,0))&gt;3,IF(TYPE(VLOOKUP($A116,'3.kolo'!$O$3:$Q$66,2,0))&gt;3,0,VLOOKUP($A116,'3.kolo'!$O$3:$Q$66,2,0)),VLOOKUP($A116,'3.kolo'!$L$3:$N$66,2,0))</f>
        <v>0</v>
      </c>
      <c r="BA116" s="318">
        <f ca="1">IF(TYPE(VLOOKUP($A116,'3.kolo'!$L$3:$L$66,1,0))&gt;3,IF(TYPE(VLOOKUP($A116,'3.kolo'!$O$3:$Q$66,3,0))&gt;3,0,VLOOKUP($A116,'3.kolo'!$O$3:$Q$66,3,0)),VLOOKUP($A116,'3.kolo'!$L$3:$N$66,3,0))</f>
        <v>0</v>
      </c>
      <c r="BB116" s="318">
        <f t="shared" ca="1" si="55"/>
        <v>0</v>
      </c>
      <c r="BC116" s="397" t="s">
        <v>1869</v>
      </c>
      <c r="BD116" s="424" t="str">
        <f ca="1">IF(BC116="","",CONCATENATE(TEXT($O116,"0"),IF(Start.listina!$Y$5="","",TEXT(500+$P116,"000")),TEXT(999999*RAND(),"000000")))</f>
        <v/>
      </c>
      <c r="BE116" s="318">
        <f t="shared" ca="1" si="64"/>
        <v>0</v>
      </c>
      <c r="BH116" s="318" t="str">
        <f ca="1">IF(TYPE(VLOOKUP($A116,'4.kolo'!$L$3:$L$66,1,0))&gt;3,IF(TYPE(VLOOKUP($A116,'4.kolo'!$K$3:$L$66,2,0))&gt;3,0,VLOOKUP($A116,'4.kolo'!$K$3:$L$66,2,0)),VLOOKUP($A116,'4.kolo'!$L$3:$O$66,4,0))</f>
        <v/>
      </c>
      <c r="BI116" s="318">
        <f ca="1">IF(TYPE(VLOOKUP($A116,'4.kolo'!$L$3:$L$66,1,0))&gt;3,IF(TYPE(VLOOKUP($A116,'4.kolo'!$O$3:$Q$66,2,0))&gt;3,0,VLOOKUP($A116,'4.kolo'!$O$3:$Q$66,2,0)),VLOOKUP($A116,'4.kolo'!$L$3:$N$66,2,0))</f>
        <v>0</v>
      </c>
      <c r="BJ116" s="318">
        <f ca="1">IF(TYPE(VLOOKUP($A116,'4.kolo'!$L$3:$L$66,1,0))&gt;3,IF(TYPE(VLOOKUP($A116,'4.kolo'!$O$3:$Q$66,3,0))&gt;3,0,VLOOKUP($A116,'4.kolo'!$O$3:$Q$66,3,0)),VLOOKUP($A116,'4.kolo'!$L$3:$N$66,3,0))</f>
        <v>0</v>
      </c>
      <c r="BK116" s="318">
        <f t="shared" ca="1" si="56"/>
        <v>0</v>
      </c>
      <c r="BL116" s="397" t="s">
        <v>1869</v>
      </c>
      <c r="BM116" s="424" t="str">
        <f ca="1">IF(BL116="","",CONCATENATE(TEXT($O116,"0"),IF(Start.listina!$Y$5="","",TEXT(500+$P116,"000")),TEXT(999999*RAND(),"000000")))</f>
        <v/>
      </c>
      <c r="BN116" s="318">
        <f t="shared" ca="1" si="65"/>
        <v>0</v>
      </c>
      <c r="BQ116" s="318" t="str">
        <f ca="1">IF(TYPE(VLOOKUP($A116,'5.kolo'!$L$3:$L$66,1,0))&gt;3,IF(TYPE(VLOOKUP($A116,'5.kolo'!$K$3:$L$66,2,0))&gt;3,0,VLOOKUP($A116,'5.kolo'!$K$3:$L$66,2,0)),VLOOKUP($A116,'5.kolo'!$L$3:$O$66,4,0))</f>
        <v/>
      </c>
      <c r="BR116" s="318">
        <f ca="1">IF(TYPE(VLOOKUP($A116,'5.kolo'!$L$3:$L$66,1,0))&gt;3,IF(TYPE(VLOOKUP($A116,'5.kolo'!$O$3:$Q$66,2,0))&gt;3,0,VLOOKUP($A116,'5.kolo'!$O$3:$Q$66,2,0)),VLOOKUP($A116,'5.kolo'!$L$3:$N$66,2,0))</f>
        <v>0</v>
      </c>
      <c r="BS116" s="318">
        <f ca="1">IF(TYPE(VLOOKUP($A116,'5.kolo'!$L$3:$L$66,1,0))&gt;3,IF(TYPE(VLOOKUP($A116,'5.kolo'!$O$3:$Q$66,3,0))&gt;3,0,VLOOKUP($A116,'5.kolo'!$O$3:$Q$66,3,0)),VLOOKUP($A116,'5.kolo'!$L$3:$N$66,3,0))</f>
        <v>0</v>
      </c>
      <c r="BT116" s="318">
        <f t="shared" ca="1" si="57"/>
        <v>0</v>
      </c>
      <c r="BU116" s="397"/>
      <c r="BV116" s="424" t="str">
        <f ca="1">IF(BU116="","",CONCATENATE(TEXT($O116,"0"),IF(Start.listina!$Y$5="","",TEXT(500+$P116,"000")),TEXT(999999*RAND(),"000000")))</f>
        <v/>
      </c>
      <c r="BW116" s="318">
        <f t="shared" ca="1" si="66"/>
        <v>0</v>
      </c>
      <c r="BZ116" s="318" t="str">
        <f ca="1">IF(TYPE(VLOOKUP($A116,'6.kolo'!$L$3:$L$66,1,0))&gt;3,IF(TYPE(VLOOKUP($A116,'6.kolo'!$K$3:$L$66,2,0))&gt;3,0,VLOOKUP($A116,'6.kolo'!$K$3:$L$66,2,0)),VLOOKUP($A116,'6.kolo'!$L$3:$O$66,4,0))</f>
        <v/>
      </c>
      <c r="CA116" s="318">
        <f ca="1">IF(TYPE(VLOOKUP($A116,'6.kolo'!$L$3:$L$66,1,0))&gt;3,IF(TYPE(VLOOKUP($A116,'6.kolo'!$O$3:$Q$66,2,0))&gt;3,0,VLOOKUP($A116,'6.kolo'!$O$3:$Q$66,2,0)),VLOOKUP($A116,'6.kolo'!$L$3:$N$66,2,0))</f>
        <v>0</v>
      </c>
      <c r="CB116" s="318">
        <f ca="1">IF(TYPE(VLOOKUP($A116,'6.kolo'!$L$3:$L$66,1,0))&gt;3,IF(TYPE(VLOOKUP($A116,'6.kolo'!$O$3:$Q$66,3,0))&gt;3,0,VLOOKUP($A116,'6.kolo'!$O$3:$Q$66,3,0)),VLOOKUP($A116,'6.kolo'!$L$3:$N$66,3,0))</f>
        <v>0</v>
      </c>
      <c r="CC116" s="318">
        <f t="shared" ca="1" si="58"/>
        <v>0</v>
      </c>
      <c r="CD116" s="397"/>
      <c r="CE116" s="424" t="str">
        <f ca="1">IF(CD116="","",CONCATENATE(TEXT($O116,"0"),IF(Start.listina!$Y$5="","",TEXT(500+$P116,"000")),TEXT(999999*RAND(),"000000")))</f>
        <v/>
      </c>
      <c r="CF116" s="318">
        <f t="shared" ca="1" si="67"/>
        <v>0</v>
      </c>
    </row>
    <row r="117" spans="1:84" x14ac:dyDescent="0.4">
      <c r="A117" s="318" t="str">
        <f ca="1">IF(OR(Start.listina!H125&gt;Start.listina!$K$7,Start.listina!G125=TRUE),"",Start.listina!H125)</f>
        <v/>
      </c>
      <c r="B117" s="318" t="str">
        <f ca="1">IF($A117&gt;Start.listina!$K$7,"",INT(($A117-1)/Start.listina!$O$7)+1)</f>
        <v/>
      </c>
      <c r="C117" s="421" t="str">
        <f ca="1">IF(OR(Start.listina!H125&gt;Start.listina!$K$7,Start.listina!G125=TRUE)," - ",Start.listina!AL125)</f>
        <v xml:space="preserve"> - </v>
      </c>
      <c r="D117" s="318" t="str">
        <f ca="1">IF(OR(A117&gt;Start.listina!$K$7,TYPE(VLOOKUP(A117,$V$3:$X$130,3,0))&gt;3),"",VLOOKUP(A117,$V$3:$X$130,3,0))</f>
        <v/>
      </c>
      <c r="E117" s="422" t="str">
        <f ca="1">IF(A117&gt;Start.listina!$K$7,"",IF(MIN(F117:K117)&gt;Start.listina!$Y$4,D117,MIN(F117:K117)))</f>
        <v/>
      </c>
      <c r="F117" s="318">
        <f ca="1">IF(TYPE(VLOOKUP(C117,Konečné_pořadí_1_16!$B$2:$D$17,3,0))&lt;4,VLOOKUP(C117,Konečné_pořadí_1_16!$B$2:$D$17,3,0),999)</f>
        <v>999</v>
      </c>
      <c r="G117" s="318">
        <f ca="1">IF(TYPE(VLOOKUP(C117,'KO64'!$D$4:$D$129,1,0))&lt;4,64,999)</f>
        <v>64</v>
      </c>
      <c r="H117" s="318">
        <f ca="1">IF(TYPE(VLOOKUP(C117,'KO32'!$D$4:$D$65,1,0))&lt;4,32,999)</f>
        <v>32</v>
      </c>
      <c r="I117" s="318">
        <f ca="1">IF(TYPE(VLOOKUP(C117,'KO16'!$D$4:$D$33,1,0))&lt;4,16,999)</f>
        <v>999</v>
      </c>
      <c r="J117" s="318">
        <f ca="1">IF(TYPE(VLOOKUP(C117,'KO8'!$D$4:$D$17,1,0))&lt;4,8,999)</f>
        <v>999</v>
      </c>
      <c r="K117" s="318">
        <f ca="1">IF(TYPE(VLOOKUP(C117,'KO4'!$D$4:$D$9,1,0))&lt;4,4,999)</f>
        <v>999</v>
      </c>
      <c r="M117" s="319">
        <v>115</v>
      </c>
      <c r="O117" s="318">
        <f t="shared" ca="1" si="42"/>
        <v>0</v>
      </c>
      <c r="P117" s="318">
        <f t="shared" ca="1" si="43"/>
        <v>0</v>
      </c>
      <c r="Q117" s="318">
        <f t="shared" ca="1" si="60"/>
        <v>2</v>
      </c>
      <c r="R117" s="318">
        <f t="shared" ca="1" si="61"/>
        <v>0</v>
      </c>
      <c r="S117" s="318">
        <f t="shared" ca="1" si="44"/>
        <v>18</v>
      </c>
      <c r="T117" s="318">
        <f t="shared" ca="1" si="45"/>
        <v>0</v>
      </c>
      <c r="U117" s="397">
        <f t="shared" si="59"/>
        <v>115</v>
      </c>
      <c r="V117" s="397" t="s">
        <v>1869</v>
      </c>
      <c r="W117" s="423" t="str">
        <f ca="1">IF($V117="","",CONCATENATE(TEXT($O117,"0"),IF(Start.listina!$Y$5="","",TEXT(500+$P117,"0000")),IF(Start.listina!$Y$6="","",CHOOSE(Start.listina!$Y$7,TEXT($Q117,"00"),CONCATENATE(TEXT($Q117,"00"),TEXT($S117,"000")), TEXT($R117,"00"))),TEXT(500+$P117,"0000"),IF(Start.listina!$Y$8="","",TEXT($T117,"0")),TEXT(999999*RAND(),"000000")))</f>
        <v/>
      </c>
      <c r="X117" s="399">
        <f t="shared" si="46"/>
        <v>115</v>
      </c>
      <c r="Y117" s="397">
        <f t="shared" ca="1" si="62"/>
        <v>0</v>
      </c>
      <c r="Z117" s="318">
        <f t="shared" ca="1" si="47"/>
        <v>57</v>
      </c>
      <c r="AA117" s="318" t="str">
        <f t="shared" ca="1" si="48"/>
        <v/>
      </c>
      <c r="AB117" s="318" t="str">
        <f t="shared" ca="1" si="49"/>
        <v/>
      </c>
      <c r="AC117" s="318" t="str">
        <f t="shared" ca="1" si="50"/>
        <v/>
      </c>
      <c r="AD117" s="318" t="str">
        <f t="shared" ca="1" si="51"/>
        <v/>
      </c>
      <c r="AE117" s="318" t="str">
        <f t="shared" ca="1" si="52"/>
        <v/>
      </c>
      <c r="AG117" s="318">
        <f ca="1">IF(TYPE(VLOOKUP($A117,'1.kolo'!$L$3:$L$66,1,0))&gt;3,VLOOKUP($A117,'1.kolo'!$K$3:$L$66,2,0),VLOOKUP($A117,'1.kolo'!$L$3:$O$66,4,0))</f>
        <v>57</v>
      </c>
      <c r="AH117" s="318">
        <f ca="1">IF(TYPE(VLOOKUP($A117,'1.kolo'!$L$3:$L$66,1,0))&gt;3,VLOOKUP($A117,'1.kolo'!$O$3:$Q$66,2,0),VLOOKUP($A117,'1.kolo'!$L$3:$N$66,2,0))</f>
        <v>0</v>
      </c>
      <c r="AI117" s="318">
        <f ca="1">IF(TYPE(VLOOKUP($A117,'1.kolo'!$L$3:$L$66,1,0))&gt;3,VLOOKUP($A117,'1.kolo'!$O$3:$Q$66,3,0),VLOOKUP($A117,'1.kolo'!$L$3:$N$66,3,0))</f>
        <v>0</v>
      </c>
      <c r="AJ117" s="318">
        <f t="shared" ca="1" si="53"/>
        <v>0</v>
      </c>
      <c r="AK117" s="318">
        <v>115</v>
      </c>
      <c r="AL117" s="424"/>
      <c r="AP117" s="318" t="str">
        <f ca="1">IF(TYPE(VLOOKUP($A117,'2.kolo'!$L$3:$L$66,1,0))&gt;3,IF(TYPE(VLOOKUP($A117,'2.kolo'!$K$3:$L$66,2,0))&gt;3,0,VLOOKUP($A117,'2.kolo'!$K$3:$L$66,2,0)),VLOOKUP($A117,'2.kolo'!$L$3:$O$66,4,0))</f>
        <v/>
      </c>
      <c r="AQ117" s="318">
        <f ca="1">IF(TYPE(VLOOKUP($A117,'2.kolo'!$L$3:$L$66,1,0))&gt;3,IF(TYPE(VLOOKUP($A117,'2.kolo'!$O$3:$Q$66,2,0))&gt;3,0,VLOOKUP($A117,'2.kolo'!$O$3:$Q$66,2,0)),VLOOKUP($A117,'2.kolo'!$L$3:$N$66,2,0))</f>
        <v>0</v>
      </c>
      <c r="AR117" s="318">
        <f ca="1">IF(TYPE(VLOOKUP($A117,'2.kolo'!$L$3:$L$66,1,0))&gt;3,IF(TYPE(VLOOKUP($A117,'2.kolo'!$O$3:$Q$66,3,0))&gt;3,0,VLOOKUP($A117,'2.kolo'!$O$3:$Q$66,3,0)),VLOOKUP($A117,'2.kolo'!$L$3:$N$66,3,0))</f>
        <v>0</v>
      </c>
      <c r="AS117" s="318">
        <f t="shared" ca="1" si="54"/>
        <v>0</v>
      </c>
      <c r="AT117" s="397" t="s">
        <v>1869</v>
      </c>
      <c r="AU117" s="424" t="str">
        <f ca="1">IF(AT117="","",CONCATENATE(TEXT($O117,"0"),IF(Start.listina!$Y$5="","",TEXT(500+$P117,"000")),TEXT(999999*RAND(),"000000")))</f>
        <v/>
      </c>
      <c r="AV117" s="318">
        <f t="shared" ca="1" si="63"/>
        <v>0</v>
      </c>
      <c r="AY117" s="318" t="str">
        <f ca="1">IF(TYPE(VLOOKUP($A117,'3.kolo'!$L$3:$L$66,1,0))&gt;3,IF(TYPE(VLOOKUP($A117,'3.kolo'!$K$3:$L$66,2,0))&gt;3,0,VLOOKUP($A117,'3.kolo'!$K$3:$L$66,2,0)),VLOOKUP($A117,'3.kolo'!$L$3:$O$66,4,0))</f>
        <v/>
      </c>
      <c r="AZ117" s="318">
        <f ca="1">IF(TYPE(VLOOKUP($A117,'3.kolo'!$L$3:$L$66,1,0))&gt;3,IF(TYPE(VLOOKUP($A117,'3.kolo'!$O$3:$Q$66,2,0))&gt;3,0,VLOOKUP($A117,'3.kolo'!$O$3:$Q$66,2,0)),VLOOKUP($A117,'3.kolo'!$L$3:$N$66,2,0))</f>
        <v>0</v>
      </c>
      <c r="BA117" s="318">
        <f ca="1">IF(TYPE(VLOOKUP($A117,'3.kolo'!$L$3:$L$66,1,0))&gt;3,IF(TYPE(VLOOKUP($A117,'3.kolo'!$O$3:$Q$66,3,0))&gt;3,0,VLOOKUP($A117,'3.kolo'!$O$3:$Q$66,3,0)),VLOOKUP($A117,'3.kolo'!$L$3:$N$66,3,0))</f>
        <v>0</v>
      </c>
      <c r="BB117" s="318">
        <f t="shared" ca="1" si="55"/>
        <v>0</v>
      </c>
      <c r="BC117" s="397" t="s">
        <v>1869</v>
      </c>
      <c r="BD117" s="424" t="str">
        <f ca="1">IF(BC117="","",CONCATENATE(TEXT($O117,"0"),IF(Start.listina!$Y$5="","",TEXT(500+$P117,"000")),TEXT(999999*RAND(),"000000")))</f>
        <v/>
      </c>
      <c r="BE117" s="318">
        <f t="shared" ca="1" si="64"/>
        <v>0</v>
      </c>
      <c r="BH117" s="318" t="str">
        <f ca="1">IF(TYPE(VLOOKUP($A117,'4.kolo'!$L$3:$L$66,1,0))&gt;3,IF(TYPE(VLOOKUP($A117,'4.kolo'!$K$3:$L$66,2,0))&gt;3,0,VLOOKUP($A117,'4.kolo'!$K$3:$L$66,2,0)),VLOOKUP($A117,'4.kolo'!$L$3:$O$66,4,0))</f>
        <v/>
      </c>
      <c r="BI117" s="318">
        <f ca="1">IF(TYPE(VLOOKUP($A117,'4.kolo'!$L$3:$L$66,1,0))&gt;3,IF(TYPE(VLOOKUP($A117,'4.kolo'!$O$3:$Q$66,2,0))&gt;3,0,VLOOKUP($A117,'4.kolo'!$O$3:$Q$66,2,0)),VLOOKUP($A117,'4.kolo'!$L$3:$N$66,2,0))</f>
        <v>0</v>
      </c>
      <c r="BJ117" s="318">
        <f ca="1">IF(TYPE(VLOOKUP($A117,'4.kolo'!$L$3:$L$66,1,0))&gt;3,IF(TYPE(VLOOKUP($A117,'4.kolo'!$O$3:$Q$66,3,0))&gt;3,0,VLOOKUP($A117,'4.kolo'!$O$3:$Q$66,3,0)),VLOOKUP($A117,'4.kolo'!$L$3:$N$66,3,0))</f>
        <v>0</v>
      </c>
      <c r="BK117" s="318">
        <f t="shared" ca="1" si="56"/>
        <v>0</v>
      </c>
      <c r="BL117" s="397" t="s">
        <v>1869</v>
      </c>
      <c r="BM117" s="424" t="str">
        <f ca="1">IF(BL117="","",CONCATENATE(TEXT($O117,"0"),IF(Start.listina!$Y$5="","",TEXT(500+$P117,"000")),TEXT(999999*RAND(),"000000")))</f>
        <v/>
      </c>
      <c r="BN117" s="318">
        <f t="shared" ca="1" si="65"/>
        <v>0</v>
      </c>
      <c r="BQ117" s="318" t="str">
        <f ca="1">IF(TYPE(VLOOKUP($A117,'5.kolo'!$L$3:$L$66,1,0))&gt;3,IF(TYPE(VLOOKUP($A117,'5.kolo'!$K$3:$L$66,2,0))&gt;3,0,VLOOKUP($A117,'5.kolo'!$K$3:$L$66,2,0)),VLOOKUP($A117,'5.kolo'!$L$3:$O$66,4,0))</f>
        <v/>
      </c>
      <c r="BR117" s="318">
        <f ca="1">IF(TYPE(VLOOKUP($A117,'5.kolo'!$L$3:$L$66,1,0))&gt;3,IF(TYPE(VLOOKUP($A117,'5.kolo'!$O$3:$Q$66,2,0))&gt;3,0,VLOOKUP($A117,'5.kolo'!$O$3:$Q$66,2,0)),VLOOKUP($A117,'5.kolo'!$L$3:$N$66,2,0))</f>
        <v>0</v>
      </c>
      <c r="BS117" s="318">
        <f ca="1">IF(TYPE(VLOOKUP($A117,'5.kolo'!$L$3:$L$66,1,0))&gt;3,IF(TYPE(VLOOKUP($A117,'5.kolo'!$O$3:$Q$66,3,0))&gt;3,0,VLOOKUP($A117,'5.kolo'!$O$3:$Q$66,3,0)),VLOOKUP($A117,'5.kolo'!$L$3:$N$66,3,0))</f>
        <v>0</v>
      </c>
      <c r="BT117" s="318">
        <f t="shared" ca="1" si="57"/>
        <v>0</v>
      </c>
      <c r="BU117" s="397"/>
      <c r="BV117" s="424" t="str">
        <f ca="1">IF(BU117="","",CONCATENATE(TEXT($O117,"0"),IF(Start.listina!$Y$5="","",TEXT(500+$P117,"000")),TEXT(999999*RAND(),"000000")))</f>
        <v/>
      </c>
      <c r="BW117" s="318">
        <f t="shared" ca="1" si="66"/>
        <v>0</v>
      </c>
      <c r="BZ117" s="318" t="str">
        <f ca="1">IF(TYPE(VLOOKUP($A117,'6.kolo'!$L$3:$L$66,1,0))&gt;3,IF(TYPE(VLOOKUP($A117,'6.kolo'!$K$3:$L$66,2,0))&gt;3,0,VLOOKUP($A117,'6.kolo'!$K$3:$L$66,2,0)),VLOOKUP($A117,'6.kolo'!$L$3:$O$66,4,0))</f>
        <v/>
      </c>
      <c r="CA117" s="318">
        <f ca="1">IF(TYPE(VLOOKUP($A117,'6.kolo'!$L$3:$L$66,1,0))&gt;3,IF(TYPE(VLOOKUP($A117,'6.kolo'!$O$3:$Q$66,2,0))&gt;3,0,VLOOKUP($A117,'6.kolo'!$O$3:$Q$66,2,0)),VLOOKUP($A117,'6.kolo'!$L$3:$N$66,2,0))</f>
        <v>0</v>
      </c>
      <c r="CB117" s="318">
        <f ca="1">IF(TYPE(VLOOKUP($A117,'6.kolo'!$L$3:$L$66,1,0))&gt;3,IF(TYPE(VLOOKUP($A117,'6.kolo'!$O$3:$Q$66,3,0))&gt;3,0,VLOOKUP($A117,'6.kolo'!$O$3:$Q$66,3,0)),VLOOKUP($A117,'6.kolo'!$L$3:$N$66,3,0))</f>
        <v>0</v>
      </c>
      <c r="CC117" s="318">
        <f t="shared" ca="1" si="58"/>
        <v>0</v>
      </c>
      <c r="CD117" s="397"/>
      <c r="CE117" s="424" t="str">
        <f ca="1">IF(CD117="","",CONCATENATE(TEXT($O117,"0"),IF(Start.listina!$Y$5="","",TEXT(500+$P117,"000")),TEXT(999999*RAND(),"000000")))</f>
        <v/>
      </c>
      <c r="CF117" s="318">
        <f t="shared" ca="1" si="67"/>
        <v>0</v>
      </c>
    </row>
    <row r="118" spans="1:84" x14ac:dyDescent="0.4">
      <c r="A118" s="318" t="str">
        <f ca="1">IF(OR(Start.listina!H126&gt;Start.listina!$K$7,Start.listina!G126=TRUE),"",Start.listina!H126)</f>
        <v/>
      </c>
      <c r="B118" s="318" t="str">
        <f ca="1">IF($A118&gt;Start.listina!$K$7,"",INT(($A118-1)/Start.listina!$O$7)+1)</f>
        <v/>
      </c>
      <c r="C118" s="421" t="str">
        <f ca="1">IF(OR(Start.listina!H126&gt;Start.listina!$K$7,Start.listina!G126=TRUE)," - ",Start.listina!AL126)</f>
        <v xml:space="preserve"> - </v>
      </c>
      <c r="D118" s="318" t="str">
        <f ca="1">IF(OR(A118&gt;Start.listina!$K$7,TYPE(VLOOKUP(A118,$V$3:$X$130,3,0))&gt;3),"",VLOOKUP(A118,$V$3:$X$130,3,0))</f>
        <v/>
      </c>
      <c r="E118" s="422" t="str">
        <f ca="1">IF(A118&gt;Start.listina!$K$7,"",IF(MIN(F118:K118)&gt;Start.listina!$Y$4,D118,MIN(F118:K118)))</f>
        <v/>
      </c>
      <c r="F118" s="318">
        <f ca="1">IF(TYPE(VLOOKUP(C118,Konečné_pořadí_1_16!$B$2:$D$17,3,0))&lt;4,VLOOKUP(C118,Konečné_pořadí_1_16!$B$2:$D$17,3,0),999)</f>
        <v>999</v>
      </c>
      <c r="G118" s="318">
        <f ca="1">IF(TYPE(VLOOKUP(C118,'KO64'!$D$4:$D$129,1,0))&lt;4,64,999)</f>
        <v>64</v>
      </c>
      <c r="H118" s="318">
        <f ca="1">IF(TYPE(VLOOKUP(C118,'KO32'!$D$4:$D$65,1,0))&lt;4,32,999)</f>
        <v>32</v>
      </c>
      <c r="I118" s="318">
        <f ca="1">IF(TYPE(VLOOKUP(C118,'KO16'!$D$4:$D$33,1,0))&lt;4,16,999)</f>
        <v>999</v>
      </c>
      <c r="J118" s="318">
        <f ca="1">IF(TYPE(VLOOKUP(C118,'KO8'!$D$4:$D$17,1,0))&lt;4,8,999)</f>
        <v>999</v>
      </c>
      <c r="K118" s="318">
        <f ca="1">IF(TYPE(VLOOKUP(C118,'KO4'!$D$4:$D$9,1,0))&lt;4,4,999)</f>
        <v>999</v>
      </c>
      <c r="M118" s="319">
        <v>116</v>
      </c>
      <c r="O118" s="318">
        <f t="shared" ca="1" si="42"/>
        <v>0</v>
      </c>
      <c r="P118" s="318">
        <f t="shared" ca="1" si="43"/>
        <v>0</v>
      </c>
      <c r="Q118" s="318">
        <f t="shared" ca="1" si="60"/>
        <v>2</v>
      </c>
      <c r="R118" s="318">
        <f t="shared" ca="1" si="61"/>
        <v>0</v>
      </c>
      <c r="S118" s="318">
        <f t="shared" ca="1" si="44"/>
        <v>18</v>
      </c>
      <c r="T118" s="318">
        <f t="shared" ca="1" si="45"/>
        <v>0</v>
      </c>
      <c r="U118" s="397">
        <f t="shared" si="59"/>
        <v>116</v>
      </c>
      <c r="V118" s="397" t="s">
        <v>1869</v>
      </c>
      <c r="W118" s="423" t="str">
        <f ca="1">IF($V118="","",CONCATENATE(TEXT($O118,"0"),IF(Start.listina!$Y$5="","",TEXT(500+$P118,"0000")),IF(Start.listina!$Y$6="","",CHOOSE(Start.listina!$Y$7,TEXT($Q118,"00"),CONCATENATE(TEXT($Q118,"00"),TEXT($S118,"000")), TEXT($R118,"00"))),TEXT(500+$P118,"0000"),IF(Start.listina!$Y$8="","",TEXT($T118,"0")),TEXT(999999*RAND(),"000000")))</f>
        <v/>
      </c>
      <c r="X118" s="399">
        <f t="shared" si="46"/>
        <v>116</v>
      </c>
      <c r="Y118" s="397">
        <f t="shared" ca="1" si="62"/>
        <v>0</v>
      </c>
      <c r="Z118" s="318">
        <f t="shared" ca="1" si="47"/>
        <v>57</v>
      </c>
      <c r="AA118" s="318" t="str">
        <f t="shared" ca="1" si="48"/>
        <v/>
      </c>
      <c r="AB118" s="318" t="str">
        <f t="shared" ca="1" si="49"/>
        <v/>
      </c>
      <c r="AC118" s="318" t="str">
        <f t="shared" ca="1" si="50"/>
        <v/>
      </c>
      <c r="AD118" s="318" t="str">
        <f t="shared" ca="1" si="51"/>
        <v/>
      </c>
      <c r="AE118" s="318" t="str">
        <f t="shared" ca="1" si="52"/>
        <v/>
      </c>
      <c r="AG118" s="318">
        <f ca="1">IF(TYPE(VLOOKUP($A118,'1.kolo'!$L$3:$L$66,1,0))&gt;3,VLOOKUP($A118,'1.kolo'!$K$3:$L$66,2,0),VLOOKUP($A118,'1.kolo'!$L$3:$O$66,4,0))</f>
        <v>57</v>
      </c>
      <c r="AH118" s="318">
        <f ca="1">IF(TYPE(VLOOKUP($A118,'1.kolo'!$L$3:$L$66,1,0))&gt;3,VLOOKUP($A118,'1.kolo'!$O$3:$Q$66,2,0),VLOOKUP($A118,'1.kolo'!$L$3:$N$66,2,0))</f>
        <v>0</v>
      </c>
      <c r="AI118" s="318">
        <f ca="1">IF(TYPE(VLOOKUP($A118,'1.kolo'!$L$3:$L$66,1,0))&gt;3,VLOOKUP($A118,'1.kolo'!$O$3:$Q$66,3,0),VLOOKUP($A118,'1.kolo'!$L$3:$N$66,3,0))</f>
        <v>0</v>
      </c>
      <c r="AJ118" s="318">
        <f t="shared" ca="1" si="53"/>
        <v>0</v>
      </c>
      <c r="AK118" s="318">
        <v>116</v>
      </c>
      <c r="AL118" s="424"/>
      <c r="AP118" s="318" t="str">
        <f ca="1">IF(TYPE(VLOOKUP($A118,'2.kolo'!$L$3:$L$66,1,0))&gt;3,IF(TYPE(VLOOKUP($A118,'2.kolo'!$K$3:$L$66,2,0))&gt;3,0,VLOOKUP($A118,'2.kolo'!$K$3:$L$66,2,0)),VLOOKUP($A118,'2.kolo'!$L$3:$O$66,4,0))</f>
        <v/>
      </c>
      <c r="AQ118" s="318">
        <f ca="1">IF(TYPE(VLOOKUP($A118,'2.kolo'!$L$3:$L$66,1,0))&gt;3,IF(TYPE(VLOOKUP($A118,'2.kolo'!$O$3:$Q$66,2,0))&gt;3,0,VLOOKUP($A118,'2.kolo'!$O$3:$Q$66,2,0)),VLOOKUP($A118,'2.kolo'!$L$3:$N$66,2,0))</f>
        <v>0</v>
      </c>
      <c r="AR118" s="318">
        <f ca="1">IF(TYPE(VLOOKUP($A118,'2.kolo'!$L$3:$L$66,1,0))&gt;3,IF(TYPE(VLOOKUP($A118,'2.kolo'!$O$3:$Q$66,3,0))&gt;3,0,VLOOKUP($A118,'2.kolo'!$O$3:$Q$66,3,0)),VLOOKUP($A118,'2.kolo'!$L$3:$N$66,3,0))</f>
        <v>0</v>
      </c>
      <c r="AS118" s="318">
        <f t="shared" ca="1" si="54"/>
        <v>0</v>
      </c>
      <c r="AT118" s="397" t="s">
        <v>1869</v>
      </c>
      <c r="AU118" s="424" t="str">
        <f ca="1">IF(AT118="","",CONCATENATE(TEXT($O118,"0"),IF(Start.listina!$Y$5="","",TEXT(500+$P118,"000")),TEXT(999999*RAND(),"000000")))</f>
        <v/>
      </c>
      <c r="AV118" s="318">
        <f t="shared" ca="1" si="63"/>
        <v>0</v>
      </c>
      <c r="AY118" s="318" t="str">
        <f ca="1">IF(TYPE(VLOOKUP($A118,'3.kolo'!$L$3:$L$66,1,0))&gt;3,IF(TYPE(VLOOKUP($A118,'3.kolo'!$K$3:$L$66,2,0))&gt;3,0,VLOOKUP($A118,'3.kolo'!$K$3:$L$66,2,0)),VLOOKUP($A118,'3.kolo'!$L$3:$O$66,4,0))</f>
        <v/>
      </c>
      <c r="AZ118" s="318">
        <f ca="1">IF(TYPE(VLOOKUP($A118,'3.kolo'!$L$3:$L$66,1,0))&gt;3,IF(TYPE(VLOOKUP($A118,'3.kolo'!$O$3:$Q$66,2,0))&gt;3,0,VLOOKUP($A118,'3.kolo'!$O$3:$Q$66,2,0)),VLOOKUP($A118,'3.kolo'!$L$3:$N$66,2,0))</f>
        <v>0</v>
      </c>
      <c r="BA118" s="318">
        <f ca="1">IF(TYPE(VLOOKUP($A118,'3.kolo'!$L$3:$L$66,1,0))&gt;3,IF(TYPE(VLOOKUP($A118,'3.kolo'!$O$3:$Q$66,3,0))&gt;3,0,VLOOKUP($A118,'3.kolo'!$O$3:$Q$66,3,0)),VLOOKUP($A118,'3.kolo'!$L$3:$N$66,3,0))</f>
        <v>0</v>
      </c>
      <c r="BB118" s="318">
        <f t="shared" ca="1" si="55"/>
        <v>0</v>
      </c>
      <c r="BC118" s="397" t="s">
        <v>1869</v>
      </c>
      <c r="BD118" s="424" t="str">
        <f ca="1">IF(BC118="","",CONCATENATE(TEXT($O118,"0"),IF(Start.listina!$Y$5="","",TEXT(500+$P118,"000")),TEXT(999999*RAND(),"000000")))</f>
        <v/>
      </c>
      <c r="BE118" s="318">
        <f t="shared" ca="1" si="64"/>
        <v>0</v>
      </c>
      <c r="BH118" s="318" t="str">
        <f ca="1">IF(TYPE(VLOOKUP($A118,'4.kolo'!$L$3:$L$66,1,0))&gt;3,IF(TYPE(VLOOKUP($A118,'4.kolo'!$K$3:$L$66,2,0))&gt;3,0,VLOOKUP($A118,'4.kolo'!$K$3:$L$66,2,0)),VLOOKUP($A118,'4.kolo'!$L$3:$O$66,4,0))</f>
        <v/>
      </c>
      <c r="BI118" s="318">
        <f ca="1">IF(TYPE(VLOOKUP($A118,'4.kolo'!$L$3:$L$66,1,0))&gt;3,IF(TYPE(VLOOKUP($A118,'4.kolo'!$O$3:$Q$66,2,0))&gt;3,0,VLOOKUP($A118,'4.kolo'!$O$3:$Q$66,2,0)),VLOOKUP($A118,'4.kolo'!$L$3:$N$66,2,0))</f>
        <v>0</v>
      </c>
      <c r="BJ118" s="318">
        <f ca="1">IF(TYPE(VLOOKUP($A118,'4.kolo'!$L$3:$L$66,1,0))&gt;3,IF(TYPE(VLOOKUP($A118,'4.kolo'!$O$3:$Q$66,3,0))&gt;3,0,VLOOKUP($A118,'4.kolo'!$O$3:$Q$66,3,0)),VLOOKUP($A118,'4.kolo'!$L$3:$N$66,3,0))</f>
        <v>0</v>
      </c>
      <c r="BK118" s="318">
        <f t="shared" ca="1" si="56"/>
        <v>0</v>
      </c>
      <c r="BL118" s="397" t="s">
        <v>1869</v>
      </c>
      <c r="BM118" s="424" t="str">
        <f ca="1">IF(BL118="","",CONCATENATE(TEXT($O118,"0"),IF(Start.listina!$Y$5="","",TEXT(500+$P118,"000")),TEXT(999999*RAND(),"000000")))</f>
        <v/>
      </c>
      <c r="BN118" s="318">
        <f t="shared" ca="1" si="65"/>
        <v>0</v>
      </c>
      <c r="BQ118" s="318" t="str">
        <f ca="1">IF(TYPE(VLOOKUP($A118,'5.kolo'!$L$3:$L$66,1,0))&gt;3,IF(TYPE(VLOOKUP($A118,'5.kolo'!$K$3:$L$66,2,0))&gt;3,0,VLOOKUP($A118,'5.kolo'!$K$3:$L$66,2,0)),VLOOKUP($A118,'5.kolo'!$L$3:$O$66,4,0))</f>
        <v/>
      </c>
      <c r="BR118" s="318">
        <f ca="1">IF(TYPE(VLOOKUP($A118,'5.kolo'!$L$3:$L$66,1,0))&gt;3,IF(TYPE(VLOOKUP($A118,'5.kolo'!$O$3:$Q$66,2,0))&gt;3,0,VLOOKUP($A118,'5.kolo'!$O$3:$Q$66,2,0)),VLOOKUP($A118,'5.kolo'!$L$3:$N$66,2,0))</f>
        <v>0</v>
      </c>
      <c r="BS118" s="318">
        <f ca="1">IF(TYPE(VLOOKUP($A118,'5.kolo'!$L$3:$L$66,1,0))&gt;3,IF(TYPE(VLOOKUP($A118,'5.kolo'!$O$3:$Q$66,3,0))&gt;3,0,VLOOKUP($A118,'5.kolo'!$O$3:$Q$66,3,0)),VLOOKUP($A118,'5.kolo'!$L$3:$N$66,3,0))</f>
        <v>0</v>
      </c>
      <c r="BT118" s="318">
        <f t="shared" ca="1" si="57"/>
        <v>0</v>
      </c>
      <c r="BU118" s="397"/>
      <c r="BV118" s="424" t="str">
        <f ca="1">IF(BU118="","",CONCATENATE(TEXT($O118,"0"),IF(Start.listina!$Y$5="","",TEXT(500+$P118,"000")),TEXT(999999*RAND(),"000000")))</f>
        <v/>
      </c>
      <c r="BW118" s="318">
        <f t="shared" ca="1" si="66"/>
        <v>0</v>
      </c>
      <c r="BZ118" s="318" t="str">
        <f ca="1">IF(TYPE(VLOOKUP($A118,'6.kolo'!$L$3:$L$66,1,0))&gt;3,IF(TYPE(VLOOKUP($A118,'6.kolo'!$K$3:$L$66,2,0))&gt;3,0,VLOOKUP($A118,'6.kolo'!$K$3:$L$66,2,0)),VLOOKUP($A118,'6.kolo'!$L$3:$O$66,4,0))</f>
        <v/>
      </c>
      <c r="CA118" s="318">
        <f ca="1">IF(TYPE(VLOOKUP($A118,'6.kolo'!$L$3:$L$66,1,0))&gt;3,IF(TYPE(VLOOKUP($A118,'6.kolo'!$O$3:$Q$66,2,0))&gt;3,0,VLOOKUP($A118,'6.kolo'!$O$3:$Q$66,2,0)),VLOOKUP($A118,'6.kolo'!$L$3:$N$66,2,0))</f>
        <v>0</v>
      </c>
      <c r="CB118" s="318">
        <f ca="1">IF(TYPE(VLOOKUP($A118,'6.kolo'!$L$3:$L$66,1,0))&gt;3,IF(TYPE(VLOOKUP($A118,'6.kolo'!$O$3:$Q$66,3,0))&gt;3,0,VLOOKUP($A118,'6.kolo'!$O$3:$Q$66,3,0)),VLOOKUP($A118,'6.kolo'!$L$3:$N$66,3,0))</f>
        <v>0</v>
      </c>
      <c r="CC118" s="318">
        <f t="shared" ca="1" si="58"/>
        <v>0</v>
      </c>
      <c r="CD118" s="397"/>
      <c r="CE118" s="424" t="str">
        <f ca="1">IF(CD118="","",CONCATENATE(TEXT($O118,"0"),IF(Start.listina!$Y$5="","",TEXT(500+$P118,"000")),TEXT(999999*RAND(),"000000")))</f>
        <v/>
      </c>
      <c r="CF118" s="318">
        <f t="shared" ca="1" si="67"/>
        <v>0</v>
      </c>
    </row>
    <row r="119" spans="1:84" x14ac:dyDescent="0.4">
      <c r="A119" s="318" t="str">
        <f ca="1">IF(OR(Start.listina!H127&gt;Start.listina!$K$7,Start.listina!G127=TRUE),"",Start.listina!H127)</f>
        <v/>
      </c>
      <c r="B119" s="318" t="str">
        <f ca="1">IF($A119&gt;Start.listina!$K$7,"",INT(($A119-1)/Start.listina!$O$7)+1)</f>
        <v/>
      </c>
      <c r="C119" s="421" t="str">
        <f ca="1">IF(OR(Start.listina!H127&gt;Start.listina!$K$7,Start.listina!G127=TRUE)," - ",Start.listina!AL127)</f>
        <v xml:space="preserve"> - </v>
      </c>
      <c r="D119" s="318" t="str">
        <f ca="1">IF(OR(A119&gt;Start.listina!$K$7,TYPE(VLOOKUP(A119,$V$3:$X$130,3,0))&gt;3),"",VLOOKUP(A119,$V$3:$X$130,3,0))</f>
        <v/>
      </c>
      <c r="E119" s="422" t="str">
        <f ca="1">IF(A119&gt;Start.listina!$K$7,"",IF(MIN(F119:K119)&gt;Start.listina!$Y$4,D119,MIN(F119:K119)))</f>
        <v/>
      </c>
      <c r="F119" s="318">
        <f ca="1">IF(TYPE(VLOOKUP(C119,Konečné_pořadí_1_16!$B$2:$D$17,3,0))&lt;4,VLOOKUP(C119,Konečné_pořadí_1_16!$B$2:$D$17,3,0),999)</f>
        <v>999</v>
      </c>
      <c r="G119" s="318">
        <f ca="1">IF(TYPE(VLOOKUP(C119,'KO64'!$D$4:$D$129,1,0))&lt;4,64,999)</f>
        <v>64</v>
      </c>
      <c r="H119" s="318">
        <f ca="1">IF(TYPE(VLOOKUP(C119,'KO32'!$D$4:$D$65,1,0))&lt;4,32,999)</f>
        <v>32</v>
      </c>
      <c r="I119" s="318">
        <f ca="1">IF(TYPE(VLOOKUP(C119,'KO16'!$D$4:$D$33,1,0))&lt;4,16,999)</f>
        <v>999</v>
      </c>
      <c r="J119" s="318">
        <f ca="1">IF(TYPE(VLOOKUP(C119,'KO8'!$D$4:$D$17,1,0))&lt;4,8,999)</f>
        <v>999</v>
      </c>
      <c r="K119" s="318">
        <f ca="1">IF(TYPE(VLOOKUP(C119,'KO4'!$D$4:$D$9,1,0))&lt;4,4,999)</f>
        <v>999</v>
      </c>
      <c r="M119" s="319">
        <v>117</v>
      </c>
      <c r="O119" s="318">
        <f t="shared" ca="1" si="42"/>
        <v>0</v>
      </c>
      <c r="P119" s="318">
        <f t="shared" ca="1" si="43"/>
        <v>0</v>
      </c>
      <c r="Q119" s="318">
        <f t="shared" ca="1" si="60"/>
        <v>2</v>
      </c>
      <c r="R119" s="318">
        <f t="shared" ca="1" si="61"/>
        <v>0</v>
      </c>
      <c r="S119" s="318">
        <f t="shared" ca="1" si="44"/>
        <v>18</v>
      </c>
      <c r="T119" s="318">
        <f t="shared" ca="1" si="45"/>
        <v>0</v>
      </c>
      <c r="U119" s="397">
        <f t="shared" si="59"/>
        <v>117</v>
      </c>
      <c r="V119" s="397" t="s">
        <v>1869</v>
      </c>
      <c r="W119" s="423" t="str">
        <f ca="1">IF($V119="","",CONCATENATE(TEXT($O119,"0"),IF(Start.listina!$Y$5="","",TEXT(500+$P119,"0000")),IF(Start.listina!$Y$6="","",CHOOSE(Start.listina!$Y$7,TEXT($Q119,"00"),CONCATENATE(TEXT($Q119,"00"),TEXT($S119,"000")), TEXT($R119,"00"))),TEXT(500+$P119,"0000"),IF(Start.listina!$Y$8="","",TEXT($T119,"0")),TEXT(999999*RAND(),"000000")))</f>
        <v/>
      </c>
      <c r="X119" s="399">
        <f t="shared" si="46"/>
        <v>117</v>
      </c>
      <c r="Y119" s="397">
        <f t="shared" ca="1" si="62"/>
        <v>0</v>
      </c>
      <c r="Z119" s="318">
        <f t="shared" ca="1" si="47"/>
        <v>57</v>
      </c>
      <c r="AA119" s="318" t="str">
        <f t="shared" ca="1" si="48"/>
        <v/>
      </c>
      <c r="AB119" s="318" t="str">
        <f t="shared" ca="1" si="49"/>
        <v/>
      </c>
      <c r="AC119" s="318" t="str">
        <f t="shared" ca="1" si="50"/>
        <v/>
      </c>
      <c r="AD119" s="318" t="str">
        <f t="shared" ca="1" si="51"/>
        <v/>
      </c>
      <c r="AE119" s="318" t="str">
        <f t="shared" ca="1" si="52"/>
        <v/>
      </c>
      <c r="AG119" s="318">
        <f ca="1">IF(TYPE(VLOOKUP($A119,'1.kolo'!$L$3:$L$66,1,0))&gt;3,VLOOKUP($A119,'1.kolo'!$K$3:$L$66,2,0),VLOOKUP($A119,'1.kolo'!$L$3:$O$66,4,0))</f>
        <v>57</v>
      </c>
      <c r="AH119" s="318">
        <f ca="1">IF(TYPE(VLOOKUP($A119,'1.kolo'!$L$3:$L$66,1,0))&gt;3,VLOOKUP($A119,'1.kolo'!$O$3:$Q$66,2,0),VLOOKUP($A119,'1.kolo'!$L$3:$N$66,2,0))</f>
        <v>0</v>
      </c>
      <c r="AI119" s="318">
        <f ca="1">IF(TYPE(VLOOKUP($A119,'1.kolo'!$L$3:$L$66,1,0))&gt;3,VLOOKUP($A119,'1.kolo'!$O$3:$Q$66,3,0),VLOOKUP($A119,'1.kolo'!$L$3:$N$66,3,0))</f>
        <v>0</v>
      </c>
      <c r="AJ119" s="318">
        <f t="shared" ca="1" si="53"/>
        <v>0</v>
      </c>
      <c r="AK119" s="318">
        <v>117</v>
      </c>
      <c r="AL119" s="424"/>
      <c r="AP119" s="318" t="str">
        <f ca="1">IF(TYPE(VLOOKUP($A119,'2.kolo'!$L$3:$L$66,1,0))&gt;3,IF(TYPE(VLOOKUP($A119,'2.kolo'!$K$3:$L$66,2,0))&gt;3,0,VLOOKUP($A119,'2.kolo'!$K$3:$L$66,2,0)),VLOOKUP($A119,'2.kolo'!$L$3:$O$66,4,0))</f>
        <v/>
      </c>
      <c r="AQ119" s="318">
        <f ca="1">IF(TYPE(VLOOKUP($A119,'2.kolo'!$L$3:$L$66,1,0))&gt;3,IF(TYPE(VLOOKUP($A119,'2.kolo'!$O$3:$Q$66,2,0))&gt;3,0,VLOOKUP($A119,'2.kolo'!$O$3:$Q$66,2,0)),VLOOKUP($A119,'2.kolo'!$L$3:$N$66,2,0))</f>
        <v>0</v>
      </c>
      <c r="AR119" s="318">
        <f ca="1">IF(TYPE(VLOOKUP($A119,'2.kolo'!$L$3:$L$66,1,0))&gt;3,IF(TYPE(VLOOKUP($A119,'2.kolo'!$O$3:$Q$66,3,0))&gt;3,0,VLOOKUP($A119,'2.kolo'!$O$3:$Q$66,3,0)),VLOOKUP($A119,'2.kolo'!$L$3:$N$66,3,0))</f>
        <v>0</v>
      </c>
      <c r="AS119" s="318">
        <f t="shared" ca="1" si="54"/>
        <v>0</v>
      </c>
      <c r="AT119" s="397" t="s">
        <v>1869</v>
      </c>
      <c r="AU119" s="424" t="str">
        <f ca="1">IF(AT119="","",CONCATENATE(TEXT($O119,"0"),IF(Start.listina!$Y$5="","",TEXT(500+$P119,"000")),TEXT(999999*RAND(),"000000")))</f>
        <v/>
      </c>
      <c r="AV119" s="318">
        <f t="shared" ca="1" si="63"/>
        <v>0</v>
      </c>
      <c r="AY119" s="318" t="str">
        <f ca="1">IF(TYPE(VLOOKUP($A119,'3.kolo'!$L$3:$L$66,1,0))&gt;3,IF(TYPE(VLOOKUP($A119,'3.kolo'!$K$3:$L$66,2,0))&gt;3,0,VLOOKUP($A119,'3.kolo'!$K$3:$L$66,2,0)),VLOOKUP($A119,'3.kolo'!$L$3:$O$66,4,0))</f>
        <v/>
      </c>
      <c r="AZ119" s="318">
        <f ca="1">IF(TYPE(VLOOKUP($A119,'3.kolo'!$L$3:$L$66,1,0))&gt;3,IF(TYPE(VLOOKUP($A119,'3.kolo'!$O$3:$Q$66,2,0))&gt;3,0,VLOOKUP($A119,'3.kolo'!$O$3:$Q$66,2,0)),VLOOKUP($A119,'3.kolo'!$L$3:$N$66,2,0))</f>
        <v>0</v>
      </c>
      <c r="BA119" s="318">
        <f ca="1">IF(TYPE(VLOOKUP($A119,'3.kolo'!$L$3:$L$66,1,0))&gt;3,IF(TYPE(VLOOKUP($A119,'3.kolo'!$O$3:$Q$66,3,0))&gt;3,0,VLOOKUP($A119,'3.kolo'!$O$3:$Q$66,3,0)),VLOOKUP($A119,'3.kolo'!$L$3:$N$66,3,0))</f>
        <v>0</v>
      </c>
      <c r="BB119" s="318">
        <f t="shared" ca="1" si="55"/>
        <v>0</v>
      </c>
      <c r="BC119" s="397" t="s">
        <v>1869</v>
      </c>
      <c r="BD119" s="424" t="str">
        <f ca="1">IF(BC119="","",CONCATENATE(TEXT($O119,"0"),IF(Start.listina!$Y$5="","",TEXT(500+$P119,"000")),TEXT(999999*RAND(),"000000")))</f>
        <v/>
      </c>
      <c r="BE119" s="318">
        <f t="shared" ca="1" si="64"/>
        <v>0</v>
      </c>
      <c r="BH119" s="318" t="str">
        <f ca="1">IF(TYPE(VLOOKUP($A119,'4.kolo'!$L$3:$L$66,1,0))&gt;3,IF(TYPE(VLOOKUP($A119,'4.kolo'!$K$3:$L$66,2,0))&gt;3,0,VLOOKUP($A119,'4.kolo'!$K$3:$L$66,2,0)),VLOOKUP($A119,'4.kolo'!$L$3:$O$66,4,0))</f>
        <v/>
      </c>
      <c r="BI119" s="318">
        <f ca="1">IF(TYPE(VLOOKUP($A119,'4.kolo'!$L$3:$L$66,1,0))&gt;3,IF(TYPE(VLOOKUP($A119,'4.kolo'!$O$3:$Q$66,2,0))&gt;3,0,VLOOKUP($A119,'4.kolo'!$O$3:$Q$66,2,0)),VLOOKUP($A119,'4.kolo'!$L$3:$N$66,2,0))</f>
        <v>0</v>
      </c>
      <c r="BJ119" s="318">
        <f ca="1">IF(TYPE(VLOOKUP($A119,'4.kolo'!$L$3:$L$66,1,0))&gt;3,IF(TYPE(VLOOKUP($A119,'4.kolo'!$O$3:$Q$66,3,0))&gt;3,0,VLOOKUP($A119,'4.kolo'!$O$3:$Q$66,3,0)),VLOOKUP($A119,'4.kolo'!$L$3:$N$66,3,0))</f>
        <v>0</v>
      </c>
      <c r="BK119" s="318">
        <f t="shared" ca="1" si="56"/>
        <v>0</v>
      </c>
      <c r="BL119" s="397" t="s">
        <v>1869</v>
      </c>
      <c r="BM119" s="424" t="str">
        <f ca="1">IF(BL119="","",CONCATENATE(TEXT($O119,"0"),IF(Start.listina!$Y$5="","",TEXT(500+$P119,"000")),TEXT(999999*RAND(),"000000")))</f>
        <v/>
      </c>
      <c r="BN119" s="318">
        <f t="shared" ca="1" si="65"/>
        <v>0</v>
      </c>
      <c r="BQ119" s="318" t="str">
        <f ca="1">IF(TYPE(VLOOKUP($A119,'5.kolo'!$L$3:$L$66,1,0))&gt;3,IF(TYPE(VLOOKUP($A119,'5.kolo'!$K$3:$L$66,2,0))&gt;3,0,VLOOKUP($A119,'5.kolo'!$K$3:$L$66,2,0)),VLOOKUP($A119,'5.kolo'!$L$3:$O$66,4,0))</f>
        <v/>
      </c>
      <c r="BR119" s="318">
        <f ca="1">IF(TYPE(VLOOKUP($A119,'5.kolo'!$L$3:$L$66,1,0))&gt;3,IF(TYPE(VLOOKUP($A119,'5.kolo'!$O$3:$Q$66,2,0))&gt;3,0,VLOOKUP($A119,'5.kolo'!$O$3:$Q$66,2,0)),VLOOKUP($A119,'5.kolo'!$L$3:$N$66,2,0))</f>
        <v>0</v>
      </c>
      <c r="BS119" s="318">
        <f ca="1">IF(TYPE(VLOOKUP($A119,'5.kolo'!$L$3:$L$66,1,0))&gt;3,IF(TYPE(VLOOKUP($A119,'5.kolo'!$O$3:$Q$66,3,0))&gt;3,0,VLOOKUP($A119,'5.kolo'!$O$3:$Q$66,3,0)),VLOOKUP($A119,'5.kolo'!$L$3:$N$66,3,0))</f>
        <v>0</v>
      </c>
      <c r="BT119" s="318">
        <f t="shared" ca="1" si="57"/>
        <v>0</v>
      </c>
      <c r="BU119" s="397"/>
      <c r="BV119" s="424" t="str">
        <f ca="1">IF(BU119="","",CONCATENATE(TEXT($O119,"0"),IF(Start.listina!$Y$5="","",TEXT(500+$P119,"000")),TEXT(999999*RAND(),"000000")))</f>
        <v/>
      </c>
      <c r="BW119" s="318">
        <f t="shared" ca="1" si="66"/>
        <v>0</v>
      </c>
      <c r="BZ119" s="318" t="str">
        <f ca="1">IF(TYPE(VLOOKUP($A119,'6.kolo'!$L$3:$L$66,1,0))&gt;3,IF(TYPE(VLOOKUP($A119,'6.kolo'!$K$3:$L$66,2,0))&gt;3,0,VLOOKUP($A119,'6.kolo'!$K$3:$L$66,2,0)),VLOOKUP($A119,'6.kolo'!$L$3:$O$66,4,0))</f>
        <v/>
      </c>
      <c r="CA119" s="318">
        <f ca="1">IF(TYPE(VLOOKUP($A119,'6.kolo'!$L$3:$L$66,1,0))&gt;3,IF(TYPE(VLOOKUP($A119,'6.kolo'!$O$3:$Q$66,2,0))&gt;3,0,VLOOKUP($A119,'6.kolo'!$O$3:$Q$66,2,0)),VLOOKUP($A119,'6.kolo'!$L$3:$N$66,2,0))</f>
        <v>0</v>
      </c>
      <c r="CB119" s="318">
        <f ca="1">IF(TYPE(VLOOKUP($A119,'6.kolo'!$L$3:$L$66,1,0))&gt;3,IF(TYPE(VLOOKUP($A119,'6.kolo'!$O$3:$Q$66,3,0))&gt;3,0,VLOOKUP($A119,'6.kolo'!$O$3:$Q$66,3,0)),VLOOKUP($A119,'6.kolo'!$L$3:$N$66,3,0))</f>
        <v>0</v>
      </c>
      <c r="CC119" s="318">
        <f t="shared" ca="1" si="58"/>
        <v>0</v>
      </c>
      <c r="CD119" s="397"/>
      <c r="CE119" s="424" t="str">
        <f ca="1">IF(CD119="","",CONCATENATE(TEXT($O119,"0"),IF(Start.listina!$Y$5="","",TEXT(500+$P119,"000")),TEXT(999999*RAND(),"000000")))</f>
        <v/>
      </c>
      <c r="CF119" s="318">
        <f t="shared" ca="1" si="67"/>
        <v>0</v>
      </c>
    </row>
    <row r="120" spans="1:84" x14ac:dyDescent="0.4">
      <c r="A120" s="318" t="str">
        <f ca="1">IF(OR(Start.listina!H128&gt;Start.listina!$K$7,Start.listina!G128=TRUE),"",Start.listina!H128)</f>
        <v/>
      </c>
      <c r="B120" s="318" t="str">
        <f ca="1">IF($A120&gt;Start.listina!$K$7,"",INT(($A120-1)/Start.listina!$O$7)+1)</f>
        <v/>
      </c>
      <c r="C120" s="421" t="str">
        <f ca="1">IF(OR(Start.listina!H128&gt;Start.listina!$K$7,Start.listina!G128=TRUE)," - ",Start.listina!AL128)</f>
        <v xml:space="preserve"> - </v>
      </c>
      <c r="D120" s="318" t="str">
        <f ca="1">IF(OR(A120&gt;Start.listina!$K$7,TYPE(VLOOKUP(A120,$V$3:$X$130,3,0))&gt;3),"",VLOOKUP(A120,$V$3:$X$130,3,0))</f>
        <v/>
      </c>
      <c r="E120" s="422" t="str">
        <f ca="1">IF(A120&gt;Start.listina!$K$7,"",IF(MIN(F120:K120)&gt;Start.listina!$Y$4,D120,MIN(F120:K120)))</f>
        <v/>
      </c>
      <c r="F120" s="318">
        <f ca="1">IF(TYPE(VLOOKUP(C120,Konečné_pořadí_1_16!$B$2:$D$17,3,0))&lt;4,VLOOKUP(C120,Konečné_pořadí_1_16!$B$2:$D$17,3,0),999)</f>
        <v>999</v>
      </c>
      <c r="G120" s="318">
        <f ca="1">IF(TYPE(VLOOKUP(C120,'KO64'!$D$4:$D$129,1,0))&lt;4,64,999)</f>
        <v>64</v>
      </c>
      <c r="H120" s="318">
        <f ca="1">IF(TYPE(VLOOKUP(C120,'KO32'!$D$4:$D$65,1,0))&lt;4,32,999)</f>
        <v>32</v>
      </c>
      <c r="I120" s="318">
        <f ca="1">IF(TYPE(VLOOKUP(C120,'KO16'!$D$4:$D$33,1,0))&lt;4,16,999)</f>
        <v>999</v>
      </c>
      <c r="J120" s="318">
        <f ca="1">IF(TYPE(VLOOKUP(C120,'KO8'!$D$4:$D$17,1,0))&lt;4,8,999)</f>
        <v>999</v>
      </c>
      <c r="K120" s="318">
        <f ca="1">IF(TYPE(VLOOKUP(C120,'KO4'!$D$4:$D$9,1,0))&lt;4,4,999)</f>
        <v>999</v>
      </c>
      <c r="M120" s="319">
        <v>118</v>
      </c>
      <c r="O120" s="318">
        <f t="shared" ca="1" si="42"/>
        <v>0</v>
      </c>
      <c r="P120" s="318">
        <f t="shared" ca="1" si="43"/>
        <v>0</v>
      </c>
      <c r="Q120" s="318">
        <f t="shared" ca="1" si="60"/>
        <v>2</v>
      </c>
      <c r="R120" s="318">
        <f t="shared" ca="1" si="61"/>
        <v>0</v>
      </c>
      <c r="S120" s="318">
        <f t="shared" ca="1" si="44"/>
        <v>18</v>
      </c>
      <c r="T120" s="318">
        <f t="shared" ca="1" si="45"/>
        <v>0</v>
      </c>
      <c r="U120" s="397">
        <f t="shared" si="59"/>
        <v>118</v>
      </c>
      <c r="V120" s="397" t="s">
        <v>1869</v>
      </c>
      <c r="W120" s="423" t="str">
        <f ca="1">IF($V120="","",CONCATENATE(TEXT($O120,"0"),IF(Start.listina!$Y$5="","",TEXT(500+$P120,"0000")),IF(Start.listina!$Y$6="","",CHOOSE(Start.listina!$Y$7,TEXT($Q120,"00"),CONCATENATE(TEXT($Q120,"00"),TEXT($S120,"000")), TEXT($R120,"00"))),TEXT(500+$P120,"0000"),IF(Start.listina!$Y$8="","",TEXT($T120,"0")),TEXT(999999*RAND(),"000000")))</f>
        <v/>
      </c>
      <c r="X120" s="399">
        <f t="shared" si="46"/>
        <v>118</v>
      </c>
      <c r="Y120" s="397">
        <f t="shared" ca="1" si="62"/>
        <v>0</v>
      </c>
      <c r="Z120" s="318">
        <f t="shared" ca="1" si="47"/>
        <v>57</v>
      </c>
      <c r="AA120" s="318" t="str">
        <f t="shared" ca="1" si="48"/>
        <v/>
      </c>
      <c r="AB120" s="318" t="str">
        <f t="shared" ca="1" si="49"/>
        <v/>
      </c>
      <c r="AC120" s="318" t="str">
        <f t="shared" ca="1" si="50"/>
        <v/>
      </c>
      <c r="AD120" s="318" t="str">
        <f t="shared" ca="1" si="51"/>
        <v/>
      </c>
      <c r="AE120" s="318" t="str">
        <f t="shared" ca="1" si="52"/>
        <v/>
      </c>
      <c r="AG120" s="318">
        <f ca="1">IF(TYPE(VLOOKUP($A120,'1.kolo'!$L$3:$L$66,1,0))&gt;3,VLOOKUP($A120,'1.kolo'!$K$3:$L$66,2,0),VLOOKUP($A120,'1.kolo'!$L$3:$O$66,4,0))</f>
        <v>57</v>
      </c>
      <c r="AH120" s="318">
        <f ca="1">IF(TYPE(VLOOKUP($A120,'1.kolo'!$L$3:$L$66,1,0))&gt;3,VLOOKUP($A120,'1.kolo'!$O$3:$Q$66,2,0),VLOOKUP($A120,'1.kolo'!$L$3:$N$66,2,0))</f>
        <v>0</v>
      </c>
      <c r="AI120" s="318">
        <f ca="1">IF(TYPE(VLOOKUP($A120,'1.kolo'!$L$3:$L$66,1,0))&gt;3,VLOOKUP($A120,'1.kolo'!$O$3:$Q$66,3,0),VLOOKUP($A120,'1.kolo'!$L$3:$N$66,3,0))</f>
        <v>0</v>
      </c>
      <c r="AJ120" s="318">
        <f t="shared" ca="1" si="53"/>
        <v>0</v>
      </c>
      <c r="AK120" s="318">
        <v>118</v>
      </c>
      <c r="AL120" s="424"/>
      <c r="AP120" s="318" t="str">
        <f ca="1">IF(TYPE(VLOOKUP($A120,'2.kolo'!$L$3:$L$66,1,0))&gt;3,IF(TYPE(VLOOKUP($A120,'2.kolo'!$K$3:$L$66,2,0))&gt;3,0,VLOOKUP($A120,'2.kolo'!$K$3:$L$66,2,0)),VLOOKUP($A120,'2.kolo'!$L$3:$O$66,4,0))</f>
        <v/>
      </c>
      <c r="AQ120" s="318">
        <f ca="1">IF(TYPE(VLOOKUP($A120,'2.kolo'!$L$3:$L$66,1,0))&gt;3,IF(TYPE(VLOOKUP($A120,'2.kolo'!$O$3:$Q$66,2,0))&gt;3,0,VLOOKUP($A120,'2.kolo'!$O$3:$Q$66,2,0)),VLOOKUP($A120,'2.kolo'!$L$3:$N$66,2,0))</f>
        <v>0</v>
      </c>
      <c r="AR120" s="318">
        <f ca="1">IF(TYPE(VLOOKUP($A120,'2.kolo'!$L$3:$L$66,1,0))&gt;3,IF(TYPE(VLOOKUP($A120,'2.kolo'!$O$3:$Q$66,3,0))&gt;3,0,VLOOKUP($A120,'2.kolo'!$O$3:$Q$66,3,0)),VLOOKUP($A120,'2.kolo'!$L$3:$N$66,3,0))</f>
        <v>0</v>
      </c>
      <c r="AS120" s="318">
        <f t="shared" ca="1" si="54"/>
        <v>0</v>
      </c>
      <c r="AT120" s="397" t="s">
        <v>1869</v>
      </c>
      <c r="AU120" s="424" t="str">
        <f ca="1">IF(AT120="","",CONCATENATE(TEXT($O120,"0"),IF(Start.listina!$Y$5="","",TEXT(500+$P120,"000")),TEXT(999999*RAND(),"000000")))</f>
        <v/>
      </c>
      <c r="AV120" s="318">
        <f t="shared" ca="1" si="63"/>
        <v>0</v>
      </c>
      <c r="AY120" s="318" t="str">
        <f ca="1">IF(TYPE(VLOOKUP($A120,'3.kolo'!$L$3:$L$66,1,0))&gt;3,IF(TYPE(VLOOKUP($A120,'3.kolo'!$K$3:$L$66,2,0))&gt;3,0,VLOOKUP($A120,'3.kolo'!$K$3:$L$66,2,0)),VLOOKUP($A120,'3.kolo'!$L$3:$O$66,4,0))</f>
        <v/>
      </c>
      <c r="AZ120" s="318">
        <f ca="1">IF(TYPE(VLOOKUP($A120,'3.kolo'!$L$3:$L$66,1,0))&gt;3,IF(TYPE(VLOOKUP($A120,'3.kolo'!$O$3:$Q$66,2,0))&gt;3,0,VLOOKUP($A120,'3.kolo'!$O$3:$Q$66,2,0)),VLOOKUP($A120,'3.kolo'!$L$3:$N$66,2,0))</f>
        <v>0</v>
      </c>
      <c r="BA120" s="318">
        <f ca="1">IF(TYPE(VLOOKUP($A120,'3.kolo'!$L$3:$L$66,1,0))&gt;3,IF(TYPE(VLOOKUP($A120,'3.kolo'!$O$3:$Q$66,3,0))&gt;3,0,VLOOKUP($A120,'3.kolo'!$O$3:$Q$66,3,0)),VLOOKUP($A120,'3.kolo'!$L$3:$N$66,3,0))</f>
        <v>0</v>
      </c>
      <c r="BB120" s="318">
        <f t="shared" ca="1" si="55"/>
        <v>0</v>
      </c>
      <c r="BC120" s="397" t="s">
        <v>1869</v>
      </c>
      <c r="BD120" s="424" t="str">
        <f ca="1">IF(BC120="","",CONCATENATE(TEXT($O120,"0"),IF(Start.listina!$Y$5="","",TEXT(500+$P120,"000")),TEXT(999999*RAND(),"000000")))</f>
        <v/>
      </c>
      <c r="BE120" s="318">
        <f t="shared" ca="1" si="64"/>
        <v>0</v>
      </c>
      <c r="BH120" s="318" t="str">
        <f ca="1">IF(TYPE(VLOOKUP($A120,'4.kolo'!$L$3:$L$66,1,0))&gt;3,IF(TYPE(VLOOKUP($A120,'4.kolo'!$K$3:$L$66,2,0))&gt;3,0,VLOOKUP($A120,'4.kolo'!$K$3:$L$66,2,0)),VLOOKUP($A120,'4.kolo'!$L$3:$O$66,4,0))</f>
        <v/>
      </c>
      <c r="BI120" s="318">
        <f ca="1">IF(TYPE(VLOOKUP($A120,'4.kolo'!$L$3:$L$66,1,0))&gt;3,IF(TYPE(VLOOKUP($A120,'4.kolo'!$O$3:$Q$66,2,0))&gt;3,0,VLOOKUP($A120,'4.kolo'!$O$3:$Q$66,2,0)),VLOOKUP($A120,'4.kolo'!$L$3:$N$66,2,0))</f>
        <v>0</v>
      </c>
      <c r="BJ120" s="318">
        <f ca="1">IF(TYPE(VLOOKUP($A120,'4.kolo'!$L$3:$L$66,1,0))&gt;3,IF(TYPE(VLOOKUP($A120,'4.kolo'!$O$3:$Q$66,3,0))&gt;3,0,VLOOKUP($A120,'4.kolo'!$O$3:$Q$66,3,0)),VLOOKUP($A120,'4.kolo'!$L$3:$N$66,3,0))</f>
        <v>0</v>
      </c>
      <c r="BK120" s="318">
        <f t="shared" ca="1" si="56"/>
        <v>0</v>
      </c>
      <c r="BL120" s="397" t="s">
        <v>1869</v>
      </c>
      <c r="BM120" s="424" t="str">
        <f ca="1">IF(BL120="","",CONCATENATE(TEXT($O120,"0"),IF(Start.listina!$Y$5="","",TEXT(500+$P120,"000")),TEXT(999999*RAND(),"000000")))</f>
        <v/>
      </c>
      <c r="BN120" s="318">
        <f t="shared" ca="1" si="65"/>
        <v>0</v>
      </c>
      <c r="BQ120" s="318" t="str">
        <f ca="1">IF(TYPE(VLOOKUP($A120,'5.kolo'!$L$3:$L$66,1,0))&gt;3,IF(TYPE(VLOOKUP($A120,'5.kolo'!$K$3:$L$66,2,0))&gt;3,0,VLOOKUP($A120,'5.kolo'!$K$3:$L$66,2,0)),VLOOKUP($A120,'5.kolo'!$L$3:$O$66,4,0))</f>
        <v/>
      </c>
      <c r="BR120" s="318">
        <f ca="1">IF(TYPE(VLOOKUP($A120,'5.kolo'!$L$3:$L$66,1,0))&gt;3,IF(TYPE(VLOOKUP($A120,'5.kolo'!$O$3:$Q$66,2,0))&gt;3,0,VLOOKUP($A120,'5.kolo'!$O$3:$Q$66,2,0)),VLOOKUP($A120,'5.kolo'!$L$3:$N$66,2,0))</f>
        <v>0</v>
      </c>
      <c r="BS120" s="318">
        <f ca="1">IF(TYPE(VLOOKUP($A120,'5.kolo'!$L$3:$L$66,1,0))&gt;3,IF(TYPE(VLOOKUP($A120,'5.kolo'!$O$3:$Q$66,3,0))&gt;3,0,VLOOKUP($A120,'5.kolo'!$O$3:$Q$66,3,0)),VLOOKUP($A120,'5.kolo'!$L$3:$N$66,3,0))</f>
        <v>0</v>
      </c>
      <c r="BT120" s="318">
        <f t="shared" ca="1" si="57"/>
        <v>0</v>
      </c>
      <c r="BU120" s="397"/>
      <c r="BV120" s="424" t="str">
        <f ca="1">IF(BU120="","",CONCATENATE(TEXT($O120,"0"),IF(Start.listina!$Y$5="","",TEXT(500+$P120,"000")),TEXT(999999*RAND(),"000000")))</f>
        <v/>
      </c>
      <c r="BW120" s="318">
        <f t="shared" ca="1" si="66"/>
        <v>0</v>
      </c>
      <c r="BZ120" s="318" t="str">
        <f ca="1">IF(TYPE(VLOOKUP($A120,'6.kolo'!$L$3:$L$66,1,0))&gt;3,IF(TYPE(VLOOKUP($A120,'6.kolo'!$K$3:$L$66,2,0))&gt;3,0,VLOOKUP($A120,'6.kolo'!$K$3:$L$66,2,0)),VLOOKUP($A120,'6.kolo'!$L$3:$O$66,4,0))</f>
        <v/>
      </c>
      <c r="CA120" s="318">
        <f ca="1">IF(TYPE(VLOOKUP($A120,'6.kolo'!$L$3:$L$66,1,0))&gt;3,IF(TYPE(VLOOKUP($A120,'6.kolo'!$O$3:$Q$66,2,0))&gt;3,0,VLOOKUP($A120,'6.kolo'!$O$3:$Q$66,2,0)),VLOOKUP($A120,'6.kolo'!$L$3:$N$66,2,0))</f>
        <v>0</v>
      </c>
      <c r="CB120" s="318">
        <f ca="1">IF(TYPE(VLOOKUP($A120,'6.kolo'!$L$3:$L$66,1,0))&gt;3,IF(TYPE(VLOOKUP($A120,'6.kolo'!$O$3:$Q$66,3,0))&gt;3,0,VLOOKUP($A120,'6.kolo'!$O$3:$Q$66,3,0)),VLOOKUP($A120,'6.kolo'!$L$3:$N$66,3,0))</f>
        <v>0</v>
      </c>
      <c r="CC120" s="318">
        <f t="shared" ca="1" si="58"/>
        <v>0</v>
      </c>
      <c r="CD120" s="397"/>
      <c r="CE120" s="424" t="str">
        <f ca="1">IF(CD120="","",CONCATENATE(TEXT($O120,"0"),IF(Start.listina!$Y$5="","",TEXT(500+$P120,"000")),TEXT(999999*RAND(),"000000")))</f>
        <v/>
      </c>
      <c r="CF120" s="318">
        <f t="shared" ca="1" si="67"/>
        <v>0</v>
      </c>
    </row>
    <row r="121" spans="1:84" x14ac:dyDescent="0.4">
      <c r="A121" s="318" t="str">
        <f ca="1">IF(OR(Start.listina!H129&gt;Start.listina!$K$7,Start.listina!G129=TRUE),"",Start.listina!H129)</f>
        <v/>
      </c>
      <c r="B121" s="318" t="str">
        <f ca="1">IF($A121&gt;Start.listina!$K$7,"",INT(($A121-1)/Start.listina!$O$7)+1)</f>
        <v/>
      </c>
      <c r="C121" s="421" t="str">
        <f ca="1">IF(OR(Start.listina!H129&gt;Start.listina!$K$7,Start.listina!G129=TRUE)," - ",Start.listina!AL129)</f>
        <v xml:space="preserve"> - </v>
      </c>
      <c r="D121" s="318" t="str">
        <f ca="1">IF(OR(A121&gt;Start.listina!$K$7,TYPE(VLOOKUP(A121,$V$3:$X$130,3,0))&gt;3),"",VLOOKUP(A121,$V$3:$X$130,3,0))</f>
        <v/>
      </c>
      <c r="E121" s="422" t="str">
        <f ca="1">IF(A121&gt;Start.listina!$K$7,"",IF(MIN(F121:K121)&gt;Start.listina!$Y$4,D121,MIN(F121:K121)))</f>
        <v/>
      </c>
      <c r="F121" s="318">
        <f ca="1">IF(TYPE(VLOOKUP(C121,Konečné_pořadí_1_16!$B$2:$D$17,3,0))&lt;4,VLOOKUP(C121,Konečné_pořadí_1_16!$B$2:$D$17,3,0),999)</f>
        <v>999</v>
      </c>
      <c r="G121" s="318">
        <f ca="1">IF(TYPE(VLOOKUP(C121,'KO64'!$D$4:$D$129,1,0))&lt;4,64,999)</f>
        <v>64</v>
      </c>
      <c r="H121" s="318">
        <f ca="1">IF(TYPE(VLOOKUP(C121,'KO32'!$D$4:$D$65,1,0))&lt;4,32,999)</f>
        <v>32</v>
      </c>
      <c r="I121" s="318">
        <f ca="1">IF(TYPE(VLOOKUP(C121,'KO16'!$D$4:$D$33,1,0))&lt;4,16,999)</f>
        <v>999</v>
      </c>
      <c r="J121" s="318">
        <f ca="1">IF(TYPE(VLOOKUP(C121,'KO8'!$D$4:$D$17,1,0))&lt;4,8,999)</f>
        <v>999</v>
      </c>
      <c r="K121" s="318">
        <f ca="1">IF(TYPE(VLOOKUP(C121,'KO4'!$D$4:$D$9,1,0))&lt;4,4,999)</f>
        <v>999</v>
      </c>
      <c r="M121" s="319">
        <v>119</v>
      </c>
      <c r="O121" s="318">
        <f t="shared" ca="1" si="42"/>
        <v>0</v>
      </c>
      <c r="P121" s="318">
        <f t="shared" ca="1" si="43"/>
        <v>0</v>
      </c>
      <c r="Q121" s="318">
        <f t="shared" ca="1" si="60"/>
        <v>2</v>
      </c>
      <c r="R121" s="318">
        <f t="shared" ca="1" si="61"/>
        <v>0</v>
      </c>
      <c r="S121" s="318">
        <f t="shared" ca="1" si="44"/>
        <v>18</v>
      </c>
      <c r="T121" s="318">
        <f t="shared" ca="1" si="45"/>
        <v>0</v>
      </c>
      <c r="U121" s="397">
        <f t="shared" si="59"/>
        <v>119</v>
      </c>
      <c r="V121" s="397" t="s">
        <v>1869</v>
      </c>
      <c r="W121" s="423" t="str">
        <f ca="1">IF($V121="","",CONCATENATE(TEXT($O121,"0"),IF(Start.listina!$Y$5="","",TEXT(500+$P121,"0000")),IF(Start.listina!$Y$6="","",CHOOSE(Start.listina!$Y$7,TEXT($Q121,"00"),CONCATENATE(TEXT($Q121,"00"),TEXT($S121,"000")), TEXT($R121,"00"))),TEXT(500+$P121,"0000"),IF(Start.listina!$Y$8="","",TEXT($T121,"0")),TEXT(999999*RAND(),"000000")))</f>
        <v/>
      </c>
      <c r="X121" s="399">
        <f t="shared" si="46"/>
        <v>119</v>
      </c>
      <c r="Y121" s="397">
        <f t="shared" ca="1" si="62"/>
        <v>0</v>
      </c>
      <c r="Z121" s="318">
        <f t="shared" ca="1" si="47"/>
        <v>57</v>
      </c>
      <c r="AA121" s="318" t="str">
        <f t="shared" ca="1" si="48"/>
        <v/>
      </c>
      <c r="AB121" s="318" t="str">
        <f t="shared" ca="1" si="49"/>
        <v/>
      </c>
      <c r="AC121" s="318" t="str">
        <f t="shared" ca="1" si="50"/>
        <v/>
      </c>
      <c r="AD121" s="318" t="str">
        <f t="shared" ca="1" si="51"/>
        <v/>
      </c>
      <c r="AE121" s="318" t="str">
        <f t="shared" ca="1" si="52"/>
        <v/>
      </c>
      <c r="AG121" s="318">
        <f ca="1">IF(TYPE(VLOOKUP($A121,'1.kolo'!$L$3:$L$66,1,0))&gt;3,VLOOKUP($A121,'1.kolo'!$K$3:$L$66,2,0),VLOOKUP($A121,'1.kolo'!$L$3:$O$66,4,0))</f>
        <v>57</v>
      </c>
      <c r="AH121" s="318">
        <f ca="1">IF(TYPE(VLOOKUP($A121,'1.kolo'!$L$3:$L$66,1,0))&gt;3,VLOOKUP($A121,'1.kolo'!$O$3:$Q$66,2,0),VLOOKUP($A121,'1.kolo'!$L$3:$N$66,2,0))</f>
        <v>0</v>
      </c>
      <c r="AI121" s="318">
        <f ca="1">IF(TYPE(VLOOKUP($A121,'1.kolo'!$L$3:$L$66,1,0))&gt;3,VLOOKUP($A121,'1.kolo'!$O$3:$Q$66,3,0),VLOOKUP($A121,'1.kolo'!$L$3:$N$66,3,0))</f>
        <v>0</v>
      </c>
      <c r="AJ121" s="318">
        <f t="shared" ca="1" si="53"/>
        <v>0</v>
      </c>
      <c r="AK121" s="318">
        <v>119</v>
      </c>
      <c r="AL121" s="424"/>
      <c r="AP121" s="318" t="str">
        <f ca="1">IF(TYPE(VLOOKUP($A121,'2.kolo'!$L$3:$L$66,1,0))&gt;3,IF(TYPE(VLOOKUP($A121,'2.kolo'!$K$3:$L$66,2,0))&gt;3,0,VLOOKUP($A121,'2.kolo'!$K$3:$L$66,2,0)),VLOOKUP($A121,'2.kolo'!$L$3:$O$66,4,0))</f>
        <v/>
      </c>
      <c r="AQ121" s="318">
        <f ca="1">IF(TYPE(VLOOKUP($A121,'2.kolo'!$L$3:$L$66,1,0))&gt;3,IF(TYPE(VLOOKUP($A121,'2.kolo'!$O$3:$Q$66,2,0))&gt;3,0,VLOOKUP($A121,'2.kolo'!$O$3:$Q$66,2,0)),VLOOKUP($A121,'2.kolo'!$L$3:$N$66,2,0))</f>
        <v>0</v>
      </c>
      <c r="AR121" s="318">
        <f ca="1">IF(TYPE(VLOOKUP($A121,'2.kolo'!$L$3:$L$66,1,0))&gt;3,IF(TYPE(VLOOKUP($A121,'2.kolo'!$O$3:$Q$66,3,0))&gt;3,0,VLOOKUP($A121,'2.kolo'!$O$3:$Q$66,3,0)),VLOOKUP($A121,'2.kolo'!$L$3:$N$66,3,0))</f>
        <v>0</v>
      </c>
      <c r="AS121" s="318">
        <f t="shared" ca="1" si="54"/>
        <v>0</v>
      </c>
      <c r="AT121" s="397" t="s">
        <v>1869</v>
      </c>
      <c r="AU121" s="424" t="str">
        <f ca="1">IF(AT121="","",CONCATENATE(TEXT($O121,"0"),IF(Start.listina!$Y$5="","",TEXT(500+$P121,"000")),TEXT(999999*RAND(),"000000")))</f>
        <v/>
      </c>
      <c r="AV121" s="318">
        <f t="shared" ca="1" si="63"/>
        <v>0</v>
      </c>
      <c r="AY121" s="318" t="str">
        <f ca="1">IF(TYPE(VLOOKUP($A121,'3.kolo'!$L$3:$L$66,1,0))&gt;3,IF(TYPE(VLOOKUP($A121,'3.kolo'!$K$3:$L$66,2,0))&gt;3,0,VLOOKUP($A121,'3.kolo'!$K$3:$L$66,2,0)),VLOOKUP($A121,'3.kolo'!$L$3:$O$66,4,0))</f>
        <v/>
      </c>
      <c r="AZ121" s="318">
        <f ca="1">IF(TYPE(VLOOKUP($A121,'3.kolo'!$L$3:$L$66,1,0))&gt;3,IF(TYPE(VLOOKUP($A121,'3.kolo'!$O$3:$Q$66,2,0))&gt;3,0,VLOOKUP($A121,'3.kolo'!$O$3:$Q$66,2,0)),VLOOKUP($A121,'3.kolo'!$L$3:$N$66,2,0))</f>
        <v>0</v>
      </c>
      <c r="BA121" s="318">
        <f ca="1">IF(TYPE(VLOOKUP($A121,'3.kolo'!$L$3:$L$66,1,0))&gt;3,IF(TYPE(VLOOKUP($A121,'3.kolo'!$O$3:$Q$66,3,0))&gt;3,0,VLOOKUP($A121,'3.kolo'!$O$3:$Q$66,3,0)),VLOOKUP($A121,'3.kolo'!$L$3:$N$66,3,0))</f>
        <v>0</v>
      </c>
      <c r="BB121" s="318">
        <f t="shared" ca="1" si="55"/>
        <v>0</v>
      </c>
      <c r="BC121" s="397" t="s">
        <v>1869</v>
      </c>
      <c r="BD121" s="424" t="str">
        <f ca="1">IF(BC121="","",CONCATENATE(TEXT($O121,"0"),IF(Start.listina!$Y$5="","",TEXT(500+$P121,"000")),TEXT(999999*RAND(),"000000")))</f>
        <v/>
      </c>
      <c r="BE121" s="318">
        <f t="shared" ca="1" si="64"/>
        <v>0</v>
      </c>
      <c r="BH121" s="318" t="str">
        <f ca="1">IF(TYPE(VLOOKUP($A121,'4.kolo'!$L$3:$L$66,1,0))&gt;3,IF(TYPE(VLOOKUP($A121,'4.kolo'!$K$3:$L$66,2,0))&gt;3,0,VLOOKUP($A121,'4.kolo'!$K$3:$L$66,2,0)),VLOOKUP($A121,'4.kolo'!$L$3:$O$66,4,0))</f>
        <v/>
      </c>
      <c r="BI121" s="318">
        <f ca="1">IF(TYPE(VLOOKUP($A121,'4.kolo'!$L$3:$L$66,1,0))&gt;3,IF(TYPE(VLOOKUP($A121,'4.kolo'!$O$3:$Q$66,2,0))&gt;3,0,VLOOKUP($A121,'4.kolo'!$O$3:$Q$66,2,0)),VLOOKUP($A121,'4.kolo'!$L$3:$N$66,2,0))</f>
        <v>0</v>
      </c>
      <c r="BJ121" s="318">
        <f ca="1">IF(TYPE(VLOOKUP($A121,'4.kolo'!$L$3:$L$66,1,0))&gt;3,IF(TYPE(VLOOKUP($A121,'4.kolo'!$O$3:$Q$66,3,0))&gt;3,0,VLOOKUP($A121,'4.kolo'!$O$3:$Q$66,3,0)),VLOOKUP($A121,'4.kolo'!$L$3:$N$66,3,0))</f>
        <v>0</v>
      </c>
      <c r="BK121" s="318">
        <f t="shared" ca="1" si="56"/>
        <v>0</v>
      </c>
      <c r="BL121" s="397" t="s">
        <v>1869</v>
      </c>
      <c r="BM121" s="424" t="str">
        <f ca="1">IF(BL121="","",CONCATENATE(TEXT($O121,"0"),IF(Start.listina!$Y$5="","",TEXT(500+$P121,"000")),TEXT(999999*RAND(),"000000")))</f>
        <v/>
      </c>
      <c r="BN121" s="318">
        <f t="shared" ca="1" si="65"/>
        <v>0</v>
      </c>
      <c r="BQ121" s="318" t="str">
        <f ca="1">IF(TYPE(VLOOKUP($A121,'5.kolo'!$L$3:$L$66,1,0))&gt;3,IF(TYPE(VLOOKUP($A121,'5.kolo'!$K$3:$L$66,2,0))&gt;3,0,VLOOKUP($A121,'5.kolo'!$K$3:$L$66,2,0)),VLOOKUP($A121,'5.kolo'!$L$3:$O$66,4,0))</f>
        <v/>
      </c>
      <c r="BR121" s="318">
        <f ca="1">IF(TYPE(VLOOKUP($A121,'5.kolo'!$L$3:$L$66,1,0))&gt;3,IF(TYPE(VLOOKUP($A121,'5.kolo'!$O$3:$Q$66,2,0))&gt;3,0,VLOOKUP($A121,'5.kolo'!$O$3:$Q$66,2,0)),VLOOKUP($A121,'5.kolo'!$L$3:$N$66,2,0))</f>
        <v>0</v>
      </c>
      <c r="BS121" s="318">
        <f ca="1">IF(TYPE(VLOOKUP($A121,'5.kolo'!$L$3:$L$66,1,0))&gt;3,IF(TYPE(VLOOKUP($A121,'5.kolo'!$O$3:$Q$66,3,0))&gt;3,0,VLOOKUP($A121,'5.kolo'!$O$3:$Q$66,3,0)),VLOOKUP($A121,'5.kolo'!$L$3:$N$66,3,0))</f>
        <v>0</v>
      </c>
      <c r="BT121" s="318">
        <f t="shared" ca="1" si="57"/>
        <v>0</v>
      </c>
      <c r="BU121" s="397"/>
      <c r="BV121" s="424" t="str">
        <f ca="1">IF(BU121="","",CONCATENATE(TEXT($O121,"0"),IF(Start.listina!$Y$5="","",TEXT(500+$P121,"000")),TEXT(999999*RAND(),"000000")))</f>
        <v/>
      </c>
      <c r="BW121" s="318">
        <f t="shared" ca="1" si="66"/>
        <v>0</v>
      </c>
      <c r="BZ121" s="318" t="str">
        <f ca="1">IF(TYPE(VLOOKUP($A121,'6.kolo'!$L$3:$L$66,1,0))&gt;3,IF(TYPE(VLOOKUP($A121,'6.kolo'!$K$3:$L$66,2,0))&gt;3,0,VLOOKUP($A121,'6.kolo'!$K$3:$L$66,2,0)),VLOOKUP($A121,'6.kolo'!$L$3:$O$66,4,0))</f>
        <v/>
      </c>
      <c r="CA121" s="318">
        <f ca="1">IF(TYPE(VLOOKUP($A121,'6.kolo'!$L$3:$L$66,1,0))&gt;3,IF(TYPE(VLOOKUP($A121,'6.kolo'!$O$3:$Q$66,2,0))&gt;3,0,VLOOKUP($A121,'6.kolo'!$O$3:$Q$66,2,0)),VLOOKUP($A121,'6.kolo'!$L$3:$N$66,2,0))</f>
        <v>0</v>
      </c>
      <c r="CB121" s="318">
        <f ca="1">IF(TYPE(VLOOKUP($A121,'6.kolo'!$L$3:$L$66,1,0))&gt;3,IF(TYPE(VLOOKUP($A121,'6.kolo'!$O$3:$Q$66,3,0))&gt;3,0,VLOOKUP($A121,'6.kolo'!$O$3:$Q$66,3,0)),VLOOKUP($A121,'6.kolo'!$L$3:$N$66,3,0))</f>
        <v>0</v>
      </c>
      <c r="CC121" s="318">
        <f t="shared" ca="1" si="58"/>
        <v>0</v>
      </c>
      <c r="CD121" s="397"/>
      <c r="CE121" s="424" t="str">
        <f ca="1">IF(CD121="","",CONCATENATE(TEXT($O121,"0"),IF(Start.listina!$Y$5="","",TEXT(500+$P121,"000")),TEXT(999999*RAND(),"000000")))</f>
        <v/>
      </c>
      <c r="CF121" s="318">
        <f t="shared" ca="1" si="67"/>
        <v>0</v>
      </c>
    </row>
    <row r="122" spans="1:84" x14ac:dyDescent="0.4">
      <c r="A122" s="318" t="str">
        <f ca="1">IF(OR(Start.listina!H130&gt;Start.listina!$K$7,Start.listina!G130=TRUE),"",Start.listina!H130)</f>
        <v/>
      </c>
      <c r="B122" s="318" t="str">
        <f ca="1">IF($A122&gt;Start.listina!$K$7,"",INT(($A122-1)/Start.listina!$O$7)+1)</f>
        <v/>
      </c>
      <c r="C122" s="421" t="str">
        <f ca="1">IF(OR(Start.listina!H130&gt;Start.listina!$K$7,Start.listina!G130=TRUE)," - ",Start.listina!AL130)</f>
        <v xml:space="preserve"> - </v>
      </c>
      <c r="D122" s="318" t="str">
        <f ca="1">IF(OR(A122&gt;Start.listina!$K$7,TYPE(VLOOKUP(A122,$V$3:$X$130,3,0))&gt;3),"",VLOOKUP(A122,$V$3:$X$130,3,0))</f>
        <v/>
      </c>
      <c r="E122" s="422" t="str">
        <f ca="1">IF(A122&gt;Start.listina!$K$7,"",IF(MIN(F122:K122)&gt;Start.listina!$Y$4,D122,MIN(F122:K122)))</f>
        <v/>
      </c>
      <c r="F122" s="318">
        <f ca="1">IF(TYPE(VLOOKUP(C122,Konečné_pořadí_1_16!$B$2:$D$17,3,0))&lt;4,VLOOKUP(C122,Konečné_pořadí_1_16!$B$2:$D$17,3,0),999)</f>
        <v>999</v>
      </c>
      <c r="G122" s="318">
        <f ca="1">IF(TYPE(VLOOKUP(C122,'KO64'!$D$4:$D$129,1,0))&lt;4,64,999)</f>
        <v>64</v>
      </c>
      <c r="H122" s="318">
        <f ca="1">IF(TYPE(VLOOKUP(C122,'KO32'!$D$4:$D$65,1,0))&lt;4,32,999)</f>
        <v>32</v>
      </c>
      <c r="I122" s="318">
        <f ca="1">IF(TYPE(VLOOKUP(C122,'KO16'!$D$4:$D$33,1,0))&lt;4,16,999)</f>
        <v>999</v>
      </c>
      <c r="J122" s="318">
        <f ca="1">IF(TYPE(VLOOKUP(C122,'KO8'!$D$4:$D$17,1,0))&lt;4,8,999)</f>
        <v>999</v>
      </c>
      <c r="K122" s="318">
        <f ca="1">IF(TYPE(VLOOKUP(C122,'KO4'!$D$4:$D$9,1,0))&lt;4,4,999)</f>
        <v>999</v>
      </c>
      <c r="M122" s="319">
        <v>120</v>
      </c>
      <c r="O122" s="318">
        <f t="shared" ca="1" si="42"/>
        <v>0</v>
      </c>
      <c r="P122" s="318">
        <f t="shared" ca="1" si="43"/>
        <v>0</v>
      </c>
      <c r="Q122" s="318">
        <f t="shared" ca="1" si="60"/>
        <v>2</v>
      </c>
      <c r="R122" s="318">
        <f t="shared" ca="1" si="61"/>
        <v>0</v>
      </c>
      <c r="S122" s="318">
        <f t="shared" ca="1" si="44"/>
        <v>18</v>
      </c>
      <c r="T122" s="318">
        <f t="shared" ca="1" si="45"/>
        <v>0</v>
      </c>
      <c r="U122" s="397">
        <f t="shared" si="59"/>
        <v>120</v>
      </c>
      <c r="V122" s="397" t="s">
        <v>1869</v>
      </c>
      <c r="W122" s="423" t="str">
        <f ca="1">IF($V122="","",CONCATENATE(TEXT($O122,"0"),IF(Start.listina!$Y$5="","",TEXT(500+$P122,"0000")),IF(Start.listina!$Y$6="","",CHOOSE(Start.listina!$Y$7,TEXT($Q122,"00"),CONCATENATE(TEXT($Q122,"00"),TEXT($S122,"000")), TEXT($R122,"00"))),TEXT(500+$P122,"0000"),IF(Start.listina!$Y$8="","",TEXT($T122,"0")),TEXT(999999*RAND(),"000000")))</f>
        <v/>
      </c>
      <c r="X122" s="399">
        <f t="shared" si="46"/>
        <v>120</v>
      </c>
      <c r="Y122" s="397">
        <f t="shared" ca="1" si="62"/>
        <v>0</v>
      </c>
      <c r="Z122" s="318">
        <f t="shared" ca="1" si="47"/>
        <v>57</v>
      </c>
      <c r="AA122" s="318" t="str">
        <f t="shared" ca="1" si="48"/>
        <v/>
      </c>
      <c r="AB122" s="318" t="str">
        <f t="shared" ca="1" si="49"/>
        <v/>
      </c>
      <c r="AC122" s="318" t="str">
        <f t="shared" ca="1" si="50"/>
        <v/>
      </c>
      <c r="AD122" s="318" t="str">
        <f t="shared" ca="1" si="51"/>
        <v/>
      </c>
      <c r="AE122" s="318" t="str">
        <f t="shared" ca="1" si="52"/>
        <v/>
      </c>
      <c r="AG122" s="318">
        <f ca="1">IF(TYPE(VLOOKUP($A122,'1.kolo'!$L$3:$L$66,1,0))&gt;3,VLOOKUP($A122,'1.kolo'!$K$3:$L$66,2,0),VLOOKUP($A122,'1.kolo'!$L$3:$O$66,4,0))</f>
        <v>57</v>
      </c>
      <c r="AH122" s="318">
        <f ca="1">IF(TYPE(VLOOKUP($A122,'1.kolo'!$L$3:$L$66,1,0))&gt;3,VLOOKUP($A122,'1.kolo'!$O$3:$Q$66,2,0),VLOOKUP($A122,'1.kolo'!$L$3:$N$66,2,0))</f>
        <v>0</v>
      </c>
      <c r="AI122" s="318">
        <f ca="1">IF(TYPE(VLOOKUP($A122,'1.kolo'!$L$3:$L$66,1,0))&gt;3,VLOOKUP($A122,'1.kolo'!$O$3:$Q$66,3,0),VLOOKUP($A122,'1.kolo'!$L$3:$N$66,3,0))</f>
        <v>0</v>
      </c>
      <c r="AJ122" s="318">
        <f t="shared" ca="1" si="53"/>
        <v>0</v>
      </c>
      <c r="AK122" s="318">
        <v>120</v>
      </c>
      <c r="AL122" s="424"/>
      <c r="AP122" s="318" t="str">
        <f ca="1">IF(TYPE(VLOOKUP($A122,'2.kolo'!$L$3:$L$66,1,0))&gt;3,IF(TYPE(VLOOKUP($A122,'2.kolo'!$K$3:$L$66,2,0))&gt;3,0,VLOOKUP($A122,'2.kolo'!$K$3:$L$66,2,0)),VLOOKUP($A122,'2.kolo'!$L$3:$O$66,4,0))</f>
        <v/>
      </c>
      <c r="AQ122" s="318">
        <f ca="1">IF(TYPE(VLOOKUP($A122,'2.kolo'!$L$3:$L$66,1,0))&gt;3,IF(TYPE(VLOOKUP($A122,'2.kolo'!$O$3:$Q$66,2,0))&gt;3,0,VLOOKUP($A122,'2.kolo'!$O$3:$Q$66,2,0)),VLOOKUP($A122,'2.kolo'!$L$3:$N$66,2,0))</f>
        <v>0</v>
      </c>
      <c r="AR122" s="318">
        <f ca="1">IF(TYPE(VLOOKUP($A122,'2.kolo'!$L$3:$L$66,1,0))&gt;3,IF(TYPE(VLOOKUP($A122,'2.kolo'!$O$3:$Q$66,3,0))&gt;3,0,VLOOKUP($A122,'2.kolo'!$O$3:$Q$66,3,0)),VLOOKUP($A122,'2.kolo'!$L$3:$N$66,3,0))</f>
        <v>0</v>
      </c>
      <c r="AS122" s="318">
        <f t="shared" ca="1" si="54"/>
        <v>0</v>
      </c>
      <c r="AT122" s="397" t="s">
        <v>1869</v>
      </c>
      <c r="AU122" s="424" t="str">
        <f ca="1">IF(AT122="","",CONCATENATE(TEXT($O122,"0"),IF(Start.listina!$Y$5="","",TEXT(500+$P122,"000")),TEXT(999999*RAND(),"000000")))</f>
        <v/>
      </c>
      <c r="AV122" s="318">
        <f t="shared" ca="1" si="63"/>
        <v>0</v>
      </c>
      <c r="AY122" s="318" t="str">
        <f ca="1">IF(TYPE(VLOOKUP($A122,'3.kolo'!$L$3:$L$66,1,0))&gt;3,IF(TYPE(VLOOKUP($A122,'3.kolo'!$K$3:$L$66,2,0))&gt;3,0,VLOOKUP($A122,'3.kolo'!$K$3:$L$66,2,0)),VLOOKUP($A122,'3.kolo'!$L$3:$O$66,4,0))</f>
        <v/>
      </c>
      <c r="AZ122" s="318">
        <f ca="1">IF(TYPE(VLOOKUP($A122,'3.kolo'!$L$3:$L$66,1,0))&gt;3,IF(TYPE(VLOOKUP($A122,'3.kolo'!$O$3:$Q$66,2,0))&gt;3,0,VLOOKUP($A122,'3.kolo'!$O$3:$Q$66,2,0)),VLOOKUP($A122,'3.kolo'!$L$3:$N$66,2,0))</f>
        <v>0</v>
      </c>
      <c r="BA122" s="318">
        <f ca="1">IF(TYPE(VLOOKUP($A122,'3.kolo'!$L$3:$L$66,1,0))&gt;3,IF(TYPE(VLOOKUP($A122,'3.kolo'!$O$3:$Q$66,3,0))&gt;3,0,VLOOKUP($A122,'3.kolo'!$O$3:$Q$66,3,0)),VLOOKUP($A122,'3.kolo'!$L$3:$N$66,3,0))</f>
        <v>0</v>
      </c>
      <c r="BB122" s="318">
        <f t="shared" ca="1" si="55"/>
        <v>0</v>
      </c>
      <c r="BC122" s="397" t="s">
        <v>1869</v>
      </c>
      <c r="BD122" s="424" t="str">
        <f ca="1">IF(BC122="","",CONCATENATE(TEXT($O122,"0"),IF(Start.listina!$Y$5="","",TEXT(500+$P122,"000")),TEXT(999999*RAND(),"000000")))</f>
        <v/>
      </c>
      <c r="BE122" s="318">
        <f t="shared" ca="1" si="64"/>
        <v>0</v>
      </c>
      <c r="BH122" s="318" t="str">
        <f ca="1">IF(TYPE(VLOOKUP($A122,'4.kolo'!$L$3:$L$66,1,0))&gt;3,IF(TYPE(VLOOKUP($A122,'4.kolo'!$K$3:$L$66,2,0))&gt;3,0,VLOOKUP($A122,'4.kolo'!$K$3:$L$66,2,0)),VLOOKUP($A122,'4.kolo'!$L$3:$O$66,4,0))</f>
        <v/>
      </c>
      <c r="BI122" s="318">
        <f ca="1">IF(TYPE(VLOOKUP($A122,'4.kolo'!$L$3:$L$66,1,0))&gt;3,IF(TYPE(VLOOKUP($A122,'4.kolo'!$O$3:$Q$66,2,0))&gt;3,0,VLOOKUP($A122,'4.kolo'!$O$3:$Q$66,2,0)),VLOOKUP($A122,'4.kolo'!$L$3:$N$66,2,0))</f>
        <v>0</v>
      </c>
      <c r="BJ122" s="318">
        <f ca="1">IF(TYPE(VLOOKUP($A122,'4.kolo'!$L$3:$L$66,1,0))&gt;3,IF(TYPE(VLOOKUP($A122,'4.kolo'!$O$3:$Q$66,3,0))&gt;3,0,VLOOKUP($A122,'4.kolo'!$O$3:$Q$66,3,0)),VLOOKUP($A122,'4.kolo'!$L$3:$N$66,3,0))</f>
        <v>0</v>
      </c>
      <c r="BK122" s="318">
        <f t="shared" ca="1" si="56"/>
        <v>0</v>
      </c>
      <c r="BL122" s="397" t="s">
        <v>1869</v>
      </c>
      <c r="BM122" s="424" t="str">
        <f ca="1">IF(BL122="","",CONCATENATE(TEXT($O122,"0"),IF(Start.listina!$Y$5="","",TEXT(500+$P122,"000")),TEXT(999999*RAND(),"000000")))</f>
        <v/>
      </c>
      <c r="BN122" s="318">
        <f t="shared" ca="1" si="65"/>
        <v>0</v>
      </c>
      <c r="BQ122" s="318" t="str">
        <f ca="1">IF(TYPE(VLOOKUP($A122,'5.kolo'!$L$3:$L$66,1,0))&gt;3,IF(TYPE(VLOOKUP($A122,'5.kolo'!$K$3:$L$66,2,0))&gt;3,0,VLOOKUP($A122,'5.kolo'!$K$3:$L$66,2,0)),VLOOKUP($A122,'5.kolo'!$L$3:$O$66,4,0))</f>
        <v/>
      </c>
      <c r="BR122" s="318">
        <f ca="1">IF(TYPE(VLOOKUP($A122,'5.kolo'!$L$3:$L$66,1,0))&gt;3,IF(TYPE(VLOOKUP($A122,'5.kolo'!$O$3:$Q$66,2,0))&gt;3,0,VLOOKUP($A122,'5.kolo'!$O$3:$Q$66,2,0)),VLOOKUP($A122,'5.kolo'!$L$3:$N$66,2,0))</f>
        <v>0</v>
      </c>
      <c r="BS122" s="318">
        <f ca="1">IF(TYPE(VLOOKUP($A122,'5.kolo'!$L$3:$L$66,1,0))&gt;3,IF(TYPE(VLOOKUP($A122,'5.kolo'!$O$3:$Q$66,3,0))&gt;3,0,VLOOKUP($A122,'5.kolo'!$O$3:$Q$66,3,0)),VLOOKUP($A122,'5.kolo'!$L$3:$N$66,3,0))</f>
        <v>0</v>
      </c>
      <c r="BT122" s="318">
        <f t="shared" ca="1" si="57"/>
        <v>0</v>
      </c>
      <c r="BU122" s="397"/>
      <c r="BV122" s="424" t="str">
        <f ca="1">IF(BU122="","",CONCATENATE(TEXT($O122,"0"),IF(Start.listina!$Y$5="","",TEXT(500+$P122,"000")),TEXT(999999*RAND(),"000000")))</f>
        <v/>
      </c>
      <c r="BW122" s="318">
        <f t="shared" ca="1" si="66"/>
        <v>0</v>
      </c>
      <c r="BZ122" s="318" t="str">
        <f ca="1">IF(TYPE(VLOOKUP($A122,'6.kolo'!$L$3:$L$66,1,0))&gt;3,IF(TYPE(VLOOKUP($A122,'6.kolo'!$K$3:$L$66,2,0))&gt;3,0,VLOOKUP($A122,'6.kolo'!$K$3:$L$66,2,0)),VLOOKUP($A122,'6.kolo'!$L$3:$O$66,4,0))</f>
        <v/>
      </c>
      <c r="CA122" s="318">
        <f ca="1">IF(TYPE(VLOOKUP($A122,'6.kolo'!$L$3:$L$66,1,0))&gt;3,IF(TYPE(VLOOKUP($A122,'6.kolo'!$O$3:$Q$66,2,0))&gt;3,0,VLOOKUP($A122,'6.kolo'!$O$3:$Q$66,2,0)),VLOOKUP($A122,'6.kolo'!$L$3:$N$66,2,0))</f>
        <v>0</v>
      </c>
      <c r="CB122" s="318">
        <f ca="1">IF(TYPE(VLOOKUP($A122,'6.kolo'!$L$3:$L$66,1,0))&gt;3,IF(TYPE(VLOOKUP($A122,'6.kolo'!$O$3:$Q$66,3,0))&gt;3,0,VLOOKUP($A122,'6.kolo'!$O$3:$Q$66,3,0)),VLOOKUP($A122,'6.kolo'!$L$3:$N$66,3,0))</f>
        <v>0</v>
      </c>
      <c r="CC122" s="318">
        <f t="shared" ca="1" si="58"/>
        <v>0</v>
      </c>
      <c r="CD122" s="397"/>
      <c r="CE122" s="424" t="str">
        <f ca="1">IF(CD122="","",CONCATENATE(TEXT($O122,"0"),IF(Start.listina!$Y$5="","",TEXT(500+$P122,"000")),TEXT(999999*RAND(),"000000")))</f>
        <v/>
      </c>
      <c r="CF122" s="318">
        <f t="shared" ca="1" si="67"/>
        <v>0</v>
      </c>
    </row>
    <row r="123" spans="1:84" x14ac:dyDescent="0.4">
      <c r="A123" s="318" t="str">
        <f ca="1">IF(OR(Start.listina!H131&gt;Start.listina!$K$7,Start.listina!G131=TRUE),"",Start.listina!H131)</f>
        <v/>
      </c>
      <c r="B123" s="318" t="str">
        <f ca="1">IF($A123&gt;Start.listina!$K$7,"",INT(($A123-1)/Start.listina!$O$7)+1)</f>
        <v/>
      </c>
      <c r="C123" s="421" t="str">
        <f ca="1">IF(OR(Start.listina!H131&gt;Start.listina!$K$7,Start.listina!G131=TRUE)," - ",Start.listina!AL131)</f>
        <v xml:space="preserve"> - </v>
      </c>
      <c r="D123" s="318" t="str">
        <f ca="1">IF(OR(A123&gt;Start.listina!$K$7,TYPE(VLOOKUP(A123,$V$3:$X$130,3,0))&gt;3),"",VLOOKUP(A123,$V$3:$X$130,3,0))</f>
        <v/>
      </c>
      <c r="E123" s="422" t="str">
        <f ca="1">IF(A123&gt;Start.listina!$K$7,"",IF(MIN(F123:K123)&gt;Start.listina!$Y$4,D123,MIN(F123:K123)))</f>
        <v/>
      </c>
      <c r="F123" s="318">
        <f ca="1">IF(TYPE(VLOOKUP(C123,Konečné_pořadí_1_16!$B$2:$D$17,3,0))&lt;4,VLOOKUP(C123,Konečné_pořadí_1_16!$B$2:$D$17,3,0),999)</f>
        <v>999</v>
      </c>
      <c r="G123" s="318">
        <f ca="1">IF(TYPE(VLOOKUP(C123,'KO64'!$D$4:$D$129,1,0))&lt;4,64,999)</f>
        <v>64</v>
      </c>
      <c r="H123" s="318">
        <f ca="1">IF(TYPE(VLOOKUP(C123,'KO32'!$D$4:$D$65,1,0))&lt;4,32,999)</f>
        <v>32</v>
      </c>
      <c r="I123" s="318">
        <f ca="1">IF(TYPE(VLOOKUP(C123,'KO16'!$D$4:$D$33,1,0))&lt;4,16,999)</f>
        <v>999</v>
      </c>
      <c r="J123" s="318">
        <f ca="1">IF(TYPE(VLOOKUP(C123,'KO8'!$D$4:$D$17,1,0))&lt;4,8,999)</f>
        <v>999</v>
      </c>
      <c r="K123" s="318">
        <f ca="1">IF(TYPE(VLOOKUP(C123,'KO4'!$D$4:$D$9,1,0))&lt;4,4,999)</f>
        <v>999</v>
      </c>
      <c r="M123" s="319">
        <v>121</v>
      </c>
      <c r="O123" s="318">
        <f t="shared" ca="1" si="42"/>
        <v>0</v>
      </c>
      <c r="P123" s="318">
        <f t="shared" ca="1" si="43"/>
        <v>0</v>
      </c>
      <c r="Q123" s="318">
        <f t="shared" ca="1" si="60"/>
        <v>2</v>
      </c>
      <c r="R123" s="318">
        <f t="shared" ca="1" si="61"/>
        <v>0</v>
      </c>
      <c r="S123" s="318">
        <f t="shared" ca="1" si="44"/>
        <v>18</v>
      </c>
      <c r="T123" s="318">
        <f t="shared" ca="1" si="45"/>
        <v>0</v>
      </c>
      <c r="U123" s="397">
        <f t="shared" si="59"/>
        <v>121</v>
      </c>
      <c r="V123" s="397" t="s">
        <v>1869</v>
      </c>
      <c r="W123" s="423" t="str">
        <f ca="1">IF($V123="","",CONCATENATE(TEXT($O123,"0"),IF(Start.listina!$Y$5="","",TEXT(500+$P123,"0000")),IF(Start.listina!$Y$6="","",CHOOSE(Start.listina!$Y$7,TEXT($Q123,"00"),CONCATENATE(TEXT($Q123,"00"),TEXT($S123,"000")), TEXT($R123,"00"))),TEXT(500+$P123,"0000"),IF(Start.listina!$Y$8="","",TEXT($T123,"0")),TEXT(999999*RAND(),"000000")))</f>
        <v/>
      </c>
      <c r="X123" s="399">
        <f t="shared" si="46"/>
        <v>121</v>
      </c>
      <c r="Y123" s="397">
        <f t="shared" ca="1" si="62"/>
        <v>0</v>
      </c>
      <c r="Z123" s="318">
        <f t="shared" ca="1" si="47"/>
        <v>57</v>
      </c>
      <c r="AA123" s="318" t="str">
        <f t="shared" ca="1" si="48"/>
        <v/>
      </c>
      <c r="AB123" s="318" t="str">
        <f t="shared" ca="1" si="49"/>
        <v/>
      </c>
      <c r="AC123" s="318" t="str">
        <f t="shared" ca="1" si="50"/>
        <v/>
      </c>
      <c r="AD123" s="318" t="str">
        <f t="shared" ca="1" si="51"/>
        <v/>
      </c>
      <c r="AE123" s="318" t="str">
        <f t="shared" ca="1" si="52"/>
        <v/>
      </c>
      <c r="AG123" s="318">
        <f ca="1">IF(TYPE(VLOOKUP($A123,'1.kolo'!$L$3:$L$66,1,0))&gt;3,VLOOKUP($A123,'1.kolo'!$K$3:$L$66,2,0),VLOOKUP($A123,'1.kolo'!$L$3:$O$66,4,0))</f>
        <v>57</v>
      </c>
      <c r="AH123" s="318">
        <f ca="1">IF(TYPE(VLOOKUP($A123,'1.kolo'!$L$3:$L$66,1,0))&gt;3,VLOOKUP($A123,'1.kolo'!$O$3:$Q$66,2,0),VLOOKUP($A123,'1.kolo'!$L$3:$N$66,2,0))</f>
        <v>0</v>
      </c>
      <c r="AI123" s="318">
        <f ca="1">IF(TYPE(VLOOKUP($A123,'1.kolo'!$L$3:$L$66,1,0))&gt;3,VLOOKUP($A123,'1.kolo'!$O$3:$Q$66,3,0),VLOOKUP($A123,'1.kolo'!$L$3:$N$66,3,0))</f>
        <v>0</v>
      </c>
      <c r="AJ123" s="318">
        <f t="shared" ca="1" si="53"/>
        <v>0</v>
      </c>
      <c r="AK123" s="318">
        <v>121</v>
      </c>
      <c r="AL123" s="424"/>
      <c r="AP123" s="318" t="str">
        <f ca="1">IF(TYPE(VLOOKUP($A123,'2.kolo'!$L$3:$L$66,1,0))&gt;3,IF(TYPE(VLOOKUP($A123,'2.kolo'!$K$3:$L$66,2,0))&gt;3,0,VLOOKUP($A123,'2.kolo'!$K$3:$L$66,2,0)),VLOOKUP($A123,'2.kolo'!$L$3:$O$66,4,0))</f>
        <v/>
      </c>
      <c r="AQ123" s="318">
        <f ca="1">IF(TYPE(VLOOKUP($A123,'2.kolo'!$L$3:$L$66,1,0))&gt;3,IF(TYPE(VLOOKUP($A123,'2.kolo'!$O$3:$Q$66,2,0))&gt;3,0,VLOOKUP($A123,'2.kolo'!$O$3:$Q$66,2,0)),VLOOKUP($A123,'2.kolo'!$L$3:$N$66,2,0))</f>
        <v>0</v>
      </c>
      <c r="AR123" s="318">
        <f ca="1">IF(TYPE(VLOOKUP($A123,'2.kolo'!$L$3:$L$66,1,0))&gt;3,IF(TYPE(VLOOKUP($A123,'2.kolo'!$O$3:$Q$66,3,0))&gt;3,0,VLOOKUP($A123,'2.kolo'!$O$3:$Q$66,3,0)),VLOOKUP($A123,'2.kolo'!$L$3:$N$66,3,0))</f>
        <v>0</v>
      </c>
      <c r="AS123" s="318">
        <f t="shared" ca="1" si="54"/>
        <v>0</v>
      </c>
      <c r="AT123" s="397" t="s">
        <v>1869</v>
      </c>
      <c r="AU123" s="424" t="str">
        <f ca="1">IF(AT123="","",CONCATENATE(TEXT($O123,"0"),IF(Start.listina!$Y$5="","",TEXT(500+$P123,"000")),TEXT(999999*RAND(),"000000")))</f>
        <v/>
      </c>
      <c r="AV123" s="318">
        <f t="shared" ca="1" si="63"/>
        <v>0</v>
      </c>
      <c r="AY123" s="318" t="str">
        <f ca="1">IF(TYPE(VLOOKUP($A123,'3.kolo'!$L$3:$L$66,1,0))&gt;3,IF(TYPE(VLOOKUP($A123,'3.kolo'!$K$3:$L$66,2,0))&gt;3,0,VLOOKUP($A123,'3.kolo'!$K$3:$L$66,2,0)),VLOOKUP($A123,'3.kolo'!$L$3:$O$66,4,0))</f>
        <v/>
      </c>
      <c r="AZ123" s="318">
        <f ca="1">IF(TYPE(VLOOKUP($A123,'3.kolo'!$L$3:$L$66,1,0))&gt;3,IF(TYPE(VLOOKUP($A123,'3.kolo'!$O$3:$Q$66,2,0))&gt;3,0,VLOOKUP($A123,'3.kolo'!$O$3:$Q$66,2,0)),VLOOKUP($A123,'3.kolo'!$L$3:$N$66,2,0))</f>
        <v>0</v>
      </c>
      <c r="BA123" s="318">
        <f ca="1">IF(TYPE(VLOOKUP($A123,'3.kolo'!$L$3:$L$66,1,0))&gt;3,IF(TYPE(VLOOKUP($A123,'3.kolo'!$O$3:$Q$66,3,0))&gt;3,0,VLOOKUP($A123,'3.kolo'!$O$3:$Q$66,3,0)),VLOOKUP($A123,'3.kolo'!$L$3:$N$66,3,0))</f>
        <v>0</v>
      </c>
      <c r="BB123" s="318">
        <f t="shared" ca="1" si="55"/>
        <v>0</v>
      </c>
      <c r="BC123" s="397" t="s">
        <v>1869</v>
      </c>
      <c r="BD123" s="424" t="str">
        <f ca="1">IF(BC123="","",CONCATENATE(TEXT($O123,"0"),IF(Start.listina!$Y$5="","",TEXT(500+$P123,"000")),TEXT(999999*RAND(),"000000")))</f>
        <v/>
      </c>
      <c r="BE123" s="318">
        <f t="shared" ca="1" si="64"/>
        <v>0</v>
      </c>
      <c r="BH123" s="318" t="str">
        <f ca="1">IF(TYPE(VLOOKUP($A123,'4.kolo'!$L$3:$L$66,1,0))&gt;3,IF(TYPE(VLOOKUP($A123,'4.kolo'!$K$3:$L$66,2,0))&gt;3,0,VLOOKUP($A123,'4.kolo'!$K$3:$L$66,2,0)),VLOOKUP($A123,'4.kolo'!$L$3:$O$66,4,0))</f>
        <v/>
      </c>
      <c r="BI123" s="318">
        <f ca="1">IF(TYPE(VLOOKUP($A123,'4.kolo'!$L$3:$L$66,1,0))&gt;3,IF(TYPE(VLOOKUP($A123,'4.kolo'!$O$3:$Q$66,2,0))&gt;3,0,VLOOKUP($A123,'4.kolo'!$O$3:$Q$66,2,0)),VLOOKUP($A123,'4.kolo'!$L$3:$N$66,2,0))</f>
        <v>0</v>
      </c>
      <c r="BJ123" s="318">
        <f ca="1">IF(TYPE(VLOOKUP($A123,'4.kolo'!$L$3:$L$66,1,0))&gt;3,IF(TYPE(VLOOKUP($A123,'4.kolo'!$O$3:$Q$66,3,0))&gt;3,0,VLOOKUP($A123,'4.kolo'!$O$3:$Q$66,3,0)),VLOOKUP($A123,'4.kolo'!$L$3:$N$66,3,0))</f>
        <v>0</v>
      </c>
      <c r="BK123" s="318">
        <f t="shared" ca="1" si="56"/>
        <v>0</v>
      </c>
      <c r="BL123" s="397" t="s">
        <v>1869</v>
      </c>
      <c r="BM123" s="424" t="str">
        <f ca="1">IF(BL123="","",CONCATENATE(TEXT($O123,"0"),IF(Start.listina!$Y$5="","",TEXT(500+$P123,"000")),TEXT(999999*RAND(),"000000")))</f>
        <v/>
      </c>
      <c r="BN123" s="318">
        <f t="shared" ca="1" si="65"/>
        <v>0</v>
      </c>
      <c r="BQ123" s="318" t="str">
        <f ca="1">IF(TYPE(VLOOKUP($A123,'5.kolo'!$L$3:$L$66,1,0))&gt;3,IF(TYPE(VLOOKUP($A123,'5.kolo'!$K$3:$L$66,2,0))&gt;3,0,VLOOKUP($A123,'5.kolo'!$K$3:$L$66,2,0)),VLOOKUP($A123,'5.kolo'!$L$3:$O$66,4,0))</f>
        <v/>
      </c>
      <c r="BR123" s="318">
        <f ca="1">IF(TYPE(VLOOKUP($A123,'5.kolo'!$L$3:$L$66,1,0))&gt;3,IF(TYPE(VLOOKUP($A123,'5.kolo'!$O$3:$Q$66,2,0))&gt;3,0,VLOOKUP($A123,'5.kolo'!$O$3:$Q$66,2,0)),VLOOKUP($A123,'5.kolo'!$L$3:$N$66,2,0))</f>
        <v>0</v>
      </c>
      <c r="BS123" s="318">
        <f ca="1">IF(TYPE(VLOOKUP($A123,'5.kolo'!$L$3:$L$66,1,0))&gt;3,IF(TYPE(VLOOKUP($A123,'5.kolo'!$O$3:$Q$66,3,0))&gt;3,0,VLOOKUP($A123,'5.kolo'!$O$3:$Q$66,3,0)),VLOOKUP($A123,'5.kolo'!$L$3:$N$66,3,0))</f>
        <v>0</v>
      </c>
      <c r="BT123" s="318">
        <f t="shared" ca="1" si="57"/>
        <v>0</v>
      </c>
      <c r="BU123" s="397"/>
      <c r="BV123" s="424" t="str">
        <f ca="1">IF(BU123="","",CONCATENATE(TEXT($O123,"0"),IF(Start.listina!$Y$5="","",TEXT(500+$P123,"000")),TEXT(999999*RAND(),"000000")))</f>
        <v/>
      </c>
      <c r="BW123" s="318">
        <f t="shared" ca="1" si="66"/>
        <v>0</v>
      </c>
      <c r="BZ123" s="318" t="str">
        <f ca="1">IF(TYPE(VLOOKUP($A123,'6.kolo'!$L$3:$L$66,1,0))&gt;3,IF(TYPE(VLOOKUP($A123,'6.kolo'!$K$3:$L$66,2,0))&gt;3,0,VLOOKUP($A123,'6.kolo'!$K$3:$L$66,2,0)),VLOOKUP($A123,'6.kolo'!$L$3:$O$66,4,0))</f>
        <v/>
      </c>
      <c r="CA123" s="318">
        <f ca="1">IF(TYPE(VLOOKUP($A123,'6.kolo'!$L$3:$L$66,1,0))&gt;3,IF(TYPE(VLOOKUP($A123,'6.kolo'!$O$3:$Q$66,2,0))&gt;3,0,VLOOKUP($A123,'6.kolo'!$O$3:$Q$66,2,0)),VLOOKUP($A123,'6.kolo'!$L$3:$N$66,2,0))</f>
        <v>0</v>
      </c>
      <c r="CB123" s="318">
        <f ca="1">IF(TYPE(VLOOKUP($A123,'6.kolo'!$L$3:$L$66,1,0))&gt;3,IF(TYPE(VLOOKUP($A123,'6.kolo'!$O$3:$Q$66,3,0))&gt;3,0,VLOOKUP($A123,'6.kolo'!$O$3:$Q$66,3,0)),VLOOKUP($A123,'6.kolo'!$L$3:$N$66,3,0))</f>
        <v>0</v>
      </c>
      <c r="CC123" s="318">
        <f t="shared" ca="1" si="58"/>
        <v>0</v>
      </c>
      <c r="CD123" s="397"/>
      <c r="CE123" s="424" t="str">
        <f ca="1">IF(CD123="","",CONCATENATE(TEXT($O123,"0"),IF(Start.listina!$Y$5="","",TEXT(500+$P123,"000")),TEXT(999999*RAND(),"000000")))</f>
        <v/>
      </c>
      <c r="CF123" s="318">
        <f t="shared" ca="1" si="67"/>
        <v>0</v>
      </c>
    </row>
    <row r="124" spans="1:84" x14ac:dyDescent="0.4">
      <c r="A124" s="318" t="str">
        <f ca="1">IF(OR(Start.listina!H132&gt;Start.listina!$K$7,Start.listina!G132=TRUE),"",Start.listina!H132)</f>
        <v/>
      </c>
      <c r="B124" s="318" t="str">
        <f ca="1">IF($A124&gt;Start.listina!$K$7,"",INT(($A124-1)/Start.listina!$O$7)+1)</f>
        <v/>
      </c>
      <c r="C124" s="421" t="str">
        <f ca="1">IF(OR(Start.listina!H132&gt;Start.listina!$K$7,Start.listina!G132=TRUE)," - ",Start.listina!AL132)</f>
        <v xml:space="preserve"> - </v>
      </c>
      <c r="D124" s="318" t="str">
        <f ca="1">IF(OR(A124&gt;Start.listina!$K$7,TYPE(VLOOKUP(A124,$V$3:$X$130,3,0))&gt;3),"",VLOOKUP(A124,$V$3:$X$130,3,0))</f>
        <v/>
      </c>
      <c r="E124" s="422" t="str">
        <f ca="1">IF(A124&gt;Start.listina!$K$7,"",IF(MIN(F124:K124)&gt;Start.listina!$Y$4,D124,MIN(F124:K124)))</f>
        <v/>
      </c>
      <c r="F124" s="318">
        <f ca="1">IF(TYPE(VLOOKUP(C124,Konečné_pořadí_1_16!$B$2:$D$17,3,0))&lt;4,VLOOKUP(C124,Konečné_pořadí_1_16!$B$2:$D$17,3,0),999)</f>
        <v>999</v>
      </c>
      <c r="G124" s="318">
        <f ca="1">IF(TYPE(VLOOKUP(C124,'KO64'!$D$4:$D$129,1,0))&lt;4,64,999)</f>
        <v>64</v>
      </c>
      <c r="H124" s="318">
        <f ca="1">IF(TYPE(VLOOKUP(C124,'KO32'!$D$4:$D$65,1,0))&lt;4,32,999)</f>
        <v>32</v>
      </c>
      <c r="I124" s="318">
        <f ca="1">IF(TYPE(VLOOKUP(C124,'KO16'!$D$4:$D$33,1,0))&lt;4,16,999)</f>
        <v>999</v>
      </c>
      <c r="J124" s="318">
        <f ca="1">IF(TYPE(VLOOKUP(C124,'KO8'!$D$4:$D$17,1,0))&lt;4,8,999)</f>
        <v>999</v>
      </c>
      <c r="K124" s="318">
        <f ca="1">IF(TYPE(VLOOKUP(C124,'KO4'!$D$4:$D$9,1,0))&lt;4,4,999)</f>
        <v>999</v>
      </c>
      <c r="M124" s="319">
        <v>122</v>
      </c>
      <c r="O124" s="318">
        <f t="shared" ca="1" si="42"/>
        <v>0</v>
      </c>
      <c r="P124" s="318">
        <f t="shared" ca="1" si="43"/>
        <v>0</v>
      </c>
      <c r="Q124" s="318">
        <f t="shared" ca="1" si="60"/>
        <v>2</v>
      </c>
      <c r="R124" s="318">
        <f t="shared" ca="1" si="61"/>
        <v>0</v>
      </c>
      <c r="S124" s="318">
        <f t="shared" ca="1" si="44"/>
        <v>18</v>
      </c>
      <c r="T124" s="318">
        <f t="shared" ca="1" si="45"/>
        <v>0</v>
      </c>
      <c r="U124" s="397">
        <f t="shared" si="59"/>
        <v>122</v>
      </c>
      <c r="V124" s="397" t="s">
        <v>1869</v>
      </c>
      <c r="W124" s="423" t="str">
        <f ca="1">IF($V124="","",CONCATENATE(TEXT($O124,"0"),IF(Start.listina!$Y$5="","",TEXT(500+$P124,"0000")),IF(Start.listina!$Y$6="","",CHOOSE(Start.listina!$Y$7,TEXT($Q124,"00"),CONCATENATE(TEXT($Q124,"00"),TEXT($S124,"000")), TEXT($R124,"00"))),TEXT(500+$P124,"0000"),IF(Start.listina!$Y$8="","",TEXT($T124,"0")),TEXT(999999*RAND(),"000000")))</f>
        <v/>
      </c>
      <c r="X124" s="399">
        <f t="shared" si="46"/>
        <v>122</v>
      </c>
      <c r="Y124" s="397">
        <f t="shared" ca="1" si="62"/>
        <v>0</v>
      </c>
      <c r="Z124" s="318">
        <f t="shared" ca="1" si="47"/>
        <v>57</v>
      </c>
      <c r="AA124" s="318" t="str">
        <f t="shared" ca="1" si="48"/>
        <v/>
      </c>
      <c r="AB124" s="318" t="str">
        <f t="shared" ca="1" si="49"/>
        <v/>
      </c>
      <c r="AC124" s="318" t="str">
        <f t="shared" ca="1" si="50"/>
        <v/>
      </c>
      <c r="AD124" s="318" t="str">
        <f t="shared" ca="1" si="51"/>
        <v/>
      </c>
      <c r="AE124" s="318" t="str">
        <f t="shared" ca="1" si="52"/>
        <v/>
      </c>
      <c r="AG124" s="318">
        <f ca="1">IF(TYPE(VLOOKUP($A124,'1.kolo'!$L$3:$L$66,1,0))&gt;3,VLOOKUP($A124,'1.kolo'!$K$3:$L$66,2,0),VLOOKUP($A124,'1.kolo'!$L$3:$O$66,4,0))</f>
        <v>57</v>
      </c>
      <c r="AH124" s="318">
        <f ca="1">IF(TYPE(VLOOKUP($A124,'1.kolo'!$L$3:$L$66,1,0))&gt;3,VLOOKUP($A124,'1.kolo'!$O$3:$Q$66,2,0),VLOOKUP($A124,'1.kolo'!$L$3:$N$66,2,0))</f>
        <v>0</v>
      </c>
      <c r="AI124" s="318">
        <f ca="1">IF(TYPE(VLOOKUP($A124,'1.kolo'!$L$3:$L$66,1,0))&gt;3,VLOOKUP($A124,'1.kolo'!$O$3:$Q$66,3,0),VLOOKUP($A124,'1.kolo'!$L$3:$N$66,3,0))</f>
        <v>0</v>
      </c>
      <c r="AJ124" s="318">
        <f t="shared" ca="1" si="53"/>
        <v>0</v>
      </c>
      <c r="AK124" s="318">
        <v>122</v>
      </c>
      <c r="AL124" s="424"/>
      <c r="AP124" s="318" t="str">
        <f ca="1">IF(TYPE(VLOOKUP($A124,'2.kolo'!$L$3:$L$66,1,0))&gt;3,IF(TYPE(VLOOKUP($A124,'2.kolo'!$K$3:$L$66,2,0))&gt;3,0,VLOOKUP($A124,'2.kolo'!$K$3:$L$66,2,0)),VLOOKUP($A124,'2.kolo'!$L$3:$O$66,4,0))</f>
        <v/>
      </c>
      <c r="AQ124" s="318">
        <f ca="1">IF(TYPE(VLOOKUP($A124,'2.kolo'!$L$3:$L$66,1,0))&gt;3,IF(TYPE(VLOOKUP($A124,'2.kolo'!$O$3:$Q$66,2,0))&gt;3,0,VLOOKUP($A124,'2.kolo'!$O$3:$Q$66,2,0)),VLOOKUP($A124,'2.kolo'!$L$3:$N$66,2,0))</f>
        <v>0</v>
      </c>
      <c r="AR124" s="318">
        <f ca="1">IF(TYPE(VLOOKUP($A124,'2.kolo'!$L$3:$L$66,1,0))&gt;3,IF(TYPE(VLOOKUP($A124,'2.kolo'!$O$3:$Q$66,3,0))&gt;3,0,VLOOKUP($A124,'2.kolo'!$O$3:$Q$66,3,0)),VLOOKUP($A124,'2.kolo'!$L$3:$N$66,3,0))</f>
        <v>0</v>
      </c>
      <c r="AS124" s="318">
        <f t="shared" ca="1" si="54"/>
        <v>0</v>
      </c>
      <c r="AT124" s="397" t="s">
        <v>1869</v>
      </c>
      <c r="AU124" s="424" t="str">
        <f ca="1">IF(AT124="","",CONCATENATE(TEXT($O124,"0"),IF(Start.listina!$Y$5="","",TEXT(500+$P124,"000")),TEXT(999999*RAND(),"000000")))</f>
        <v/>
      </c>
      <c r="AV124" s="318">
        <f t="shared" ca="1" si="63"/>
        <v>0</v>
      </c>
      <c r="AY124" s="318" t="str">
        <f ca="1">IF(TYPE(VLOOKUP($A124,'3.kolo'!$L$3:$L$66,1,0))&gt;3,IF(TYPE(VLOOKUP($A124,'3.kolo'!$K$3:$L$66,2,0))&gt;3,0,VLOOKUP($A124,'3.kolo'!$K$3:$L$66,2,0)),VLOOKUP($A124,'3.kolo'!$L$3:$O$66,4,0))</f>
        <v/>
      </c>
      <c r="AZ124" s="318">
        <f ca="1">IF(TYPE(VLOOKUP($A124,'3.kolo'!$L$3:$L$66,1,0))&gt;3,IF(TYPE(VLOOKUP($A124,'3.kolo'!$O$3:$Q$66,2,0))&gt;3,0,VLOOKUP($A124,'3.kolo'!$O$3:$Q$66,2,0)),VLOOKUP($A124,'3.kolo'!$L$3:$N$66,2,0))</f>
        <v>0</v>
      </c>
      <c r="BA124" s="318">
        <f ca="1">IF(TYPE(VLOOKUP($A124,'3.kolo'!$L$3:$L$66,1,0))&gt;3,IF(TYPE(VLOOKUP($A124,'3.kolo'!$O$3:$Q$66,3,0))&gt;3,0,VLOOKUP($A124,'3.kolo'!$O$3:$Q$66,3,0)),VLOOKUP($A124,'3.kolo'!$L$3:$N$66,3,0))</f>
        <v>0</v>
      </c>
      <c r="BB124" s="318">
        <f t="shared" ca="1" si="55"/>
        <v>0</v>
      </c>
      <c r="BC124" s="397" t="s">
        <v>1869</v>
      </c>
      <c r="BD124" s="424" t="str">
        <f ca="1">IF(BC124="","",CONCATENATE(TEXT($O124,"0"),IF(Start.listina!$Y$5="","",TEXT(500+$P124,"000")),TEXT(999999*RAND(),"000000")))</f>
        <v/>
      </c>
      <c r="BE124" s="318">
        <f t="shared" ca="1" si="64"/>
        <v>0</v>
      </c>
      <c r="BH124" s="318" t="str">
        <f ca="1">IF(TYPE(VLOOKUP($A124,'4.kolo'!$L$3:$L$66,1,0))&gt;3,IF(TYPE(VLOOKUP($A124,'4.kolo'!$K$3:$L$66,2,0))&gt;3,0,VLOOKUP($A124,'4.kolo'!$K$3:$L$66,2,0)),VLOOKUP($A124,'4.kolo'!$L$3:$O$66,4,0))</f>
        <v/>
      </c>
      <c r="BI124" s="318">
        <f ca="1">IF(TYPE(VLOOKUP($A124,'4.kolo'!$L$3:$L$66,1,0))&gt;3,IF(TYPE(VLOOKUP($A124,'4.kolo'!$O$3:$Q$66,2,0))&gt;3,0,VLOOKUP($A124,'4.kolo'!$O$3:$Q$66,2,0)),VLOOKUP($A124,'4.kolo'!$L$3:$N$66,2,0))</f>
        <v>0</v>
      </c>
      <c r="BJ124" s="318">
        <f ca="1">IF(TYPE(VLOOKUP($A124,'4.kolo'!$L$3:$L$66,1,0))&gt;3,IF(TYPE(VLOOKUP($A124,'4.kolo'!$O$3:$Q$66,3,0))&gt;3,0,VLOOKUP($A124,'4.kolo'!$O$3:$Q$66,3,0)),VLOOKUP($A124,'4.kolo'!$L$3:$N$66,3,0))</f>
        <v>0</v>
      </c>
      <c r="BK124" s="318">
        <f t="shared" ca="1" si="56"/>
        <v>0</v>
      </c>
      <c r="BL124" s="397" t="s">
        <v>1869</v>
      </c>
      <c r="BM124" s="424" t="str">
        <f ca="1">IF(BL124="","",CONCATENATE(TEXT($O124,"0"),IF(Start.listina!$Y$5="","",TEXT(500+$P124,"000")),TEXT(999999*RAND(),"000000")))</f>
        <v/>
      </c>
      <c r="BN124" s="318">
        <f t="shared" ca="1" si="65"/>
        <v>0</v>
      </c>
      <c r="BQ124" s="318" t="str">
        <f ca="1">IF(TYPE(VLOOKUP($A124,'5.kolo'!$L$3:$L$66,1,0))&gt;3,IF(TYPE(VLOOKUP($A124,'5.kolo'!$K$3:$L$66,2,0))&gt;3,0,VLOOKUP($A124,'5.kolo'!$K$3:$L$66,2,0)),VLOOKUP($A124,'5.kolo'!$L$3:$O$66,4,0))</f>
        <v/>
      </c>
      <c r="BR124" s="318">
        <f ca="1">IF(TYPE(VLOOKUP($A124,'5.kolo'!$L$3:$L$66,1,0))&gt;3,IF(TYPE(VLOOKUP($A124,'5.kolo'!$O$3:$Q$66,2,0))&gt;3,0,VLOOKUP($A124,'5.kolo'!$O$3:$Q$66,2,0)),VLOOKUP($A124,'5.kolo'!$L$3:$N$66,2,0))</f>
        <v>0</v>
      </c>
      <c r="BS124" s="318">
        <f ca="1">IF(TYPE(VLOOKUP($A124,'5.kolo'!$L$3:$L$66,1,0))&gt;3,IF(TYPE(VLOOKUP($A124,'5.kolo'!$O$3:$Q$66,3,0))&gt;3,0,VLOOKUP($A124,'5.kolo'!$O$3:$Q$66,3,0)),VLOOKUP($A124,'5.kolo'!$L$3:$N$66,3,0))</f>
        <v>0</v>
      </c>
      <c r="BT124" s="318">
        <f t="shared" ca="1" si="57"/>
        <v>0</v>
      </c>
      <c r="BU124" s="397"/>
      <c r="BV124" s="424" t="str">
        <f ca="1">IF(BU124="","",CONCATENATE(TEXT($O124,"0"),IF(Start.listina!$Y$5="","",TEXT(500+$P124,"000")),TEXT(999999*RAND(),"000000")))</f>
        <v/>
      </c>
      <c r="BW124" s="318">
        <f t="shared" ca="1" si="66"/>
        <v>0</v>
      </c>
      <c r="BZ124" s="318" t="str">
        <f ca="1">IF(TYPE(VLOOKUP($A124,'6.kolo'!$L$3:$L$66,1,0))&gt;3,IF(TYPE(VLOOKUP($A124,'6.kolo'!$K$3:$L$66,2,0))&gt;3,0,VLOOKUP($A124,'6.kolo'!$K$3:$L$66,2,0)),VLOOKUP($A124,'6.kolo'!$L$3:$O$66,4,0))</f>
        <v/>
      </c>
      <c r="CA124" s="318">
        <f ca="1">IF(TYPE(VLOOKUP($A124,'6.kolo'!$L$3:$L$66,1,0))&gt;3,IF(TYPE(VLOOKUP($A124,'6.kolo'!$O$3:$Q$66,2,0))&gt;3,0,VLOOKUP($A124,'6.kolo'!$O$3:$Q$66,2,0)),VLOOKUP($A124,'6.kolo'!$L$3:$N$66,2,0))</f>
        <v>0</v>
      </c>
      <c r="CB124" s="318">
        <f ca="1">IF(TYPE(VLOOKUP($A124,'6.kolo'!$L$3:$L$66,1,0))&gt;3,IF(TYPE(VLOOKUP($A124,'6.kolo'!$O$3:$Q$66,3,0))&gt;3,0,VLOOKUP($A124,'6.kolo'!$O$3:$Q$66,3,0)),VLOOKUP($A124,'6.kolo'!$L$3:$N$66,3,0))</f>
        <v>0</v>
      </c>
      <c r="CC124" s="318">
        <f t="shared" ca="1" si="58"/>
        <v>0</v>
      </c>
      <c r="CD124" s="397"/>
      <c r="CE124" s="424" t="str">
        <f ca="1">IF(CD124="","",CONCATENATE(TEXT($O124,"0"),IF(Start.listina!$Y$5="","",TEXT(500+$P124,"000")),TEXT(999999*RAND(),"000000")))</f>
        <v/>
      </c>
      <c r="CF124" s="318">
        <f t="shared" ca="1" si="67"/>
        <v>0</v>
      </c>
    </row>
    <row r="125" spans="1:84" x14ac:dyDescent="0.4">
      <c r="A125" s="318" t="str">
        <f ca="1">IF(OR(Start.listina!H133&gt;Start.listina!$K$7,Start.listina!G133=TRUE),"",Start.listina!H133)</f>
        <v/>
      </c>
      <c r="B125" s="318" t="str">
        <f ca="1">IF($A125&gt;Start.listina!$K$7,"",INT(($A125-1)/Start.listina!$O$7)+1)</f>
        <v/>
      </c>
      <c r="C125" s="421" t="str">
        <f ca="1">IF(OR(Start.listina!H133&gt;Start.listina!$K$7,Start.listina!G133=TRUE)," - ",Start.listina!AL133)</f>
        <v xml:space="preserve"> - </v>
      </c>
      <c r="D125" s="318" t="str">
        <f ca="1">IF(OR(A125&gt;Start.listina!$K$7,TYPE(VLOOKUP(A125,$V$3:$X$130,3,0))&gt;3),"",VLOOKUP(A125,$V$3:$X$130,3,0))</f>
        <v/>
      </c>
      <c r="E125" s="422" t="str">
        <f ca="1">IF(A125&gt;Start.listina!$K$7,"",IF(MIN(F125:K125)&gt;Start.listina!$Y$4,D125,MIN(F125:K125)))</f>
        <v/>
      </c>
      <c r="F125" s="318">
        <f ca="1">IF(TYPE(VLOOKUP(C125,Konečné_pořadí_1_16!$B$2:$D$17,3,0))&lt;4,VLOOKUP(C125,Konečné_pořadí_1_16!$B$2:$D$17,3,0),999)</f>
        <v>999</v>
      </c>
      <c r="G125" s="318">
        <f ca="1">IF(TYPE(VLOOKUP(C125,'KO64'!$D$4:$D$129,1,0))&lt;4,64,999)</f>
        <v>64</v>
      </c>
      <c r="H125" s="318">
        <f ca="1">IF(TYPE(VLOOKUP(C125,'KO32'!$D$4:$D$65,1,0))&lt;4,32,999)</f>
        <v>32</v>
      </c>
      <c r="I125" s="318">
        <f ca="1">IF(TYPE(VLOOKUP(C125,'KO16'!$D$4:$D$33,1,0))&lt;4,16,999)</f>
        <v>999</v>
      </c>
      <c r="J125" s="318">
        <f ca="1">IF(TYPE(VLOOKUP(C125,'KO8'!$D$4:$D$17,1,0))&lt;4,8,999)</f>
        <v>999</v>
      </c>
      <c r="K125" s="318">
        <f ca="1">IF(TYPE(VLOOKUP(C125,'KO4'!$D$4:$D$9,1,0))&lt;4,4,999)</f>
        <v>999</v>
      </c>
      <c r="M125" s="319">
        <v>123</v>
      </c>
      <c r="O125" s="318">
        <f t="shared" ca="1" si="42"/>
        <v>0</v>
      </c>
      <c r="P125" s="318">
        <f t="shared" ca="1" si="43"/>
        <v>0</v>
      </c>
      <c r="Q125" s="318">
        <f t="shared" ca="1" si="60"/>
        <v>2</v>
      </c>
      <c r="R125" s="318">
        <f t="shared" ca="1" si="61"/>
        <v>0</v>
      </c>
      <c r="S125" s="318">
        <f t="shared" ca="1" si="44"/>
        <v>18</v>
      </c>
      <c r="T125" s="318">
        <f t="shared" ca="1" si="45"/>
        <v>0</v>
      </c>
      <c r="U125" s="397">
        <f t="shared" si="59"/>
        <v>123</v>
      </c>
      <c r="V125" s="397" t="s">
        <v>1869</v>
      </c>
      <c r="W125" s="423" t="str">
        <f ca="1">IF($V125="","",CONCATENATE(TEXT($O125,"0"),IF(Start.listina!$Y$5="","",TEXT(500+$P125,"0000")),IF(Start.listina!$Y$6="","",CHOOSE(Start.listina!$Y$7,TEXT($Q125,"00"),CONCATENATE(TEXT($Q125,"00"),TEXT($S125,"000")), TEXT($R125,"00"))),TEXT(500+$P125,"0000"),IF(Start.listina!$Y$8="","",TEXT($T125,"0")),TEXT(999999*RAND(),"000000")))</f>
        <v/>
      </c>
      <c r="X125" s="399">
        <f t="shared" si="46"/>
        <v>123</v>
      </c>
      <c r="Y125" s="397">
        <f t="shared" ca="1" si="62"/>
        <v>0</v>
      </c>
      <c r="Z125" s="318">
        <f t="shared" ca="1" si="47"/>
        <v>57</v>
      </c>
      <c r="AA125" s="318" t="str">
        <f t="shared" ca="1" si="48"/>
        <v/>
      </c>
      <c r="AB125" s="318" t="str">
        <f t="shared" ca="1" si="49"/>
        <v/>
      </c>
      <c r="AC125" s="318" t="str">
        <f t="shared" ca="1" si="50"/>
        <v/>
      </c>
      <c r="AD125" s="318" t="str">
        <f t="shared" ca="1" si="51"/>
        <v/>
      </c>
      <c r="AE125" s="318" t="str">
        <f t="shared" ca="1" si="52"/>
        <v/>
      </c>
      <c r="AG125" s="318">
        <f ca="1">IF(TYPE(VLOOKUP($A125,'1.kolo'!$L$3:$L$66,1,0))&gt;3,VLOOKUP($A125,'1.kolo'!$K$3:$L$66,2,0),VLOOKUP($A125,'1.kolo'!$L$3:$O$66,4,0))</f>
        <v>57</v>
      </c>
      <c r="AH125" s="318">
        <f ca="1">IF(TYPE(VLOOKUP($A125,'1.kolo'!$L$3:$L$66,1,0))&gt;3,VLOOKUP($A125,'1.kolo'!$O$3:$Q$66,2,0),VLOOKUP($A125,'1.kolo'!$L$3:$N$66,2,0))</f>
        <v>0</v>
      </c>
      <c r="AI125" s="318">
        <f ca="1">IF(TYPE(VLOOKUP($A125,'1.kolo'!$L$3:$L$66,1,0))&gt;3,VLOOKUP($A125,'1.kolo'!$O$3:$Q$66,3,0),VLOOKUP($A125,'1.kolo'!$L$3:$N$66,3,0))</f>
        <v>0</v>
      </c>
      <c r="AJ125" s="318">
        <f t="shared" ca="1" si="53"/>
        <v>0</v>
      </c>
      <c r="AK125" s="318">
        <v>123</v>
      </c>
      <c r="AL125" s="424"/>
      <c r="AP125" s="318" t="str">
        <f ca="1">IF(TYPE(VLOOKUP($A125,'2.kolo'!$L$3:$L$66,1,0))&gt;3,IF(TYPE(VLOOKUP($A125,'2.kolo'!$K$3:$L$66,2,0))&gt;3,0,VLOOKUP($A125,'2.kolo'!$K$3:$L$66,2,0)),VLOOKUP($A125,'2.kolo'!$L$3:$O$66,4,0))</f>
        <v/>
      </c>
      <c r="AQ125" s="318">
        <f ca="1">IF(TYPE(VLOOKUP($A125,'2.kolo'!$L$3:$L$66,1,0))&gt;3,IF(TYPE(VLOOKUP($A125,'2.kolo'!$O$3:$Q$66,2,0))&gt;3,0,VLOOKUP($A125,'2.kolo'!$O$3:$Q$66,2,0)),VLOOKUP($A125,'2.kolo'!$L$3:$N$66,2,0))</f>
        <v>0</v>
      </c>
      <c r="AR125" s="318">
        <f ca="1">IF(TYPE(VLOOKUP($A125,'2.kolo'!$L$3:$L$66,1,0))&gt;3,IF(TYPE(VLOOKUP($A125,'2.kolo'!$O$3:$Q$66,3,0))&gt;3,0,VLOOKUP($A125,'2.kolo'!$O$3:$Q$66,3,0)),VLOOKUP($A125,'2.kolo'!$L$3:$N$66,3,0))</f>
        <v>0</v>
      </c>
      <c r="AS125" s="318">
        <f t="shared" ca="1" si="54"/>
        <v>0</v>
      </c>
      <c r="AT125" s="397" t="s">
        <v>1869</v>
      </c>
      <c r="AU125" s="424" t="str">
        <f ca="1">IF(AT125="","",CONCATENATE(TEXT($O125,"0"),IF(Start.listina!$Y$5="","",TEXT(500+$P125,"000")),TEXT(999999*RAND(),"000000")))</f>
        <v/>
      </c>
      <c r="AV125" s="318">
        <f t="shared" ca="1" si="63"/>
        <v>0</v>
      </c>
      <c r="AY125" s="318" t="str">
        <f ca="1">IF(TYPE(VLOOKUP($A125,'3.kolo'!$L$3:$L$66,1,0))&gt;3,IF(TYPE(VLOOKUP($A125,'3.kolo'!$K$3:$L$66,2,0))&gt;3,0,VLOOKUP($A125,'3.kolo'!$K$3:$L$66,2,0)),VLOOKUP($A125,'3.kolo'!$L$3:$O$66,4,0))</f>
        <v/>
      </c>
      <c r="AZ125" s="318">
        <f ca="1">IF(TYPE(VLOOKUP($A125,'3.kolo'!$L$3:$L$66,1,0))&gt;3,IF(TYPE(VLOOKUP($A125,'3.kolo'!$O$3:$Q$66,2,0))&gt;3,0,VLOOKUP($A125,'3.kolo'!$O$3:$Q$66,2,0)),VLOOKUP($A125,'3.kolo'!$L$3:$N$66,2,0))</f>
        <v>0</v>
      </c>
      <c r="BA125" s="318">
        <f ca="1">IF(TYPE(VLOOKUP($A125,'3.kolo'!$L$3:$L$66,1,0))&gt;3,IF(TYPE(VLOOKUP($A125,'3.kolo'!$O$3:$Q$66,3,0))&gt;3,0,VLOOKUP($A125,'3.kolo'!$O$3:$Q$66,3,0)),VLOOKUP($A125,'3.kolo'!$L$3:$N$66,3,0))</f>
        <v>0</v>
      </c>
      <c r="BB125" s="318">
        <f t="shared" ca="1" si="55"/>
        <v>0</v>
      </c>
      <c r="BC125" s="397" t="s">
        <v>1869</v>
      </c>
      <c r="BD125" s="424" t="str">
        <f ca="1">IF(BC125="","",CONCATENATE(TEXT($O125,"0"),IF(Start.listina!$Y$5="","",TEXT(500+$P125,"000")),TEXT(999999*RAND(),"000000")))</f>
        <v/>
      </c>
      <c r="BE125" s="318">
        <f t="shared" ca="1" si="64"/>
        <v>0</v>
      </c>
      <c r="BH125" s="318" t="str">
        <f ca="1">IF(TYPE(VLOOKUP($A125,'4.kolo'!$L$3:$L$66,1,0))&gt;3,IF(TYPE(VLOOKUP($A125,'4.kolo'!$K$3:$L$66,2,0))&gt;3,0,VLOOKUP($A125,'4.kolo'!$K$3:$L$66,2,0)),VLOOKUP($A125,'4.kolo'!$L$3:$O$66,4,0))</f>
        <v/>
      </c>
      <c r="BI125" s="318">
        <f ca="1">IF(TYPE(VLOOKUP($A125,'4.kolo'!$L$3:$L$66,1,0))&gt;3,IF(TYPE(VLOOKUP($A125,'4.kolo'!$O$3:$Q$66,2,0))&gt;3,0,VLOOKUP($A125,'4.kolo'!$O$3:$Q$66,2,0)),VLOOKUP($A125,'4.kolo'!$L$3:$N$66,2,0))</f>
        <v>0</v>
      </c>
      <c r="BJ125" s="318">
        <f ca="1">IF(TYPE(VLOOKUP($A125,'4.kolo'!$L$3:$L$66,1,0))&gt;3,IF(TYPE(VLOOKUP($A125,'4.kolo'!$O$3:$Q$66,3,0))&gt;3,0,VLOOKUP($A125,'4.kolo'!$O$3:$Q$66,3,0)),VLOOKUP($A125,'4.kolo'!$L$3:$N$66,3,0))</f>
        <v>0</v>
      </c>
      <c r="BK125" s="318">
        <f t="shared" ca="1" si="56"/>
        <v>0</v>
      </c>
      <c r="BL125" s="397" t="s">
        <v>1869</v>
      </c>
      <c r="BM125" s="424" t="str">
        <f ca="1">IF(BL125="","",CONCATENATE(TEXT($O125,"0"),IF(Start.listina!$Y$5="","",TEXT(500+$P125,"000")),TEXT(999999*RAND(),"000000")))</f>
        <v/>
      </c>
      <c r="BN125" s="318">
        <f t="shared" ca="1" si="65"/>
        <v>0</v>
      </c>
      <c r="BQ125" s="318" t="str">
        <f ca="1">IF(TYPE(VLOOKUP($A125,'5.kolo'!$L$3:$L$66,1,0))&gt;3,IF(TYPE(VLOOKUP($A125,'5.kolo'!$K$3:$L$66,2,0))&gt;3,0,VLOOKUP($A125,'5.kolo'!$K$3:$L$66,2,0)),VLOOKUP($A125,'5.kolo'!$L$3:$O$66,4,0))</f>
        <v/>
      </c>
      <c r="BR125" s="318">
        <f ca="1">IF(TYPE(VLOOKUP($A125,'5.kolo'!$L$3:$L$66,1,0))&gt;3,IF(TYPE(VLOOKUP($A125,'5.kolo'!$O$3:$Q$66,2,0))&gt;3,0,VLOOKUP($A125,'5.kolo'!$O$3:$Q$66,2,0)),VLOOKUP($A125,'5.kolo'!$L$3:$N$66,2,0))</f>
        <v>0</v>
      </c>
      <c r="BS125" s="318">
        <f ca="1">IF(TYPE(VLOOKUP($A125,'5.kolo'!$L$3:$L$66,1,0))&gt;3,IF(TYPE(VLOOKUP($A125,'5.kolo'!$O$3:$Q$66,3,0))&gt;3,0,VLOOKUP($A125,'5.kolo'!$O$3:$Q$66,3,0)),VLOOKUP($A125,'5.kolo'!$L$3:$N$66,3,0))</f>
        <v>0</v>
      </c>
      <c r="BT125" s="318">
        <f t="shared" ca="1" si="57"/>
        <v>0</v>
      </c>
      <c r="BU125" s="397"/>
      <c r="BV125" s="424" t="str">
        <f ca="1">IF(BU125="","",CONCATENATE(TEXT($O125,"0"),IF(Start.listina!$Y$5="","",TEXT(500+$P125,"000")),TEXT(999999*RAND(),"000000")))</f>
        <v/>
      </c>
      <c r="BW125" s="318">
        <f t="shared" ca="1" si="66"/>
        <v>0</v>
      </c>
      <c r="BZ125" s="318" t="str">
        <f ca="1">IF(TYPE(VLOOKUP($A125,'6.kolo'!$L$3:$L$66,1,0))&gt;3,IF(TYPE(VLOOKUP($A125,'6.kolo'!$K$3:$L$66,2,0))&gt;3,0,VLOOKUP($A125,'6.kolo'!$K$3:$L$66,2,0)),VLOOKUP($A125,'6.kolo'!$L$3:$O$66,4,0))</f>
        <v/>
      </c>
      <c r="CA125" s="318">
        <f ca="1">IF(TYPE(VLOOKUP($A125,'6.kolo'!$L$3:$L$66,1,0))&gt;3,IF(TYPE(VLOOKUP($A125,'6.kolo'!$O$3:$Q$66,2,0))&gt;3,0,VLOOKUP($A125,'6.kolo'!$O$3:$Q$66,2,0)),VLOOKUP($A125,'6.kolo'!$L$3:$N$66,2,0))</f>
        <v>0</v>
      </c>
      <c r="CB125" s="318">
        <f ca="1">IF(TYPE(VLOOKUP($A125,'6.kolo'!$L$3:$L$66,1,0))&gt;3,IF(TYPE(VLOOKUP($A125,'6.kolo'!$O$3:$Q$66,3,0))&gt;3,0,VLOOKUP($A125,'6.kolo'!$O$3:$Q$66,3,0)),VLOOKUP($A125,'6.kolo'!$L$3:$N$66,3,0))</f>
        <v>0</v>
      </c>
      <c r="CC125" s="318">
        <f t="shared" ca="1" si="58"/>
        <v>0</v>
      </c>
      <c r="CD125" s="397"/>
      <c r="CE125" s="424" t="str">
        <f ca="1">IF(CD125="","",CONCATENATE(TEXT($O125,"0"),IF(Start.listina!$Y$5="","",TEXT(500+$P125,"000")),TEXT(999999*RAND(),"000000")))</f>
        <v/>
      </c>
      <c r="CF125" s="318">
        <f t="shared" ca="1" si="67"/>
        <v>0</v>
      </c>
    </row>
    <row r="126" spans="1:84" x14ac:dyDescent="0.4">
      <c r="A126" s="318" t="str">
        <f ca="1">IF(OR(Start.listina!H134&gt;Start.listina!$K$7,Start.listina!G134=TRUE),"",Start.listina!H134)</f>
        <v/>
      </c>
      <c r="B126" s="318" t="str">
        <f ca="1">IF($A126&gt;Start.listina!$K$7,"",INT(($A126-1)/Start.listina!$O$7)+1)</f>
        <v/>
      </c>
      <c r="C126" s="421" t="str">
        <f ca="1">IF(OR(Start.listina!H134&gt;Start.listina!$K$7,Start.listina!G134=TRUE)," - ",Start.listina!AL134)</f>
        <v xml:space="preserve"> - </v>
      </c>
      <c r="D126" s="318" t="str">
        <f ca="1">IF(OR(A126&gt;Start.listina!$K$7,TYPE(VLOOKUP(A126,$V$3:$X$130,3,0))&gt;3),"",VLOOKUP(A126,$V$3:$X$130,3,0))</f>
        <v/>
      </c>
      <c r="E126" s="422" t="str">
        <f ca="1">IF(A126&gt;Start.listina!$K$7,"",IF(MIN(F126:K126)&gt;Start.listina!$Y$4,D126,MIN(F126:K126)))</f>
        <v/>
      </c>
      <c r="F126" s="318">
        <f ca="1">IF(TYPE(VLOOKUP(C126,Konečné_pořadí_1_16!$B$2:$D$17,3,0))&lt;4,VLOOKUP(C126,Konečné_pořadí_1_16!$B$2:$D$17,3,0),999)</f>
        <v>999</v>
      </c>
      <c r="G126" s="318">
        <f ca="1">IF(TYPE(VLOOKUP(C126,'KO64'!$D$4:$D$129,1,0))&lt;4,64,999)</f>
        <v>64</v>
      </c>
      <c r="H126" s="318">
        <f ca="1">IF(TYPE(VLOOKUP(C126,'KO32'!$D$4:$D$65,1,0))&lt;4,32,999)</f>
        <v>32</v>
      </c>
      <c r="I126" s="318">
        <f ca="1">IF(TYPE(VLOOKUP(C126,'KO16'!$D$4:$D$33,1,0))&lt;4,16,999)</f>
        <v>999</v>
      </c>
      <c r="J126" s="318">
        <f ca="1">IF(TYPE(VLOOKUP(C126,'KO8'!$D$4:$D$17,1,0))&lt;4,8,999)</f>
        <v>999</v>
      </c>
      <c r="K126" s="318">
        <f ca="1">IF(TYPE(VLOOKUP(C126,'KO4'!$D$4:$D$9,1,0))&lt;4,4,999)</f>
        <v>999</v>
      </c>
      <c r="M126" s="319">
        <v>124</v>
      </c>
      <c r="O126" s="318">
        <f t="shared" ca="1" si="42"/>
        <v>0</v>
      </c>
      <c r="P126" s="318">
        <f t="shared" ca="1" si="43"/>
        <v>0</v>
      </c>
      <c r="Q126" s="318">
        <f t="shared" ca="1" si="60"/>
        <v>2</v>
      </c>
      <c r="R126" s="318">
        <f t="shared" ca="1" si="61"/>
        <v>0</v>
      </c>
      <c r="S126" s="318">
        <f t="shared" ca="1" si="44"/>
        <v>18</v>
      </c>
      <c r="T126" s="318">
        <f t="shared" ca="1" si="45"/>
        <v>0</v>
      </c>
      <c r="U126" s="397">
        <f t="shared" si="59"/>
        <v>124</v>
      </c>
      <c r="V126" s="397" t="s">
        <v>1869</v>
      </c>
      <c r="W126" s="423" t="str">
        <f ca="1">IF($V126="","",CONCATENATE(TEXT($O126,"0"),IF(Start.listina!$Y$5="","",TEXT(500+$P126,"0000")),IF(Start.listina!$Y$6="","",CHOOSE(Start.listina!$Y$7,TEXT($Q126,"00"),CONCATENATE(TEXT($Q126,"00"),TEXT($S126,"000")), TEXT($R126,"00"))),TEXT(500+$P126,"0000"),IF(Start.listina!$Y$8="","",TEXT($T126,"0")),TEXT(999999*RAND(),"000000")))</f>
        <v/>
      </c>
      <c r="X126" s="399">
        <f t="shared" si="46"/>
        <v>124</v>
      </c>
      <c r="Y126" s="397">
        <f t="shared" ca="1" si="62"/>
        <v>0</v>
      </c>
      <c r="Z126" s="318">
        <f t="shared" ca="1" si="47"/>
        <v>57</v>
      </c>
      <c r="AA126" s="318" t="str">
        <f t="shared" ca="1" si="48"/>
        <v/>
      </c>
      <c r="AB126" s="318" t="str">
        <f t="shared" ca="1" si="49"/>
        <v/>
      </c>
      <c r="AC126" s="318" t="str">
        <f t="shared" ca="1" si="50"/>
        <v/>
      </c>
      <c r="AD126" s="318" t="str">
        <f t="shared" ca="1" si="51"/>
        <v/>
      </c>
      <c r="AE126" s="318" t="str">
        <f t="shared" ca="1" si="52"/>
        <v/>
      </c>
      <c r="AG126" s="318">
        <f ca="1">IF(TYPE(VLOOKUP($A126,'1.kolo'!$L$3:$L$66,1,0))&gt;3,VLOOKUP($A126,'1.kolo'!$K$3:$L$66,2,0),VLOOKUP($A126,'1.kolo'!$L$3:$O$66,4,0))</f>
        <v>57</v>
      </c>
      <c r="AH126" s="318">
        <f ca="1">IF(TYPE(VLOOKUP($A126,'1.kolo'!$L$3:$L$66,1,0))&gt;3,VLOOKUP($A126,'1.kolo'!$O$3:$Q$66,2,0),VLOOKUP($A126,'1.kolo'!$L$3:$N$66,2,0))</f>
        <v>0</v>
      </c>
      <c r="AI126" s="318">
        <f ca="1">IF(TYPE(VLOOKUP($A126,'1.kolo'!$L$3:$L$66,1,0))&gt;3,VLOOKUP($A126,'1.kolo'!$O$3:$Q$66,3,0),VLOOKUP($A126,'1.kolo'!$L$3:$N$66,3,0))</f>
        <v>0</v>
      </c>
      <c r="AJ126" s="318">
        <f t="shared" ca="1" si="53"/>
        <v>0</v>
      </c>
      <c r="AK126" s="318">
        <v>124</v>
      </c>
      <c r="AL126" s="424"/>
      <c r="AP126" s="318" t="str">
        <f ca="1">IF(TYPE(VLOOKUP($A126,'2.kolo'!$L$3:$L$66,1,0))&gt;3,IF(TYPE(VLOOKUP($A126,'2.kolo'!$K$3:$L$66,2,0))&gt;3,0,VLOOKUP($A126,'2.kolo'!$K$3:$L$66,2,0)),VLOOKUP($A126,'2.kolo'!$L$3:$O$66,4,0))</f>
        <v/>
      </c>
      <c r="AQ126" s="318">
        <f ca="1">IF(TYPE(VLOOKUP($A126,'2.kolo'!$L$3:$L$66,1,0))&gt;3,IF(TYPE(VLOOKUP($A126,'2.kolo'!$O$3:$Q$66,2,0))&gt;3,0,VLOOKUP($A126,'2.kolo'!$O$3:$Q$66,2,0)),VLOOKUP($A126,'2.kolo'!$L$3:$N$66,2,0))</f>
        <v>0</v>
      </c>
      <c r="AR126" s="318">
        <f ca="1">IF(TYPE(VLOOKUP($A126,'2.kolo'!$L$3:$L$66,1,0))&gt;3,IF(TYPE(VLOOKUP($A126,'2.kolo'!$O$3:$Q$66,3,0))&gt;3,0,VLOOKUP($A126,'2.kolo'!$O$3:$Q$66,3,0)),VLOOKUP($A126,'2.kolo'!$L$3:$N$66,3,0))</f>
        <v>0</v>
      </c>
      <c r="AS126" s="318">
        <f t="shared" ca="1" si="54"/>
        <v>0</v>
      </c>
      <c r="AT126" s="397" t="s">
        <v>1869</v>
      </c>
      <c r="AU126" s="424" t="str">
        <f ca="1">IF(AT126="","",CONCATENATE(TEXT($O126,"0"),IF(Start.listina!$Y$5="","",TEXT(500+$P126,"000")),TEXT(999999*RAND(),"000000")))</f>
        <v/>
      </c>
      <c r="AV126" s="318">
        <f t="shared" ca="1" si="63"/>
        <v>0</v>
      </c>
      <c r="AY126" s="318" t="str">
        <f ca="1">IF(TYPE(VLOOKUP($A126,'3.kolo'!$L$3:$L$66,1,0))&gt;3,IF(TYPE(VLOOKUP($A126,'3.kolo'!$K$3:$L$66,2,0))&gt;3,0,VLOOKUP($A126,'3.kolo'!$K$3:$L$66,2,0)),VLOOKUP($A126,'3.kolo'!$L$3:$O$66,4,0))</f>
        <v/>
      </c>
      <c r="AZ126" s="318">
        <f ca="1">IF(TYPE(VLOOKUP($A126,'3.kolo'!$L$3:$L$66,1,0))&gt;3,IF(TYPE(VLOOKUP($A126,'3.kolo'!$O$3:$Q$66,2,0))&gt;3,0,VLOOKUP($A126,'3.kolo'!$O$3:$Q$66,2,0)),VLOOKUP($A126,'3.kolo'!$L$3:$N$66,2,0))</f>
        <v>0</v>
      </c>
      <c r="BA126" s="318">
        <f ca="1">IF(TYPE(VLOOKUP($A126,'3.kolo'!$L$3:$L$66,1,0))&gt;3,IF(TYPE(VLOOKUP($A126,'3.kolo'!$O$3:$Q$66,3,0))&gt;3,0,VLOOKUP($A126,'3.kolo'!$O$3:$Q$66,3,0)),VLOOKUP($A126,'3.kolo'!$L$3:$N$66,3,0))</f>
        <v>0</v>
      </c>
      <c r="BB126" s="318">
        <f t="shared" ca="1" si="55"/>
        <v>0</v>
      </c>
      <c r="BC126" s="397" t="s">
        <v>1869</v>
      </c>
      <c r="BD126" s="424" t="str">
        <f ca="1">IF(BC126="","",CONCATENATE(TEXT($O126,"0"),IF(Start.listina!$Y$5="","",TEXT(500+$P126,"000")),TEXT(999999*RAND(),"000000")))</f>
        <v/>
      </c>
      <c r="BE126" s="318">
        <f t="shared" ca="1" si="64"/>
        <v>0</v>
      </c>
      <c r="BH126" s="318" t="str">
        <f ca="1">IF(TYPE(VLOOKUP($A126,'4.kolo'!$L$3:$L$66,1,0))&gt;3,IF(TYPE(VLOOKUP($A126,'4.kolo'!$K$3:$L$66,2,0))&gt;3,0,VLOOKUP($A126,'4.kolo'!$K$3:$L$66,2,0)),VLOOKUP($A126,'4.kolo'!$L$3:$O$66,4,0))</f>
        <v/>
      </c>
      <c r="BI126" s="318">
        <f ca="1">IF(TYPE(VLOOKUP($A126,'4.kolo'!$L$3:$L$66,1,0))&gt;3,IF(TYPE(VLOOKUP($A126,'4.kolo'!$O$3:$Q$66,2,0))&gt;3,0,VLOOKUP($A126,'4.kolo'!$O$3:$Q$66,2,0)),VLOOKUP($A126,'4.kolo'!$L$3:$N$66,2,0))</f>
        <v>0</v>
      </c>
      <c r="BJ126" s="318">
        <f ca="1">IF(TYPE(VLOOKUP($A126,'4.kolo'!$L$3:$L$66,1,0))&gt;3,IF(TYPE(VLOOKUP($A126,'4.kolo'!$O$3:$Q$66,3,0))&gt;3,0,VLOOKUP($A126,'4.kolo'!$O$3:$Q$66,3,0)),VLOOKUP($A126,'4.kolo'!$L$3:$N$66,3,0))</f>
        <v>0</v>
      </c>
      <c r="BK126" s="318">
        <f t="shared" ca="1" si="56"/>
        <v>0</v>
      </c>
      <c r="BL126" s="397" t="s">
        <v>1869</v>
      </c>
      <c r="BM126" s="424" t="str">
        <f ca="1">IF(BL126="","",CONCATENATE(TEXT($O126,"0"),IF(Start.listina!$Y$5="","",TEXT(500+$P126,"000")),TEXT(999999*RAND(),"000000")))</f>
        <v/>
      </c>
      <c r="BN126" s="318">
        <f t="shared" ca="1" si="65"/>
        <v>0</v>
      </c>
      <c r="BQ126" s="318" t="str">
        <f ca="1">IF(TYPE(VLOOKUP($A126,'5.kolo'!$L$3:$L$66,1,0))&gt;3,IF(TYPE(VLOOKUP($A126,'5.kolo'!$K$3:$L$66,2,0))&gt;3,0,VLOOKUP($A126,'5.kolo'!$K$3:$L$66,2,0)),VLOOKUP($A126,'5.kolo'!$L$3:$O$66,4,0))</f>
        <v/>
      </c>
      <c r="BR126" s="318">
        <f ca="1">IF(TYPE(VLOOKUP($A126,'5.kolo'!$L$3:$L$66,1,0))&gt;3,IF(TYPE(VLOOKUP($A126,'5.kolo'!$O$3:$Q$66,2,0))&gt;3,0,VLOOKUP($A126,'5.kolo'!$O$3:$Q$66,2,0)),VLOOKUP($A126,'5.kolo'!$L$3:$N$66,2,0))</f>
        <v>0</v>
      </c>
      <c r="BS126" s="318">
        <f ca="1">IF(TYPE(VLOOKUP($A126,'5.kolo'!$L$3:$L$66,1,0))&gt;3,IF(TYPE(VLOOKUP($A126,'5.kolo'!$O$3:$Q$66,3,0))&gt;3,0,VLOOKUP($A126,'5.kolo'!$O$3:$Q$66,3,0)),VLOOKUP($A126,'5.kolo'!$L$3:$N$66,3,0))</f>
        <v>0</v>
      </c>
      <c r="BT126" s="318">
        <f t="shared" ca="1" si="57"/>
        <v>0</v>
      </c>
      <c r="BU126" s="397"/>
      <c r="BV126" s="424" t="str">
        <f ca="1">IF(BU126="","",CONCATENATE(TEXT($O126,"0"),IF(Start.listina!$Y$5="","",TEXT(500+$P126,"000")),TEXT(999999*RAND(),"000000")))</f>
        <v/>
      </c>
      <c r="BW126" s="318">
        <f t="shared" ca="1" si="66"/>
        <v>0</v>
      </c>
      <c r="BZ126" s="318" t="str">
        <f ca="1">IF(TYPE(VLOOKUP($A126,'6.kolo'!$L$3:$L$66,1,0))&gt;3,IF(TYPE(VLOOKUP($A126,'6.kolo'!$K$3:$L$66,2,0))&gt;3,0,VLOOKUP($A126,'6.kolo'!$K$3:$L$66,2,0)),VLOOKUP($A126,'6.kolo'!$L$3:$O$66,4,0))</f>
        <v/>
      </c>
      <c r="CA126" s="318">
        <f ca="1">IF(TYPE(VLOOKUP($A126,'6.kolo'!$L$3:$L$66,1,0))&gt;3,IF(TYPE(VLOOKUP($A126,'6.kolo'!$O$3:$Q$66,2,0))&gt;3,0,VLOOKUP($A126,'6.kolo'!$O$3:$Q$66,2,0)),VLOOKUP($A126,'6.kolo'!$L$3:$N$66,2,0))</f>
        <v>0</v>
      </c>
      <c r="CB126" s="318">
        <f ca="1">IF(TYPE(VLOOKUP($A126,'6.kolo'!$L$3:$L$66,1,0))&gt;3,IF(TYPE(VLOOKUP($A126,'6.kolo'!$O$3:$Q$66,3,0))&gt;3,0,VLOOKUP($A126,'6.kolo'!$O$3:$Q$66,3,0)),VLOOKUP($A126,'6.kolo'!$L$3:$N$66,3,0))</f>
        <v>0</v>
      </c>
      <c r="CC126" s="318">
        <f t="shared" ca="1" si="58"/>
        <v>0</v>
      </c>
      <c r="CD126" s="397"/>
      <c r="CE126" s="424" t="str">
        <f ca="1">IF(CD126="","",CONCATENATE(TEXT($O126,"0"),IF(Start.listina!$Y$5="","",TEXT(500+$P126,"000")),TEXT(999999*RAND(),"000000")))</f>
        <v/>
      </c>
      <c r="CF126" s="318">
        <f t="shared" ca="1" si="67"/>
        <v>0</v>
      </c>
    </row>
    <row r="127" spans="1:84" x14ac:dyDescent="0.4">
      <c r="A127" s="318" t="str">
        <f ca="1">IF(OR(Start.listina!H135&gt;Start.listina!$K$7,Start.listina!G135=TRUE),"",Start.listina!H135)</f>
        <v/>
      </c>
      <c r="B127" s="318" t="str">
        <f ca="1">IF($A127&gt;Start.listina!$K$7,"",INT(($A127-1)/Start.listina!$O$7)+1)</f>
        <v/>
      </c>
      <c r="C127" s="421" t="str">
        <f ca="1">IF(OR(Start.listina!H135&gt;Start.listina!$K$7,Start.listina!G135=TRUE)," - ",Start.listina!AL135)</f>
        <v xml:space="preserve"> - </v>
      </c>
      <c r="D127" s="318" t="str">
        <f ca="1">IF(OR(A127&gt;Start.listina!$K$7,TYPE(VLOOKUP(A127,$V$3:$X$130,3,0))&gt;3),"",VLOOKUP(A127,$V$3:$X$130,3,0))</f>
        <v/>
      </c>
      <c r="E127" s="422" t="str">
        <f ca="1">IF(A127&gt;Start.listina!$K$7,"",IF(MIN(F127:K127)&gt;Start.listina!$Y$4,D127,MIN(F127:K127)))</f>
        <v/>
      </c>
      <c r="F127" s="318">
        <f ca="1">IF(TYPE(VLOOKUP(C127,Konečné_pořadí_1_16!$B$2:$D$17,3,0))&lt;4,VLOOKUP(C127,Konečné_pořadí_1_16!$B$2:$D$17,3,0),999)</f>
        <v>999</v>
      </c>
      <c r="G127" s="318">
        <f ca="1">IF(TYPE(VLOOKUP(C127,'KO64'!$D$4:$D$129,1,0))&lt;4,64,999)</f>
        <v>64</v>
      </c>
      <c r="H127" s="318">
        <f ca="1">IF(TYPE(VLOOKUP(C127,'KO32'!$D$4:$D$65,1,0))&lt;4,32,999)</f>
        <v>32</v>
      </c>
      <c r="I127" s="318">
        <f ca="1">IF(TYPE(VLOOKUP(C127,'KO16'!$D$4:$D$33,1,0))&lt;4,16,999)</f>
        <v>999</v>
      </c>
      <c r="J127" s="318">
        <f ca="1">IF(TYPE(VLOOKUP(C127,'KO8'!$D$4:$D$17,1,0))&lt;4,8,999)</f>
        <v>999</v>
      </c>
      <c r="K127" s="318">
        <f ca="1">IF(TYPE(VLOOKUP(C127,'KO4'!$D$4:$D$9,1,0))&lt;4,4,999)</f>
        <v>999</v>
      </c>
      <c r="M127" s="319">
        <v>125</v>
      </c>
      <c r="O127" s="318">
        <f t="shared" ca="1" si="42"/>
        <v>0</v>
      </c>
      <c r="P127" s="318">
        <f t="shared" ca="1" si="43"/>
        <v>0</v>
      </c>
      <c r="Q127" s="318">
        <f t="shared" ca="1" si="60"/>
        <v>2</v>
      </c>
      <c r="R127" s="318">
        <f t="shared" ca="1" si="61"/>
        <v>0</v>
      </c>
      <c r="S127" s="318">
        <f t="shared" ca="1" si="44"/>
        <v>18</v>
      </c>
      <c r="T127" s="318">
        <f t="shared" ca="1" si="45"/>
        <v>0</v>
      </c>
      <c r="U127" s="397">
        <f t="shared" si="59"/>
        <v>125</v>
      </c>
      <c r="V127" s="397" t="s">
        <v>1869</v>
      </c>
      <c r="W127" s="423" t="str">
        <f ca="1">IF($V127="","",CONCATENATE(TEXT($O127,"0"),IF(Start.listina!$Y$5="","",TEXT(500+$P127,"0000")),IF(Start.listina!$Y$6="","",CHOOSE(Start.listina!$Y$7,TEXT($Q127,"00"),CONCATENATE(TEXT($Q127,"00"),TEXT($S127,"000")), TEXT($R127,"00"))),TEXT(500+$P127,"0000"),IF(Start.listina!$Y$8="","",TEXT($T127,"0")),TEXT(999999*RAND(),"000000")))</f>
        <v/>
      </c>
      <c r="X127" s="399">
        <f t="shared" si="46"/>
        <v>125</v>
      </c>
      <c r="Y127" s="397">
        <f t="shared" ca="1" si="62"/>
        <v>0</v>
      </c>
      <c r="Z127" s="318">
        <f t="shared" ca="1" si="47"/>
        <v>57</v>
      </c>
      <c r="AA127" s="318" t="str">
        <f t="shared" ca="1" si="48"/>
        <v/>
      </c>
      <c r="AB127" s="318" t="str">
        <f t="shared" ca="1" si="49"/>
        <v/>
      </c>
      <c r="AC127" s="318" t="str">
        <f t="shared" ca="1" si="50"/>
        <v/>
      </c>
      <c r="AD127" s="318" t="str">
        <f t="shared" ca="1" si="51"/>
        <v/>
      </c>
      <c r="AE127" s="318" t="str">
        <f t="shared" ca="1" si="52"/>
        <v/>
      </c>
      <c r="AG127" s="318">
        <f ca="1">IF(TYPE(VLOOKUP($A127,'1.kolo'!$L$3:$L$66,1,0))&gt;3,VLOOKUP($A127,'1.kolo'!$K$3:$L$66,2,0),VLOOKUP($A127,'1.kolo'!$L$3:$O$66,4,0))</f>
        <v>57</v>
      </c>
      <c r="AH127" s="318">
        <f ca="1">IF(TYPE(VLOOKUP($A127,'1.kolo'!$L$3:$L$66,1,0))&gt;3,VLOOKUP($A127,'1.kolo'!$O$3:$Q$66,2,0),VLOOKUP($A127,'1.kolo'!$L$3:$N$66,2,0))</f>
        <v>0</v>
      </c>
      <c r="AI127" s="318">
        <f ca="1">IF(TYPE(VLOOKUP($A127,'1.kolo'!$L$3:$L$66,1,0))&gt;3,VLOOKUP($A127,'1.kolo'!$O$3:$Q$66,3,0),VLOOKUP($A127,'1.kolo'!$L$3:$N$66,3,0))</f>
        <v>0</v>
      </c>
      <c r="AJ127" s="318">
        <f t="shared" ca="1" si="53"/>
        <v>0</v>
      </c>
      <c r="AK127" s="318">
        <v>125</v>
      </c>
      <c r="AL127" s="424"/>
      <c r="AP127" s="318" t="str">
        <f ca="1">IF(TYPE(VLOOKUP($A127,'2.kolo'!$L$3:$L$66,1,0))&gt;3,IF(TYPE(VLOOKUP($A127,'2.kolo'!$K$3:$L$66,2,0))&gt;3,0,VLOOKUP($A127,'2.kolo'!$K$3:$L$66,2,0)),VLOOKUP($A127,'2.kolo'!$L$3:$O$66,4,0))</f>
        <v/>
      </c>
      <c r="AQ127" s="318">
        <f ca="1">IF(TYPE(VLOOKUP($A127,'2.kolo'!$L$3:$L$66,1,0))&gt;3,IF(TYPE(VLOOKUP($A127,'2.kolo'!$O$3:$Q$66,2,0))&gt;3,0,VLOOKUP($A127,'2.kolo'!$O$3:$Q$66,2,0)),VLOOKUP($A127,'2.kolo'!$L$3:$N$66,2,0))</f>
        <v>0</v>
      </c>
      <c r="AR127" s="318">
        <f ca="1">IF(TYPE(VLOOKUP($A127,'2.kolo'!$L$3:$L$66,1,0))&gt;3,IF(TYPE(VLOOKUP($A127,'2.kolo'!$O$3:$Q$66,3,0))&gt;3,0,VLOOKUP($A127,'2.kolo'!$O$3:$Q$66,3,0)),VLOOKUP($A127,'2.kolo'!$L$3:$N$66,3,0))</f>
        <v>0</v>
      </c>
      <c r="AS127" s="318">
        <f t="shared" ca="1" si="54"/>
        <v>0</v>
      </c>
      <c r="AT127" s="397" t="s">
        <v>1869</v>
      </c>
      <c r="AU127" s="424" t="str">
        <f ca="1">IF(AT127="","",CONCATENATE(TEXT($O127,"0"),IF(Start.listina!$Y$5="","",TEXT(500+$P127,"000")),TEXT(999999*RAND(),"000000")))</f>
        <v/>
      </c>
      <c r="AV127" s="318">
        <f t="shared" ca="1" si="63"/>
        <v>0</v>
      </c>
      <c r="AY127" s="318" t="str">
        <f ca="1">IF(TYPE(VLOOKUP($A127,'3.kolo'!$L$3:$L$66,1,0))&gt;3,IF(TYPE(VLOOKUP($A127,'3.kolo'!$K$3:$L$66,2,0))&gt;3,0,VLOOKUP($A127,'3.kolo'!$K$3:$L$66,2,0)),VLOOKUP($A127,'3.kolo'!$L$3:$O$66,4,0))</f>
        <v/>
      </c>
      <c r="AZ127" s="318">
        <f ca="1">IF(TYPE(VLOOKUP($A127,'3.kolo'!$L$3:$L$66,1,0))&gt;3,IF(TYPE(VLOOKUP($A127,'3.kolo'!$O$3:$Q$66,2,0))&gt;3,0,VLOOKUP($A127,'3.kolo'!$O$3:$Q$66,2,0)),VLOOKUP($A127,'3.kolo'!$L$3:$N$66,2,0))</f>
        <v>0</v>
      </c>
      <c r="BA127" s="318">
        <f ca="1">IF(TYPE(VLOOKUP($A127,'3.kolo'!$L$3:$L$66,1,0))&gt;3,IF(TYPE(VLOOKUP($A127,'3.kolo'!$O$3:$Q$66,3,0))&gt;3,0,VLOOKUP($A127,'3.kolo'!$O$3:$Q$66,3,0)),VLOOKUP($A127,'3.kolo'!$L$3:$N$66,3,0))</f>
        <v>0</v>
      </c>
      <c r="BB127" s="318">
        <f t="shared" ca="1" si="55"/>
        <v>0</v>
      </c>
      <c r="BC127" s="397" t="s">
        <v>1869</v>
      </c>
      <c r="BD127" s="424" t="str">
        <f ca="1">IF(BC127="","",CONCATENATE(TEXT($O127,"0"),IF(Start.listina!$Y$5="","",TEXT(500+$P127,"000")),TEXT(999999*RAND(),"000000")))</f>
        <v/>
      </c>
      <c r="BE127" s="318">
        <f t="shared" ca="1" si="64"/>
        <v>0</v>
      </c>
      <c r="BH127" s="318" t="str">
        <f ca="1">IF(TYPE(VLOOKUP($A127,'4.kolo'!$L$3:$L$66,1,0))&gt;3,IF(TYPE(VLOOKUP($A127,'4.kolo'!$K$3:$L$66,2,0))&gt;3,0,VLOOKUP($A127,'4.kolo'!$K$3:$L$66,2,0)),VLOOKUP($A127,'4.kolo'!$L$3:$O$66,4,0))</f>
        <v/>
      </c>
      <c r="BI127" s="318">
        <f ca="1">IF(TYPE(VLOOKUP($A127,'4.kolo'!$L$3:$L$66,1,0))&gt;3,IF(TYPE(VLOOKUP($A127,'4.kolo'!$O$3:$Q$66,2,0))&gt;3,0,VLOOKUP($A127,'4.kolo'!$O$3:$Q$66,2,0)),VLOOKUP($A127,'4.kolo'!$L$3:$N$66,2,0))</f>
        <v>0</v>
      </c>
      <c r="BJ127" s="318">
        <f ca="1">IF(TYPE(VLOOKUP($A127,'4.kolo'!$L$3:$L$66,1,0))&gt;3,IF(TYPE(VLOOKUP($A127,'4.kolo'!$O$3:$Q$66,3,0))&gt;3,0,VLOOKUP($A127,'4.kolo'!$O$3:$Q$66,3,0)),VLOOKUP($A127,'4.kolo'!$L$3:$N$66,3,0))</f>
        <v>0</v>
      </c>
      <c r="BK127" s="318">
        <f t="shared" ca="1" si="56"/>
        <v>0</v>
      </c>
      <c r="BL127" s="397" t="s">
        <v>1869</v>
      </c>
      <c r="BM127" s="424" t="str">
        <f ca="1">IF(BL127="","",CONCATENATE(TEXT($O127,"0"),IF(Start.listina!$Y$5="","",TEXT(500+$P127,"000")),TEXT(999999*RAND(),"000000")))</f>
        <v/>
      </c>
      <c r="BN127" s="318">
        <f t="shared" ca="1" si="65"/>
        <v>0</v>
      </c>
      <c r="BQ127" s="318" t="str">
        <f ca="1">IF(TYPE(VLOOKUP($A127,'5.kolo'!$L$3:$L$66,1,0))&gt;3,IF(TYPE(VLOOKUP($A127,'5.kolo'!$K$3:$L$66,2,0))&gt;3,0,VLOOKUP($A127,'5.kolo'!$K$3:$L$66,2,0)),VLOOKUP($A127,'5.kolo'!$L$3:$O$66,4,0))</f>
        <v/>
      </c>
      <c r="BR127" s="318">
        <f ca="1">IF(TYPE(VLOOKUP($A127,'5.kolo'!$L$3:$L$66,1,0))&gt;3,IF(TYPE(VLOOKUP($A127,'5.kolo'!$O$3:$Q$66,2,0))&gt;3,0,VLOOKUP($A127,'5.kolo'!$O$3:$Q$66,2,0)),VLOOKUP($A127,'5.kolo'!$L$3:$N$66,2,0))</f>
        <v>0</v>
      </c>
      <c r="BS127" s="318">
        <f ca="1">IF(TYPE(VLOOKUP($A127,'5.kolo'!$L$3:$L$66,1,0))&gt;3,IF(TYPE(VLOOKUP($A127,'5.kolo'!$O$3:$Q$66,3,0))&gt;3,0,VLOOKUP($A127,'5.kolo'!$O$3:$Q$66,3,0)),VLOOKUP($A127,'5.kolo'!$L$3:$N$66,3,0))</f>
        <v>0</v>
      </c>
      <c r="BT127" s="318">
        <f t="shared" ca="1" si="57"/>
        <v>0</v>
      </c>
      <c r="BU127" s="397"/>
      <c r="BV127" s="424" t="str">
        <f ca="1">IF(BU127="","",CONCATENATE(TEXT($O127,"0"),IF(Start.listina!$Y$5="","",TEXT(500+$P127,"000")),TEXT(999999*RAND(),"000000")))</f>
        <v/>
      </c>
      <c r="BW127" s="318">
        <f t="shared" ca="1" si="66"/>
        <v>0</v>
      </c>
      <c r="BZ127" s="318" t="str">
        <f ca="1">IF(TYPE(VLOOKUP($A127,'6.kolo'!$L$3:$L$66,1,0))&gt;3,IF(TYPE(VLOOKUP($A127,'6.kolo'!$K$3:$L$66,2,0))&gt;3,0,VLOOKUP($A127,'6.kolo'!$K$3:$L$66,2,0)),VLOOKUP($A127,'6.kolo'!$L$3:$O$66,4,0))</f>
        <v/>
      </c>
      <c r="CA127" s="318">
        <f ca="1">IF(TYPE(VLOOKUP($A127,'6.kolo'!$L$3:$L$66,1,0))&gt;3,IF(TYPE(VLOOKUP($A127,'6.kolo'!$O$3:$Q$66,2,0))&gt;3,0,VLOOKUP($A127,'6.kolo'!$O$3:$Q$66,2,0)),VLOOKUP($A127,'6.kolo'!$L$3:$N$66,2,0))</f>
        <v>0</v>
      </c>
      <c r="CB127" s="318">
        <f ca="1">IF(TYPE(VLOOKUP($A127,'6.kolo'!$L$3:$L$66,1,0))&gt;3,IF(TYPE(VLOOKUP($A127,'6.kolo'!$O$3:$Q$66,3,0))&gt;3,0,VLOOKUP($A127,'6.kolo'!$O$3:$Q$66,3,0)),VLOOKUP($A127,'6.kolo'!$L$3:$N$66,3,0))</f>
        <v>0</v>
      </c>
      <c r="CC127" s="318">
        <f t="shared" ca="1" si="58"/>
        <v>0</v>
      </c>
      <c r="CD127" s="397"/>
      <c r="CE127" s="424" t="str">
        <f ca="1">IF(CD127="","",CONCATENATE(TEXT($O127,"0"),IF(Start.listina!$Y$5="","",TEXT(500+$P127,"000")),TEXT(999999*RAND(),"000000")))</f>
        <v/>
      </c>
      <c r="CF127" s="318">
        <f t="shared" ca="1" si="67"/>
        <v>0</v>
      </c>
    </row>
    <row r="128" spans="1:84" x14ac:dyDescent="0.4">
      <c r="A128" s="318" t="str">
        <f ca="1">IF(OR(Start.listina!H136&gt;Start.listina!$K$7,Start.listina!G136=TRUE),"",Start.listina!H136)</f>
        <v/>
      </c>
      <c r="B128" s="318" t="str">
        <f ca="1">IF($A128&gt;Start.listina!$K$7,"",INT(($A128-1)/Start.listina!$O$7)+1)</f>
        <v/>
      </c>
      <c r="C128" s="421" t="str">
        <f ca="1">IF(OR(Start.listina!H136&gt;Start.listina!$K$7,Start.listina!G136=TRUE)," - ",Start.listina!AL136)</f>
        <v xml:space="preserve"> - </v>
      </c>
      <c r="D128" s="318" t="str">
        <f ca="1">IF(OR(A128&gt;Start.listina!$K$7,TYPE(VLOOKUP(A128,$V$3:$X$130,3,0))&gt;3),"",VLOOKUP(A128,$V$3:$X$130,3,0))</f>
        <v/>
      </c>
      <c r="E128" s="422" t="str">
        <f ca="1">IF(A128&gt;Start.listina!$K$7,"",IF(MIN(F128:K128)&gt;Start.listina!$Y$4,D128,MIN(F128:K128)))</f>
        <v/>
      </c>
      <c r="F128" s="318">
        <f ca="1">IF(TYPE(VLOOKUP(C128,Konečné_pořadí_1_16!$B$2:$D$17,3,0))&lt;4,VLOOKUP(C128,Konečné_pořadí_1_16!$B$2:$D$17,3,0),999)</f>
        <v>999</v>
      </c>
      <c r="G128" s="318">
        <f ca="1">IF(TYPE(VLOOKUP(C128,'KO64'!$D$4:$D$129,1,0))&lt;4,64,999)</f>
        <v>64</v>
      </c>
      <c r="H128" s="318">
        <f ca="1">IF(TYPE(VLOOKUP(C128,'KO32'!$D$4:$D$65,1,0))&lt;4,32,999)</f>
        <v>32</v>
      </c>
      <c r="I128" s="318">
        <f ca="1">IF(TYPE(VLOOKUP(C128,'KO16'!$D$4:$D$33,1,0))&lt;4,16,999)</f>
        <v>999</v>
      </c>
      <c r="J128" s="318">
        <f ca="1">IF(TYPE(VLOOKUP(C128,'KO8'!$D$4:$D$17,1,0))&lt;4,8,999)</f>
        <v>999</v>
      </c>
      <c r="K128" s="318">
        <f ca="1">IF(TYPE(VLOOKUP(C128,'KO4'!$D$4:$D$9,1,0))&lt;4,4,999)</f>
        <v>999</v>
      </c>
      <c r="M128" s="319">
        <v>126</v>
      </c>
      <c r="O128" s="318">
        <f t="shared" ca="1" si="42"/>
        <v>0</v>
      </c>
      <c r="P128" s="318">
        <f t="shared" ca="1" si="43"/>
        <v>0</v>
      </c>
      <c r="Q128" s="318">
        <f t="shared" ca="1" si="60"/>
        <v>2</v>
      </c>
      <c r="R128" s="318">
        <f t="shared" ca="1" si="61"/>
        <v>0</v>
      </c>
      <c r="S128" s="318">
        <f t="shared" ca="1" si="44"/>
        <v>18</v>
      </c>
      <c r="T128" s="318">
        <f t="shared" ca="1" si="45"/>
        <v>0</v>
      </c>
      <c r="U128" s="397">
        <f t="shared" si="59"/>
        <v>126</v>
      </c>
      <c r="V128" s="397" t="s">
        <v>1869</v>
      </c>
      <c r="W128" s="423" t="str">
        <f ca="1">IF($V128="","",CONCATENATE(TEXT($O128,"0"),IF(Start.listina!$Y$5="","",TEXT(500+$P128,"0000")),IF(Start.listina!$Y$6="","",CHOOSE(Start.listina!$Y$7,TEXT($Q128,"00"),CONCATENATE(TEXT($Q128,"00"),TEXT($S128,"000")), TEXT($R128,"00"))),TEXT(500+$P128,"0000"),IF(Start.listina!$Y$8="","",TEXT($T128,"0")),TEXT(999999*RAND(),"000000")))</f>
        <v/>
      </c>
      <c r="X128" s="399">
        <f t="shared" si="46"/>
        <v>126</v>
      </c>
      <c r="Y128" s="397">
        <f t="shared" ca="1" si="62"/>
        <v>0</v>
      </c>
      <c r="Z128" s="318">
        <f t="shared" ca="1" si="47"/>
        <v>57</v>
      </c>
      <c r="AA128" s="318" t="str">
        <f t="shared" ca="1" si="48"/>
        <v/>
      </c>
      <c r="AB128" s="318" t="str">
        <f t="shared" ca="1" si="49"/>
        <v/>
      </c>
      <c r="AC128" s="318" t="str">
        <f t="shared" ca="1" si="50"/>
        <v/>
      </c>
      <c r="AD128" s="318" t="str">
        <f t="shared" ca="1" si="51"/>
        <v/>
      </c>
      <c r="AE128" s="318" t="str">
        <f t="shared" ca="1" si="52"/>
        <v/>
      </c>
      <c r="AG128" s="318">
        <f ca="1">IF(TYPE(VLOOKUP($A128,'1.kolo'!$L$3:$L$66,1,0))&gt;3,VLOOKUP($A128,'1.kolo'!$K$3:$L$66,2,0),VLOOKUP($A128,'1.kolo'!$L$3:$O$66,4,0))</f>
        <v>57</v>
      </c>
      <c r="AH128" s="318">
        <f ca="1">IF(TYPE(VLOOKUP($A128,'1.kolo'!$L$3:$L$66,1,0))&gt;3,VLOOKUP($A128,'1.kolo'!$O$3:$Q$66,2,0),VLOOKUP($A128,'1.kolo'!$L$3:$N$66,2,0))</f>
        <v>0</v>
      </c>
      <c r="AI128" s="318">
        <f ca="1">IF(TYPE(VLOOKUP($A128,'1.kolo'!$L$3:$L$66,1,0))&gt;3,VLOOKUP($A128,'1.kolo'!$O$3:$Q$66,3,0),VLOOKUP($A128,'1.kolo'!$L$3:$N$66,3,0))</f>
        <v>0</v>
      </c>
      <c r="AJ128" s="318">
        <f t="shared" ca="1" si="53"/>
        <v>0</v>
      </c>
      <c r="AK128" s="318">
        <v>126</v>
      </c>
      <c r="AL128" s="424"/>
      <c r="AP128" s="318" t="str">
        <f ca="1">IF(TYPE(VLOOKUP($A128,'2.kolo'!$L$3:$L$66,1,0))&gt;3,IF(TYPE(VLOOKUP($A128,'2.kolo'!$K$3:$L$66,2,0))&gt;3,0,VLOOKUP($A128,'2.kolo'!$K$3:$L$66,2,0)),VLOOKUP($A128,'2.kolo'!$L$3:$O$66,4,0))</f>
        <v/>
      </c>
      <c r="AQ128" s="318">
        <f ca="1">IF(TYPE(VLOOKUP($A128,'2.kolo'!$L$3:$L$66,1,0))&gt;3,IF(TYPE(VLOOKUP($A128,'2.kolo'!$O$3:$Q$66,2,0))&gt;3,0,VLOOKUP($A128,'2.kolo'!$O$3:$Q$66,2,0)),VLOOKUP($A128,'2.kolo'!$L$3:$N$66,2,0))</f>
        <v>0</v>
      </c>
      <c r="AR128" s="318">
        <f ca="1">IF(TYPE(VLOOKUP($A128,'2.kolo'!$L$3:$L$66,1,0))&gt;3,IF(TYPE(VLOOKUP($A128,'2.kolo'!$O$3:$Q$66,3,0))&gt;3,0,VLOOKUP($A128,'2.kolo'!$O$3:$Q$66,3,0)),VLOOKUP($A128,'2.kolo'!$L$3:$N$66,3,0))</f>
        <v>0</v>
      </c>
      <c r="AS128" s="318">
        <f t="shared" ca="1" si="54"/>
        <v>0</v>
      </c>
      <c r="AT128" s="397" t="s">
        <v>1869</v>
      </c>
      <c r="AU128" s="424" t="str">
        <f ca="1">IF(AT128="","",CONCATENATE(TEXT($O128,"0"),IF(Start.listina!$Y$5="","",TEXT(500+$P128,"000")),TEXT(999999*RAND(),"000000")))</f>
        <v/>
      </c>
      <c r="AV128" s="318">
        <f t="shared" ca="1" si="63"/>
        <v>0</v>
      </c>
      <c r="AY128" s="318" t="str">
        <f ca="1">IF(TYPE(VLOOKUP($A128,'3.kolo'!$L$3:$L$66,1,0))&gt;3,IF(TYPE(VLOOKUP($A128,'3.kolo'!$K$3:$L$66,2,0))&gt;3,0,VLOOKUP($A128,'3.kolo'!$K$3:$L$66,2,0)),VLOOKUP($A128,'3.kolo'!$L$3:$O$66,4,0))</f>
        <v/>
      </c>
      <c r="AZ128" s="318">
        <f ca="1">IF(TYPE(VLOOKUP($A128,'3.kolo'!$L$3:$L$66,1,0))&gt;3,IF(TYPE(VLOOKUP($A128,'3.kolo'!$O$3:$Q$66,2,0))&gt;3,0,VLOOKUP($A128,'3.kolo'!$O$3:$Q$66,2,0)),VLOOKUP($A128,'3.kolo'!$L$3:$N$66,2,0))</f>
        <v>0</v>
      </c>
      <c r="BA128" s="318">
        <f ca="1">IF(TYPE(VLOOKUP($A128,'3.kolo'!$L$3:$L$66,1,0))&gt;3,IF(TYPE(VLOOKUP($A128,'3.kolo'!$O$3:$Q$66,3,0))&gt;3,0,VLOOKUP($A128,'3.kolo'!$O$3:$Q$66,3,0)),VLOOKUP($A128,'3.kolo'!$L$3:$N$66,3,0))</f>
        <v>0</v>
      </c>
      <c r="BB128" s="318">
        <f t="shared" ca="1" si="55"/>
        <v>0</v>
      </c>
      <c r="BC128" s="397" t="s">
        <v>1869</v>
      </c>
      <c r="BD128" s="424" t="str">
        <f ca="1">IF(BC128="","",CONCATENATE(TEXT($O128,"0"),IF(Start.listina!$Y$5="","",TEXT(500+$P128,"000")),TEXT(999999*RAND(),"000000")))</f>
        <v/>
      </c>
      <c r="BE128" s="318">
        <f t="shared" ca="1" si="64"/>
        <v>0</v>
      </c>
      <c r="BH128" s="318" t="str">
        <f ca="1">IF(TYPE(VLOOKUP($A128,'4.kolo'!$L$3:$L$66,1,0))&gt;3,IF(TYPE(VLOOKUP($A128,'4.kolo'!$K$3:$L$66,2,0))&gt;3,0,VLOOKUP($A128,'4.kolo'!$K$3:$L$66,2,0)),VLOOKUP($A128,'4.kolo'!$L$3:$O$66,4,0))</f>
        <v/>
      </c>
      <c r="BI128" s="318">
        <f ca="1">IF(TYPE(VLOOKUP($A128,'4.kolo'!$L$3:$L$66,1,0))&gt;3,IF(TYPE(VLOOKUP($A128,'4.kolo'!$O$3:$Q$66,2,0))&gt;3,0,VLOOKUP($A128,'4.kolo'!$O$3:$Q$66,2,0)),VLOOKUP($A128,'4.kolo'!$L$3:$N$66,2,0))</f>
        <v>0</v>
      </c>
      <c r="BJ128" s="318">
        <f ca="1">IF(TYPE(VLOOKUP($A128,'4.kolo'!$L$3:$L$66,1,0))&gt;3,IF(TYPE(VLOOKUP($A128,'4.kolo'!$O$3:$Q$66,3,0))&gt;3,0,VLOOKUP($A128,'4.kolo'!$O$3:$Q$66,3,0)),VLOOKUP($A128,'4.kolo'!$L$3:$N$66,3,0))</f>
        <v>0</v>
      </c>
      <c r="BK128" s="318">
        <f t="shared" ca="1" si="56"/>
        <v>0</v>
      </c>
      <c r="BL128" s="397" t="s">
        <v>1869</v>
      </c>
      <c r="BM128" s="424" t="str">
        <f ca="1">IF(BL128="","",CONCATENATE(TEXT($O128,"0"),IF(Start.listina!$Y$5="","",TEXT(500+$P128,"000")),TEXT(999999*RAND(),"000000")))</f>
        <v/>
      </c>
      <c r="BN128" s="318">
        <f t="shared" ca="1" si="65"/>
        <v>0</v>
      </c>
      <c r="BQ128" s="318" t="str">
        <f ca="1">IF(TYPE(VLOOKUP($A128,'5.kolo'!$L$3:$L$66,1,0))&gt;3,IF(TYPE(VLOOKUP($A128,'5.kolo'!$K$3:$L$66,2,0))&gt;3,0,VLOOKUP($A128,'5.kolo'!$K$3:$L$66,2,0)),VLOOKUP($A128,'5.kolo'!$L$3:$O$66,4,0))</f>
        <v/>
      </c>
      <c r="BR128" s="318">
        <f ca="1">IF(TYPE(VLOOKUP($A128,'5.kolo'!$L$3:$L$66,1,0))&gt;3,IF(TYPE(VLOOKUP($A128,'5.kolo'!$O$3:$Q$66,2,0))&gt;3,0,VLOOKUP($A128,'5.kolo'!$O$3:$Q$66,2,0)),VLOOKUP($A128,'5.kolo'!$L$3:$N$66,2,0))</f>
        <v>0</v>
      </c>
      <c r="BS128" s="318">
        <f ca="1">IF(TYPE(VLOOKUP($A128,'5.kolo'!$L$3:$L$66,1,0))&gt;3,IF(TYPE(VLOOKUP($A128,'5.kolo'!$O$3:$Q$66,3,0))&gt;3,0,VLOOKUP($A128,'5.kolo'!$O$3:$Q$66,3,0)),VLOOKUP($A128,'5.kolo'!$L$3:$N$66,3,0))</f>
        <v>0</v>
      </c>
      <c r="BT128" s="318">
        <f t="shared" ca="1" si="57"/>
        <v>0</v>
      </c>
      <c r="BU128" s="397"/>
      <c r="BV128" s="424" t="str">
        <f ca="1">IF(BU128="","",CONCATENATE(TEXT($O128,"0"),IF(Start.listina!$Y$5="","",TEXT(500+$P128,"000")),TEXT(999999*RAND(),"000000")))</f>
        <v/>
      </c>
      <c r="BW128" s="318">
        <f t="shared" ca="1" si="66"/>
        <v>0</v>
      </c>
      <c r="BZ128" s="318" t="str">
        <f ca="1">IF(TYPE(VLOOKUP($A128,'6.kolo'!$L$3:$L$66,1,0))&gt;3,IF(TYPE(VLOOKUP($A128,'6.kolo'!$K$3:$L$66,2,0))&gt;3,0,VLOOKUP($A128,'6.kolo'!$K$3:$L$66,2,0)),VLOOKUP($A128,'6.kolo'!$L$3:$O$66,4,0))</f>
        <v/>
      </c>
      <c r="CA128" s="318">
        <f ca="1">IF(TYPE(VLOOKUP($A128,'6.kolo'!$L$3:$L$66,1,0))&gt;3,IF(TYPE(VLOOKUP($A128,'6.kolo'!$O$3:$Q$66,2,0))&gt;3,0,VLOOKUP($A128,'6.kolo'!$O$3:$Q$66,2,0)),VLOOKUP($A128,'6.kolo'!$L$3:$N$66,2,0))</f>
        <v>0</v>
      </c>
      <c r="CB128" s="318">
        <f ca="1">IF(TYPE(VLOOKUP($A128,'6.kolo'!$L$3:$L$66,1,0))&gt;3,IF(TYPE(VLOOKUP($A128,'6.kolo'!$O$3:$Q$66,3,0))&gt;3,0,VLOOKUP($A128,'6.kolo'!$O$3:$Q$66,3,0)),VLOOKUP($A128,'6.kolo'!$L$3:$N$66,3,0))</f>
        <v>0</v>
      </c>
      <c r="CC128" s="318">
        <f t="shared" ca="1" si="58"/>
        <v>0</v>
      </c>
      <c r="CD128" s="397"/>
      <c r="CE128" s="424" t="str">
        <f ca="1">IF(CD128="","",CONCATENATE(TEXT($O128,"0"),IF(Start.listina!$Y$5="","",TEXT(500+$P128,"000")),TEXT(999999*RAND(),"000000")))</f>
        <v/>
      </c>
      <c r="CF128" s="318">
        <f t="shared" ca="1" si="67"/>
        <v>0</v>
      </c>
    </row>
    <row r="129" spans="1:84" x14ac:dyDescent="0.4">
      <c r="A129" s="318" t="str">
        <f ca="1">IF(OR(Start.listina!H137&gt;Start.listina!$K$7,Start.listina!G137=TRUE),"",Start.listina!H137)</f>
        <v/>
      </c>
      <c r="B129" s="318" t="str">
        <f ca="1">IF($A129&gt;Start.listina!$K$7,"",INT(($A129-1)/Start.listina!$O$7)+1)</f>
        <v/>
      </c>
      <c r="C129" s="421" t="str">
        <f ca="1">IF(OR(Start.listina!H137&gt;Start.listina!$K$7,Start.listina!G137=TRUE)," - ",Start.listina!AL137)</f>
        <v xml:space="preserve"> - </v>
      </c>
      <c r="D129" s="318" t="str">
        <f ca="1">IF(OR(A129&gt;Start.listina!$K$7,TYPE(VLOOKUP(A129,$V$3:$X$130,3,0))&gt;3),"",VLOOKUP(A129,$V$3:$X$130,3,0))</f>
        <v/>
      </c>
      <c r="E129" s="422" t="str">
        <f ca="1">IF(A129&gt;Start.listina!$K$7,"",IF(MIN(F129:K129)&gt;Start.listina!$Y$4,D129,MIN(F129:K129)))</f>
        <v/>
      </c>
      <c r="F129" s="318">
        <f ca="1">IF(TYPE(VLOOKUP(C129,Konečné_pořadí_1_16!$B$2:$D$17,3,0))&lt;4,VLOOKUP(C129,Konečné_pořadí_1_16!$B$2:$D$17,3,0),999)</f>
        <v>999</v>
      </c>
      <c r="G129" s="318">
        <f ca="1">IF(TYPE(VLOOKUP(C129,'KO64'!$D$4:$D$129,1,0))&lt;4,64,999)</f>
        <v>64</v>
      </c>
      <c r="H129" s="318">
        <f ca="1">IF(TYPE(VLOOKUP(C129,'KO32'!$D$4:$D$65,1,0))&lt;4,32,999)</f>
        <v>32</v>
      </c>
      <c r="I129" s="318">
        <f ca="1">IF(TYPE(VLOOKUP(C129,'KO16'!$D$4:$D$33,1,0))&lt;4,16,999)</f>
        <v>999</v>
      </c>
      <c r="J129" s="318">
        <f ca="1">IF(TYPE(VLOOKUP(C129,'KO8'!$D$4:$D$17,1,0))&lt;4,8,999)</f>
        <v>999</v>
      </c>
      <c r="K129" s="318">
        <f ca="1">IF(TYPE(VLOOKUP(C129,'KO4'!$D$4:$D$9,1,0))&lt;4,4,999)</f>
        <v>999</v>
      </c>
      <c r="M129" s="319">
        <v>127</v>
      </c>
      <c r="O129" s="318">
        <f t="shared" ca="1" si="42"/>
        <v>0</v>
      </c>
      <c r="P129" s="318">
        <f t="shared" ca="1" si="43"/>
        <v>0</v>
      </c>
      <c r="Q129" s="318">
        <f t="shared" ca="1" si="60"/>
        <v>2</v>
      </c>
      <c r="R129" s="318">
        <f t="shared" ca="1" si="61"/>
        <v>0</v>
      </c>
      <c r="S129" s="318">
        <f t="shared" ca="1" si="44"/>
        <v>18</v>
      </c>
      <c r="T129" s="318">
        <f t="shared" ca="1" si="45"/>
        <v>0</v>
      </c>
      <c r="U129" s="397">
        <f t="shared" si="59"/>
        <v>127</v>
      </c>
      <c r="V129" s="397" t="s">
        <v>1869</v>
      </c>
      <c r="W129" s="423" t="str">
        <f ca="1">IF($V129="","",CONCATENATE(TEXT($O129,"0"),IF(Start.listina!$Y$5="","",TEXT(500+$P129,"0000")),IF(Start.listina!$Y$6="","",CHOOSE(Start.listina!$Y$7,TEXT($Q129,"00"),CONCATENATE(TEXT($Q129,"00"),TEXT($S129,"000")), TEXT($R129,"00"))),TEXT(500+$P129,"0000"),IF(Start.listina!$Y$8="","",TEXT($T129,"0")),TEXT(999999*RAND(),"000000")))</f>
        <v/>
      </c>
      <c r="X129" s="399">
        <f t="shared" si="46"/>
        <v>127</v>
      </c>
      <c r="Y129" s="397">
        <f t="shared" ca="1" si="62"/>
        <v>0</v>
      </c>
      <c r="Z129" s="318">
        <f t="shared" ca="1" si="47"/>
        <v>57</v>
      </c>
      <c r="AA129" s="318" t="str">
        <f t="shared" ca="1" si="48"/>
        <v/>
      </c>
      <c r="AB129" s="318" t="str">
        <f t="shared" ca="1" si="49"/>
        <v/>
      </c>
      <c r="AC129" s="318" t="str">
        <f t="shared" ca="1" si="50"/>
        <v/>
      </c>
      <c r="AD129" s="318" t="str">
        <f t="shared" ca="1" si="51"/>
        <v/>
      </c>
      <c r="AE129" s="318" t="str">
        <f t="shared" ca="1" si="52"/>
        <v/>
      </c>
      <c r="AG129" s="318">
        <f ca="1">IF(TYPE(VLOOKUP($A129,'1.kolo'!$L$3:$L$66,1,0))&gt;3,VLOOKUP($A129,'1.kolo'!$K$3:$L$66,2,0),VLOOKUP($A129,'1.kolo'!$L$3:$O$66,4,0))</f>
        <v>57</v>
      </c>
      <c r="AH129" s="318">
        <f ca="1">IF(TYPE(VLOOKUP($A129,'1.kolo'!$L$3:$L$66,1,0))&gt;3,VLOOKUP($A129,'1.kolo'!$O$3:$Q$66,2,0),VLOOKUP($A129,'1.kolo'!$L$3:$N$66,2,0))</f>
        <v>0</v>
      </c>
      <c r="AI129" s="318">
        <f ca="1">IF(TYPE(VLOOKUP($A129,'1.kolo'!$L$3:$L$66,1,0))&gt;3,VLOOKUP($A129,'1.kolo'!$O$3:$Q$66,3,0),VLOOKUP($A129,'1.kolo'!$L$3:$N$66,3,0))</f>
        <v>0</v>
      </c>
      <c r="AJ129" s="318">
        <f t="shared" ca="1" si="53"/>
        <v>0</v>
      </c>
      <c r="AK129" s="318">
        <v>127</v>
      </c>
      <c r="AL129" s="424"/>
      <c r="AP129" s="318" t="str">
        <f ca="1">IF(TYPE(VLOOKUP($A129,'2.kolo'!$L$3:$L$66,1,0))&gt;3,IF(TYPE(VLOOKUP($A129,'2.kolo'!$K$3:$L$66,2,0))&gt;3,0,VLOOKUP($A129,'2.kolo'!$K$3:$L$66,2,0)),VLOOKUP($A129,'2.kolo'!$L$3:$O$66,4,0))</f>
        <v/>
      </c>
      <c r="AQ129" s="318">
        <f ca="1">IF(TYPE(VLOOKUP($A129,'2.kolo'!$L$3:$L$66,1,0))&gt;3,IF(TYPE(VLOOKUP($A129,'2.kolo'!$O$3:$Q$66,2,0))&gt;3,0,VLOOKUP($A129,'2.kolo'!$O$3:$Q$66,2,0)),VLOOKUP($A129,'2.kolo'!$L$3:$N$66,2,0))</f>
        <v>0</v>
      </c>
      <c r="AR129" s="318">
        <f ca="1">IF(TYPE(VLOOKUP($A129,'2.kolo'!$L$3:$L$66,1,0))&gt;3,IF(TYPE(VLOOKUP($A129,'2.kolo'!$O$3:$Q$66,3,0))&gt;3,0,VLOOKUP($A129,'2.kolo'!$O$3:$Q$66,3,0)),VLOOKUP($A129,'2.kolo'!$L$3:$N$66,3,0))</f>
        <v>0</v>
      </c>
      <c r="AS129" s="318">
        <f t="shared" ca="1" si="54"/>
        <v>0</v>
      </c>
      <c r="AT129" s="397" t="s">
        <v>1869</v>
      </c>
      <c r="AU129" s="424" t="str">
        <f ca="1">IF(AT129="","",CONCATENATE(TEXT($O129,"0"),IF(Start.listina!$Y$5="","",TEXT(500+$P129,"000")),TEXT(999999*RAND(),"000000")))</f>
        <v/>
      </c>
      <c r="AV129" s="318">
        <f t="shared" ca="1" si="63"/>
        <v>0</v>
      </c>
      <c r="AY129" s="318" t="str">
        <f ca="1">IF(TYPE(VLOOKUP($A129,'3.kolo'!$L$3:$L$66,1,0))&gt;3,IF(TYPE(VLOOKUP($A129,'3.kolo'!$K$3:$L$66,2,0))&gt;3,0,VLOOKUP($A129,'3.kolo'!$K$3:$L$66,2,0)),VLOOKUP($A129,'3.kolo'!$L$3:$O$66,4,0))</f>
        <v/>
      </c>
      <c r="AZ129" s="318">
        <f ca="1">IF(TYPE(VLOOKUP($A129,'3.kolo'!$L$3:$L$66,1,0))&gt;3,IF(TYPE(VLOOKUP($A129,'3.kolo'!$O$3:$Q$66,2,0))&gt;3,0,VLOOKUP($A129,'3.kolo'!$O$3:$Q$66,2,0)),VLOOKUP($A129,'3.kolo'!$L$3:$N$66,2,0))</f>
        <v>0</v>
      </c>
      <c r="BA129" s="318">
        <f ca="1">IF(TYPE(VLOOKUP($A129,'3.kolo'!$L$3:$L$66,1,0))&gt;3,IF(TYPE(VLOOKUP($A129,'3.kolo'!$O$3:$Q$66,3,0))&gt;3,0,VLOOKUP($A129,'3.kolo'!$O$3:$Q$66,3,0)),VLOOKUP($A129,'3.kolo'!$L$3:$N$66,3,0))</f>
        <v>0</v>
      </c>
      <c r="BB129" s="318">
        <f t="shared" ca="1" si="55"/>
        <v>0</v>
      </c>
      <c r="BC129" s="397" t="s">
        <v>1869</v>
      </c>
      <c r="BD129" s="424" t="str">
        <f ca="1">IF(BC129="","",CONCATENATE(TEXT($O129,"0"),IF(Start.listina!$Y$5="","",TEXT(500+$P129,"000")),TEXT(999999*RAND(),"000000")))</f>
        <v/>
      </c>
      <c r="BE129" s="318">
        <f t="shared" ca="1" si="64"/>
        <v>0</v>
      </c>
      <c r="BH129" s="318" t="str">
        <f ca="1">IF(TYPE(VLOOKUP($A129,'4.kolo'!$L$3:$L$66,1,0))&gt;3,IF(TYPE(VLOOKUP($A129,'4.kolo'!$K$3:$L$66,2,0))&gt;3,0,VLOOKUP($A129,'4.kolo'!$K$3:$L$66,2,0)),VLOOKUP($A129,'4.kolo'!$L$3:$O$66,4,0))</f>
        <v/>
      </c>
      <c r="BI129" s="318">
        <f ca="1">IF(TYPE(VLOOKUP($A129,'4.kolo'!$L$3:$L$66,1,0))&gt;3,IF(TYPE(VLOOKUP($A129,'4.kolo'!$O$3:$Q$66,2,0))&gt;3,0,VLOOKUP($A129,'4.kolo'!$O$3:$Q$66,2,0)),VLOOKUP($A129,'4.kolo'!$L$3:$N$66,2,0))</f>
        <v>0</v>
      </c>
      <c r="BJ129" s="318">
        <f ca="1">IF(TYPE(VLOOKUP($A129,'4.kolo'!$L$3:$L$66,1,0))&gt;3,IF(TYPE(VLOOKUP($A129,'4.kolo'!$O$3:$Q$66,3,0))&gt;3,0,VLOOKUP($A129,'4.kolo'!$O$3:$Q$66,3,0)),VLOOKUP($A129,'4.kolo'!$L$3:$N$66,3,0))</f>
        <v>0</v>
      </c>
      <c r="BK129" s="318">
        <f t="shared" ca="1" si="56"/>
        <v>0</v>
      </c>
      <c r="BL129" s="397" t="s">
        <v>1869</v>
      </c>
      <c r="BM129" s="424" t="str">
        <f ca="1">IF(BL129="","",CONCATENATE(TEXT($O129,"0"),IF(Start.listina!$Y$5="","",TEXT(500+$P129,"000")),TEXT(999999*RAND(),"000000")))</f>
        <v/>
      </c>
      <c r="BN129" s="318">
        <f t="shared" ca="1" si="65"/>
        <v>0</v>
      </c>
      <c r="BQ129" s="318" t="str">
        <f ca="1">IF(TYPE(VLOOKUP($A129,'5.kolo'!$L$3:$L$66,1,0))&gt;3,IF(TYPE(VLOOKUP($A129,'5.kolo'!$K$3:$L$66,2,0))&gt;3,0,VLOOKUP($A129,'5.kolo'!$K$3:$L$66,2,0)),VLOOKUP($A129,'5.kolo'!$L$3:$O$66,4,0))</f>
        <v/>
      </c>
      <c r="BR129" s="318">
        <f ca="1">IF(TYPE(VLOOKUP($A129,'5.kolo'!$L$3:$L$66,1,0))&gt;3,IF(TYPE(VLOOKUP($A129,'5.kolo'!$O$3:$Q$66,2,0))&gt;3,0,VLOOKUP($A129,'5.kolo'!$O$3:$Q$66,2,0)),VLOOKUP($A129,'5.kolo'!$L$3:$N$66,2,0))</f>
        <v>0</v>
      </c>
      <c r="BS129" s="318">
        <f ca="1">IF(TYPE(VLOOKUP($A129,'5.kolo'!$L$3:$L$66,1,0))&gt;3,IF(TYPE(VLOOKUP($A129,'5.kolo'!$O$3:$Q$66,3,0))&gt;3,0,VLOOKUP($A129,'5.kolo'!$O$3:$Q$66,3,0)),VLOOKUP($A129,'5.kolo'!$L$3:$N$66,3,0))</f>
        <v>0</v>
      </c>
      <c r="BT129" s="318">
        <f t="shared" ca="1" si="57"/>
        <v>0</v>
      </c>
      <c r="BU129" s="397"/>
      <c r="BV129" s="424" t="str">
        <f ca="1">IF(BU129="","",CONCATENATE(TEXT($O129,"0"),IF(Start.listina!$Y$5="","",TEXT(500+$P129,"000")),TEXT(999999*RAND(),"000000")))</f>
        <v/>
      </c>
      <c r="BW129" s="318">
        <f t="shared" ca="1" si="66"/>
        <v>0</v>
      </c>
      <c r="BZ129" s="318" t="str">
        <f ca="1">IF(TYPE(VLOOKUP($A129,'6.kolo'!$L$3:$L$66,1,0))&gt;3,IF(TYPE(VLOOKUP($A129,'6.kolo'!$K$3:$L$66,2,0))&gt;3,0,VLOOKUP($A129,'6.kolo'!$K$3:$L$66,2,0)),VLOOKUP($A129,'6.kolo'!$L$3:$O$66,4,0))</f>
        <v/>
      </c>
      <c r="CA129" s="318">
        <f ca="1">IF(TYPE(VLOOKUP($A129,'6.kolo'!$L$3:$L$66,1,0))&gt;3,IF(TYPE(VLOOKUP($A129,'6.kolo'!$O$3:$Q$66,2,0))&gt;3,0,VLOOKUP($A129,'6.kolo'!$O$3:$Q$66,2,0)),VLOOKUP($A129,'6.kolo'!$L$3:$N$66,2,0))</f>
        <v>0</v>
      </c>
      <c r="CB129" s="318">
        <f ca="1">IF(TYPE(VLOOKUP($A129,'6.kolo'!$L$3:$L$66,1,0))&gt;3,IF(TYPE(VLOOKUP($A129,'6.kolo'!$O$3:$Q$66,3,0))&gt;3,0,VLOOKUP($A129,'6.kolo'!$O$3:$Q$66,3,0)),VLOOKUP($A129,'6.kolo'!$L$3:$N$66,3,0))</f>
        <v>0</v>
      </c>
      <c r="CC129" s="318">
        <f t="shared" ca="1" si="58"/>
        <v>0</v>
      </c>
      <c r="CD129" s="397"/>
      <c r="CE129" s="424" t="str">
        <f ca="1">IF(CD129="","",CONCATENATE(TEXT($O129,"0"),IF(Start.listina!$Y$5="","",TEXT(500+$P129,"000")),TEXT(999999*RAND(),"000000")))</f>
        <v/>
      </c>
      <c r="CF129" s="318">
        <f t="shared" ca="1" si="67"/>
        <v>0</v>
      </c>
    </row>
    <row r="130" spans="1:84" x14ac:dyDescent="0.4">
      <c r="A130" s="318" t="str">
        <f ca="1">IF(OR(Start.listina!H138&gt;Start.listina!$K$7,Start.listina!G138=TRUE),"",Start.listina!H138)</f>
        <v/>
      </c>
      <c r="B130" s="318" t="str">
        <f ca="1">IF($A130&gt;Start.listina!$K$7,"",INT(($A130-1)/Start.listina!$O$7)+1)</f>
        <v/>
      </c>
      <c r="C130" s="421" t="str">
        <f ca="1">IF(OR(Start.listina!H138&gt;Start.listina!$K$7,Start.listina!G138=TRUE)," - ",Start.listina!AL138)</f>
        <v xml:space="preserve"> - </v>
      </c>
      <c r="D130" s="318" t="str">
        <f ca="1">IF(OR(A130&gt;Start.listina!$K$7,TYPE(VLOOKUP(A130,$V$3:$X$130,3,0))&gt;3),"",VLOOKUP(A130,$V$3:$X$130,3,0))</f>
        <v/>
      </c>
      <c r="E130" s="422" t="str">
        <f ca="1">IF(A130&gt;Start.listina!$K$7,"",IF(MIN(F130:K130)&gt;Start.listina!$Y$4,D130,MIN(F130:K130)))</f>
        <v/>
      </c>
      <c r="F130" s="318">
        <f ca="1">IF(TYPE(VLOOKUP(C130,Konečné_pořadí_1_16!$B$2:$D$17,3,0))&lt;4,VLOOKUP(C130,Konečné_pořadí_1_16!$B$2:$D$17,3,0),999)</f>
        <v>999</v>
      </c>
      <c r="G130" s="318">
        <f ca="1">IF(TYPE(VLOOKUP(C130,'KO64'!$D$4:$D$129,1,0))&lt;4,64,999)</f>
        <v>64</v>
      </c>
      <c r="H130" s="318">
        <f ca="1">IF(TYPE(VLOOKUP(C130,'KO32'!$D$4:$D$65,1,0))&lt;4,32,999)</f>
        <v>32</v>
      </c>
      <c r="I130" s="318">
        <f ca="1">IF(TYPE(VLOOKUP(C130,'KO16'!$D$4:$D$33,1,0))&lt;4,16,999)</f>
        <v>999</v>
      </c>
      <c r="J130" s="318">
        <f ca="1">IF(TYPE(VLOOKUP(C130,'KO8'!$D$4:$D$17,1,0))&lt;4,8,999)</f>
        <v>999</v>
      </c>
      <c r="K130" s="318">
        <f ca="1">IF(TYPE(VLOOKUP(C130,'KO4'!$D$4:$D$9,1,0))&lt;4,4,999)</f>
        <v>999</v>
      </c>
      <c r="M130" s="319">
        <v>128</v>
      </c>
      <c r="O130" s="318">
        <f t="shared" ca="1" si="42"/>
        <v>0</v>
      </c>
      <c r="P130" s="318">
        <f t="shared" ca="1" si="43"/>
        <v>0</v>
      </c>
      <c r="Q130" s="318">
        <f t="shared" ca="1" si="60"/>
        <v>2</v>
      </c>
      <c r="R130" s="318">
        <f t="shared" ca="1" si="61"/>
        <v>0</v>
      </c>
      <c r="S130" s="318">
        <f t="shared" ca="1" si="44"/>
        <v>18</v>
      </c>
      <c r="T130" s="318">
        <f t="shared" ca="1" si="45"/>
        <v>0</v>
      </c>
      <c r="U130" s="397">
        <f t="shared" si="59"/>
        <v>128</v>
      </c>
      <c r="V130" s="397" t="s">
        <v>1869</v>
      </c>
      <c r="W130" s="423" t="str">
        <f ca="1">IF($V130="","",CONCATENATE(TEXT($O130,"0"),IF(Start.listina!$Y$5="","",TEXT(500+$P130,"0000")),IF(Start.listina!$Y$6="","",CHOOSE(Start.listina!$Y$7,TEXT($Q130,"00"),CONCATENATE(TEXT($Q130,"00"),TEXT($S130,"000")), TEXT($R130,"00"))),TEXT(500+$P130,"0000"),IF(Start.listina!$Y$8="","",TEXT($T130,"0")),TEXT(999999*RAND(),"000000")))</f>
        <v/>
      </c>
      <c r="X130" s="399">
        <f t="shared" si="46"/>
        <v>128</v>
      </c>
      <c r="Y130" s="397">
        <f t="shared" ca="1" si="62"/>
        <v>0</v>
      </c>
      <c r="Z130" s="318">
        <f t="shared" ca="1" si="47"/>
        <v>57</v>
      </c>
      <c r="AA130" s="318" t="str">
        <f t="shared" ca="1" si="48"/>
        <v/>
      </c>
      <c r="AB130" s="318" t="str">
        <f t="shared" ca="1" si="49"/>
        <v/>
      </c>
      <c r="AC130" s="318" t="str">
        <f t="shared" ca="1" si="50"/>
        <v/>
      </c>
      <c r="AD130" s="318" t="str">
        <f t="shared" ca="1" si="51"/>
        <v/>
      </c>
      <c r="AE130" s="318" t="str">
        <f t="shared" ca="1" si="52"/>
        <v/>
      </c>
      <c r="AG130" s="318">
        <f ca="1">IF(TYPE(VLOOKUP($A130,'1.kolo'!$L$3:$L$66,1,0))&gt;3,VLOOKUP($A130,'1.kolo'!$K$3:$L$66,2,0),VLOOKUP($A130,'1.kolo'!$L$3:$O$66,4,0))</f>
        <v>57</v>
      </c>
      <c r="AH130" s="318">
        <f ca="1">IF(TYPE(VLOOKUP($A130,'1.kolo'!$L$3:$L$66,1,0))&gt;3,VLOOKUP($A130,'1.kolo'!$O$3:$Q$66,2,0),VLOOKUP($A130,'1.kolo'!$L$3:$N$66,2,0))</f>
        <v>0</v>
      </c>
      <c r="AI130" s="318">
        <f ca="1">IF(TYPE(VLOOKUP($A130,'1.kolo'!$L$3:$L$66,1,0))&gt;3,VLOOKUP($A130,'1.kolo'!$O$3:$Q$66,3,0),VLOOKUP($A130,'1.kolo'!$L$3:$N$66,3,0))</f>
        <v>0</v>
      </c>
      <c r="AJ130" s="318">
        <f t="shared" ca="1" si="53"/>
        <v>0</v>
      </c>
      <c r="AK130" s="318">
        <v>128</v>
      </c>
      <c r="AL130" s="424"/>
      <c r="AP130" s="318" t="str">
        <f ca="1">IF(TYPE(VLOOKUP($A130,'2.kolo'!$L$3:$L$66,1,0))&gt;3,IF(TYPE(VLOOKUP($A130,'2.kolo'!$K$3:$L$66,2,0))&gt;3,0,VLOOKUP($A130,'2.kolo'!$K$3:$L$66,2,0)),VLOOKUP($A130,'2.kolo'!$L$3:$O$66,4,0))</f>
        <v/>
      </c>
      <c r="AQ130" s="318">
        <f ca="1">IF(TYPE(VLOOKUP($A130,'2.kolo'!$L$3:$L$66,1,0))&gt;3,IF(TYPE(VLOOKUP($A130,'2.kolo'!$O$3:$Q$66,2,0))&gt;3,0,VLOOKUP($A130,'2.kolo'!$O$3:$Q$66,2,0)),VLOOKUP($A130,'2.kolo'!$L$3:$N$66,2,0))</f>
        <v>0</v>
      </c>
      <c r="AR130" s="318">
        <f ca="1">IF(TYPE(VLOOKUP($A130,'2.kolo'!$L$3:$L$66,1,0))&gt;3,IF(TYPE(VLOOKUP($A130,'2.kolo'!$O$3:$Q$66,3,0))&gt;3,0,VLOOKUP($A130,'2.kolo'!$O$3:$Q$66,3,0)),VLOOKUP($A130,'2.kolo'!$L$3:$N$66,3,0))</f>
        <v>0</v>
      </c>
      <c r="AS130" s="318">
        <f t="shared" ca="1" si="54"/>
        <v>0</v>
      </c>
      <c r="AT130" s="397" t="s">
        <v>1869</v>
      </c>
      <c r="AU130" s="424" t="str">
        <f ca="1">IF(AT130="","",CONCATENATE(TEXT($O130,"0"),IF(Start.listina!$Y$5="","",TEXT(500+$P130,"000")),TEXT(999999*RAND(),"000000")))</f>
        <v/>
      </c>
      <c r="AV130" s="318">
        <f t="shared" ca="1" si="63"/>
        <v>0</v>
      </c>
      <c r="AY130" s="318" t="str">
        <f ca="1">IF(TYPE(VLOOKUP($A130,'3.kolo'!$L$3:$L$66,1,0))&gt;3,IF(TYPE(VLOOKUP($A130,'3.kolo'!$K$3:$L$66,2,0))&gt;3,0,VLOOKUP($A130,'3.kolo'!$K$3:$L$66,2,0)),VLOOKUP($A130,'3.kolo'!$L$3:$O$66,4,0))</f>
        <v/>
      </c>
      <c r="AZ130" s="318">
        <f ca="1">IF(TYPE(VLOOKUP($A130,'3.kolo'!$L$3:$L$66,1,0))&gt;3,IF(TYPE(VLOOKUP($A130,'3.kolo'!$O$3:$Q$66,2,0))&gt;3,0,VLOOKUP($A130,'3.kolo'!$O$3:$Q$66,2,0)),VLOOKUP($A130,'3.kolo'!$L$3:$N$66,2,0))</f>
        <v>0</v>
      </c>
      <c r="BA130" s="318">
        <f ca="1">IF(TYPE(VLOOKUP($A130,'3.kolo'!$L$3:$L$66,1,0))&gt;3,IF(TYPE(VLOOKUP($A130,'3.kolo'!$O$3:$Q$66,3,0))&gt;3,0,VLOOKUP($A130,'3.kolo'!$O$3:$Q$66,3,0)),VLOOKUP($A130,'3.kolo'!$L$3:$N$66,3,0))</f>
        <v>0</v>
      </c>
      <c r="BB130" s="318">
        <f t="shared" ca="1" si="55"/>
        <v>0</v>
      </c>
      <c r="BC130" s="397" t="s">
        <v>1869</v>
      </c>
      <c r="BD130" s="424" t="str">
        <f ca="1">IF(BC130="","",CONCATENATE(TEXT($O130,"0"),IF(Start.listina!$Y$5="","",TEXT(500+$P130,"000")),TEXT(999999*RAND(),"000000")))</f>
        <v/>
      </c>
      <c r="BE130" s="318">
        <f t="shared" ca="1" si="64"/>
        <v>0</v>
      </c>
      <c r="BH130" s="318" t="str">
        <f ca="1">IF(TYPE(VLOOKUP($A130,'4.kolo'!$L$3:$L$66,1,0))&gt;3,IF(TYPE(VLOOKUP($A130,'4.kolo'!$K$3:$L$66,2,0))&gt;3,0,VLOOKUP($A130,'4.kolo'!$K$3:$L$66,2,0)),VLOOKUP($A130,'4.kolo'!$L$3:$O$66,4,0))</f>
        <v/>
      </c>
      <c r="BI130" s="318">
        <f ca="1">IF(TYPE(VLOOKUP($A130,'4.kolo'!$L$3:$L$66,1,0))&gt;3,IF(TYPE(VLOOKUP($A130,'4.kolo'!$O$3:$Q$66,2,0))&gt;3,0,VLOOKUP($A130,'4.kolo'!$O$3:$Q$66,2,0)),VLOOKUP($A130,'4.kolo'!$L$3:$N$66,2,0))</f>
        <v>0</v>
      </c>
      <c r="BJ130" s="318">
        <f ca="1">IF(TYPE(VLOOKUP($A130,'4.kolo'!$L$3:$L$66,1,0))&gt;3,IF(TYPE(VLOOKUP($A130,'4.kolo'!$O$3:$Q$66,3,0))&gt;3,0,VLOOKUP($A130,'4.kolo'!$O$3:$Q$66,3,0)),VLOOKUP($A130,'4.kolo'!$L$3:$N$66,3,0))</f>
        <v>0</v>
      </c>
      <c r="BK130" s="318">
        <f t="shared" ca="1" si="56"/>
        <v>0</v>
      </c>
      <c r="BL130" s="397" t="s">
        <v>1869</v>
      </c>
      <c r="BM130" s="424" t="str">
        <f ca="1">IF(BL130="","",CONCATENATE(TEXT($O130,"0"),IF(Start.listina!$Y$5="","",TEXT(500+$P130,"000")),TEXT(999999*RAND(),"000000")))</f>
        <v/>
      </c>
      <c r="BN130" s="318">
        <f t="shared" ca="1" si="65"/>
        <v>0</v>
      </c>
      <c r="BQ130" s="318" t="str">
        <f ca="1">IF(TYPE(VLOOKUP($A130,'5.kolo'!$L$3:$L$66,1,0))&gt;3,IF(TYPE(VLOOKUP($A130,'5.kolo'!$K$3:$L$66,2,0))&gt;3,0,VLOOKUP($A130,'5.kolo'!$K$3:$L$66,2,0)),VLOOKUP($A130,'5.kolo'!$L$3:$O$66,4,0))</f>
        <v/>
      </c>
      <c r="BR130" s="318">
        <f ca="1">IF(TYPE(VLOOKUP($A130,'5.kolo'!$L$3:$L$66,1,0))&gt;3,IF(TYPE(VLOOKUP($A130,'5.kolo'!$O$3:$Q$66,2,0))&gt;3,0,VLOOKUP($A130,'5.kolo'!$O$3:$Q$66,2,0)),VLOOKUP($A130,'5.kolo'!$L$3:$N$66,2,0))</f>
        <v>0</v>
      </c>
      <c r="BS130" s="318">
        <f ca="1">IF(TYPE(VLOOKUP($A130,'5.kolo'!$L$3:$L$66,1,0))&gt;3,IF(TYPE(VLOOKUP($A130,'5.kolo'!$O$3:$Q$66,3,0))&gt;3,0,VLOOKUP($A130,'5.kolo'!$O$3:$Q$66,3,0)),VLOOKUP($A130,'5.kolo'!$L$3:$N$66,3,0))</f>
        <v>0</v>
      </c>
      <c r="BT130" s="318">
        <f t="shared" ca="1" si="57"/>
        <v>0</v>
      </c>
      <c r="BU130" s="397"/>
      <c r="BV130" s="424" t="str">
        <f ca="1">IF(BU130="","",CONCATENATE(TEXT($O130,"0"),IF(Start.listina!$Y$5="","",TEXT(500+$P130,"000")),TEXT(999999*RAND(),"000000")))</f>
        <v/>
      </c>
      <c r="BW130" s="318">
        <f t="shared" ca="1" si="66"/>
        <v>0</v>
      </c>
      <c r="BZ130" s="318" t="str">
        <f ca="1">IF(TYPE(VLOOKUP($A130,'6.kolo'!$L$3:$L$66,1,0))&gt;3,IF(TYPE(VLOOKUP($A130,'6.kolo'!$K$3:$L$66,2,0))&gt;3,0,VLOOKUP($A130,'6.kolo'!$K$3:$L$66,2,0)),VLOOKUP($A130,'6.kolo'!$L$3:$O$66,4,0))</f>
        <v/>
      </c>
      <c r="CA130" s="318">
        <f ca="1">IF(TYPE(VLOOKUP($A130,'6.kolo'!$L$3:$L$66,1,0))&gt;3,IF(TYPE(VLOOKUP($A130,'6.kolo'!$O$3:$Q$66,2,0))&gt;3,0,VLOOKUP($A130,'6.kolo'!$O$3:$Q$66,2,0)),VLOOKUP($A130,'6.kolo'!$L$3:$N$66,2,0))</f>
        <v>0</v>
      </c>
      <c r="CB130" s="318">
        <f ca="1">IF(TYPE(VLOOKUP($A130,'6.kolo'!$L$3:$L$66,1,0))&gt;3,IF(TYPE(VLOOKUP($A130,'6.kolo'!$O$3:$Q$66,3,0))&gt;3,0,VLOOKUP($A130,'6.kolo'!$O$3:$Q$66,3,0)),VLOOKUP($A130,'6.kolo'!$L$3:$N$66,3,0))</f>
        <v>0</v>
      </c>
      <c r="CC130" s="318">
        <f t="shared" ca="1" si="58"/>
        <v>0</v>
      </c>
      <c r="CD130" s="397"/>
      <c r="CE130" s="424" t="str">
        <f ca="1">IF(CD130="","",CONCATENATE(TEXT($O130,"0"),IF(Start.listina!$Y$5="","",TEXT(500+$P130,"000")),TEXT(999999*RAND(),"000000")))</f>
        <v/>
      </c>
      <c r="CF130" s="318">
        <f t="shared" ca="1" si="67"/>
        <v>0</v>
      </c>
    </row>
    <row r="131" spans="1:84" x14ac:dyDescent="0.4">
      <c r="A131" s="318">
        <v>0</v>
      </c>
      <c r="V131" s="318">
        <v>0</v>
      </c>
      <c r="Y131" s="318">
        <v>0</v>
      </c>
      <c r="AH131" s="318">
        <v>0</v>
      </c>
      <c r="AQ131" s="318">
        <v>0</v>
      </c>
      <c r="AZ131" s="318">
        <v>0</v>
      </c>
      <c r="BI131" s="318">
        <v>0</v>
      </c>
      <c r="BR131" s="318">
        <v>0</v>
      </c>
      <c r="CA131" s="318">
        <v>0</v>
      </c>
    </row>
    <row r="132" spans="1:84" x14ac:dyDescent="0.4">
      <c r="A132" s="425">
        <v>1</v>
      </c>
      <c r="B132" s="425">
        <v>2</v>
      </c>
      <c r="C132" s="425">
        <v>3</v>
      </c>
      <c r="D132" s="425">
        <v>4</v>
      </c>
      <c r="E132" s="425">
        <v>5</v>
      </c>
      <c r="F132" s="425">
        <v>6</v>
      </c>
      <c r="G132" s="425">
        <v>7</v>
      </c>
      <c r="H132" s="425">
        <v>8</v>
      </c>
      <c r="I132" s="425">
        <v>9</v>
      </c>
      <c r="J132" s="425">
        <v>10</v>
      </c>
      <c r="K132" s="425">
        <v>11</v>
      </c>
      <c r="L132" s="425">
        <v>13</v>
      </c>
      <c r="M132" s="425">
        <v>13</v>
      </c>
      <c r="N132" s="425">
        <v>14</v>
      </c>
      <c r="O132" s="425">
        <v>15</v>
      </c>
      <c r="P132" s="425">
        <v>16</v>
      </c>
      <c r="Q132" s="425">
        <v>17</v>
      </c>
      <c r="R132" s="425">
        <v>18</v>
      </c>
      <c r="S132" s="425">
        <v>19</v>
      </c>
      <c r="T132" s="425">
        <v>20</v>
      </c>
      <c r="U132" s="425">
        <v>21</v>
      </c>
      <c r="V132" s="425">
        <v>22</v>
      </c>
      <c r="W132" s="425">
        <v>23</v>
      </c>
      <c r="X132" s="425">
        <v>24</v>
      </c>
      <c r="Y132" s="425">
        <v>25</v>
      </c>
      <c r="Z132" s="425">
        <v>26</v>
      </c>
      <c r="AA132" s="425">
        <v>27</v>
      </c>
      <c r="AB132" s="425">
        <v>28</v>
      </c>
      <c r="AC132" s="425">
        <v>29</v>
      </c>
      <c r="AD132" s="425">
        <v>30</v>
      </c>
      <c r="AE132" s="425">
        <v>31</v>
      </c>
      <c r="AF132" s="425">
        <v>32</v>
      </c>
      <c r="AG132" s="425">
        <v>33</v>
      </c>
      <c r="AH132" s="425">
        <v>34</v>
      </c>
      <c r="AI132" s="425">
        <v>35</v>
      </c>
      <c r="AJ132" s="425">
        <v>36</v>
      </c>
      <c r="AK132" s="425">
        <v>37</v>
      </c>
      <c r="AL132" s="425">
        <v>38</v>
      </c>
      <c r="AM132" s="425">
        <v>39</v>
      </c>
      <c r="AN132" s="425">
        <v>40</v>
      </c>
      <c r="AO132" s="425">
        <v>41</v>
      </c>
      <c r="AP132" s="425">
        <v>42</v>
      </c>
      <c r="AQ132" s="425">
        <v>43</v>
      </c>
      <c r="AR132" s="425">
        <v>44</v>
      </c>
      <c r="AS132" s="425">
        <v>45</v>
      </c>
      <c r="AT132" s="425">
        <v>46</v>
      </c>
      <c r="AU132" s="425">
        <v>47</v>
      </c>
      <c r="AV132" s="425">
        <v>48</v>
      </c>
      <c r="AW132" s="425">
        <v>49</v>
      </c>
      <c r="AX132" s="425">
        <v>50</v>
      </c>
      <c r="AY132" s="425">
        <v>51</v>
      </c>
      <c r="AZ132" s="425">
        <v>52</v>
      </c>
      <c r="BA132" s="425">
        <v>53</v>
      </c>
      <c r="BB132" s="425">
        <v>54</v>
      </c>
      <c r="BC132" s="425">
        <v>55</v>
      </c>
      <c r="BD132" s="425">
        <v>56</v>
      </c>
      <c r="BE132" s="425">
        <v>57</v>
      </c>
      <c r="BF132" s="425">
        <v>58</v>
      </c>
      <c r="BG132" s="425">
        <v>59</v>
      </c>
      <c r="BH132" s="425">
        <v>60</v>
      </c>
      <c r="BI132" s="425">
        <v>61</v>
      </c>
      <c r="BJ132" s="425">
        <v>62</v>
      </c>
      <c r="BK132" s="425">
        <v>63</v>
      </c>
      <c r="BL132" s="425">
        <v>64</v>
      </c>
      <c r="BM132" s="425">
        <v>65</v>
      </c>
      <c r="BN132" s="425">
        <v>66</v>
      </c>
      <c r="BO132" s="425">
        <v>67</v>
      </c>
      <c r="BP132" s="425">
        <v>68</v>
      </c>
      <c r="BQ132" s="425">
        <v>69</v>
      </c>
      <c r="BR132" s="425">
        <v>70</v>
      </c>
      <c r="BS132" s="425">
        <v>71</v>
      </c>
      <c r="BT132" s="425">
        <v>72</v>
      </c>
      <c r="BU132" s="425">
        <v>73</v>
      </c>
      <c r="BV132" s="425">
        <v>74</v>
      </c>
      <c r="BW132" s="425">
        <v>75</v>
      </c>
      <c r="BX132" s="425">
        <v>76</v>
      </c>
      <c r="BY132" s="425">
        <v>77</v>
      </c>
      <c r="BZ132" s="425">
        <v>78</v>
      </c>
      <c r="CA132" s="425">
        <v>79</v>
      </c>
      <c r="CB132" s="425">
        <v>80</v>
      </c>
      <c r="CC132" s="425">
        <v>81</v>
      </c>
      <c r="CD132" s="425">
        <v>82</v>
      </c>
      <c r="CE132" s="425">
        <v>83</v>
      </c>
      <c r="CF132" s="425">
        <v>84</v>
      </c>
    </row>
  </sheetData>
  <sheetProtection algorithmName="SHA-512" hashValue="Q+NP+GJfPN75bHx1aKtnXT3Lxuiq1h8bDQ2WOGYdpFHr1pTrOhd6jxeY5jsmigseLG8dya8E1B7hOGqOWxO/4g==" saltValue="PsIA1FOwLWEd3k1pgqOEUQ==" spinCount="100000" sheet="1" objects="1" scenarios="1"/>
  <sortState xmlns:xlrd2="http://schemas.microsoft.com/office/spreadsheetml/2017/richdata2" ref="V3:W130">
    <sortCondition descending="1" ref="W3"/>
  </sortState>
  <mergeCells count="9">
    <mergeCell ref="O1:T1"/>
    <mergeCell ref="BQ1:BV1"/>
    <mergeCell ref="F1:K1"/>
    <mergeCell ref="BZ1:CE1"/>
    <mergeCell ref="AG1:AL1"/>
    <mergeCell ref="AP1:AU1"/>
    <mergeCell ref="AY1:BD1"/>
    <mergeCell ref="BH1:BM1"/>
    <mergeCell ref="Z1:AD1"/>
  </mergeCells>
  <phoneticPr fontId="0" type="noConversion"/>
  <conditionalFormatting sqref="AM2 AV2 BE2 BN2 BW2 CF2">
    <cfRule type="expression" dxfId="102" priority="1" stopIfTrue="1">
      <formula>IF(AM$1=0,FALSE,TRUE)</formula>
    </cfRule>
  </conditionalFormatting>
  <conditionalFormatting sqref="Y2">
    <cfRule type="expression" dxfId="101" priority="2" stopIfTrue="1">
      <formula>IF(AE$1=0,FALSE,TRUE)</formula>
    </cfRule>
  </conditionalFormatting>
  <conditionalFormatting sqref="O3:O130">
    <cfRule type="expression" dxfId="100" priority="3" stopIfTrue="1">
      <formula>IF(O3&gt;=$L$1,TRUE,FALSE)</formula>
    </cfRule>
    <cfRule type="cellIs" dxfId="99" priority="4" stopIfTrue="1" operator="equal">
      <formula>0</formula>
    </cfRule>
  </conditionalFormatting>
  <conditionalFormatting sqref="AE1">
    <cfRule type="cellIs" dxfId="98" priority="5" stopIfTrue="1" operator="greaterThan">
      <formula>0</formula>
    </cfRule>
    <cfRule type="cellIs" dxfId="97" priority="6" stopIfTrue="1" operator="equal">
      <formula>0</formula>
    </cfRule>
  </conditionalFormatting>
  <conditionalFormatting sqref="AH3:AH130 AQ3:AQ130 AZ3:AZ130 BI3:BI130 BR3:BR130 CA3:CA130">
    <cfRule type="cellIs" dxfId="96" priority="7" stopIfTrue="1" operator="greaterThan">
      <formula>0</formula>
    </cfRule>
    <cfRule type="cellIs" dxfId="95" priority="8" stopIfTrue="1" operator="equal">
      <formula>0</formula>
    </cfRule>
  </conditionalFormatting>
  <pageMargins left="0.63" right="0.13" top="0.19" bottom="0.2" header="0.4921259845" footer="0.4921259845"/>
  <pageSetup paperSize="9" scale="52"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8452" r:id="rId4" name="Button 20">
              <controlPr defaultSize="0" print="0" autoFill="0" autoPict="0" macro="[0]!NuljKola">
                <anchor moveWithCells="1">
                  <from>
                    <xdr:col>85</xdr:col>
                    <xdr:colOff>10886</xdr:colOff>
                    <xdr:row>0</xdr:row>
                    <xdr:rowOff>0</xdr:rowOff>
                  </from>
                  <to>
                    <xdr:col>86</xdr:col>
                    <xdr:colOff>217714</xdr:colOff>
                    <xdr:row>2</xdr:row>
                    <xdr:rowOff>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List34"/>
  <dimension ref="A1:G516"/>
  <sheetViews>
    <sheetView showFormulas="1" view="pageBreakPreview" zoomScale="150" zoomScaleNormal="150" workbookViewId="0">
      <pane xSplit="1" ySplit="4" topLeftCell="B5" activePane="bottomRight" state="frozen"/>
      <selection pane="topRight"/>
      <selection pane="bottomLeft"/>
      <selection pane="bottomRight" activeCell="B5" sqref="B5"/>
    </sheetView>
  </sheetViews>
  <sheetFormatPr defaultRowHeight="12" x14ac:dyDescent="0.4"/>
  <cols>
    <col min="1" max="1" width="9.58203125" customWidth="1"/>
    <col min="2" max="2" width="14.4140625" customWidth="1"/>
    <col min="3" max="3" width="13.58203125" customWidth="1"/>
    <col min="4" max="4" width="25.4140625" customWidth="1"/>
    <col min="5" max="5" width="6.25" customWidth="1"/>
    <col min="6" max="6" width="10.4140625" customWidth="1"/>
    <col min="7" max="7" width="29.4140625" customWidth="1"/>
    <col min="8" max="8" width="4.83203125" customWidth="1"/>
  </cols>
  <sheetData>
    <row r="1" spans="1:7" ht="29.25" customHeight="1" thickBot="1" x14ac:dyDescent="0.75">
      <c r="A1" s="5" t="s">
        <v>1614</v>
      </c>
      <c r="B1" s="6"/>
      <c r="C1" s="6"/>
      <c r="D1" s="68"/>
      <c r="E1" s="4"/>
      <c r="F1" s="242">
        <f ca="1">F3/16</f>
        <v>38.328187499999999</v>
      </c>
      <c r="G1" s="4"/>
    </row>
    <row r="2" spans="1:7" ht="34.200000000000003" customHeight="1" thickBot="1" x14ac:dyDescent="0.45">
      <c r="A2" s="85">
        <f>Start.listina!$K$2</f>
        <v>24039</v>
      </c>
      <c r="B2" s="83" t="str">
        <f>Start.listina!$K$4</f>
        <v>Turnaj Piráta Morgana</v>
      </c>
      <c r="C2" s="84"/>
      <c r="D2" s="84"/>
      <c r="E2" s="90"/>
      <c r="G2" s="4"/>
    </row>
    <row r="3" spans="1:7" ht="21.75" customHeight="1" thickBot="1" x14ac:dyDescent="0.45">
      <c r="A3" s="4"/>
      <c r="B3" s="4"/>
      <c r="C3" s="4"/>
      <c r="D3" s="4"/>
      <c r="E3" s="10" t="s">
        <v>1615</v>
      </c>
      <c r="F3" s="4">
        <f ca="1">SUM(F5:F20)</f>
        <v>613.25099999999998</v>
      </c>
      <c r="G3" s="4"/>
    </row>
    <row r="4" spans="1:7" ht="24.75" customHeight="1" thickBot="1" x14ac:dyDescent="0.45">
      <c r="A4" s="73" t="s">
        <v>1538</v>
      </c>
      <c r="B4" s="73" t="s">
        <v>1616</v>
      </c>
      <c r="C4" s="73" t="s">
        <v>1544</v>
      </c>
      <c r="D4" s="73" t="s">
        <v>1541</v>
      </c>
      <c r="E4" s="74" t="s">
        <v>1542</v>
      </c>
      <c r="F4" s="74" t="s">
        <v>1543</v>
      </c>
      <c r="G4" s="4"/>
    </row>
    <row r="5" spans="1:7" x14ac:dyDescent="0.4">
      <c r="A5" s="260">
        <f ca="1">Start.listina!I11</f>
        <v>29062</v>
      </c>
      <c r="B5" s="260" t="str">
        <f ca="1">Start.listina!J11</f>
        <v>Vavrovič ml.</v>
      </c>
      <c r="C5" s="260" t="str">
        <f ca="1">Start.listina!K11</f>
        <v>Petr</v>
      </c>
      <c r="D5" s="260" t="str">
        <f ca="1">Start.listina!L11</f>
        <v>PC Sokol Lipník</v>
      </c>
      <c r="E5" s="260">
        <f ca="1">Start.listina!M11</f>
        <v>2</v>
      </c>
      <c r="F5" s="260">
        <f ca="1">Start.listina!N11</f>
        <v>60</v>
      </c>
      <c r="G5" s="4"/>
    </row>
    <row r="6" spans="1:7" x14ac:dyDescent="0.4">
      <c r="A6" s="260">
        <f ca="1">Start.listina!I12</f>
        <v>11039</v>
      </c>
      <c r="B6" s="260" t="str">
        <f ca="1">Start.listina!J12</f>
        <v>Lukáš</v>
      </c>
      <c r="C6" s="260" t="str">
        <f ca="1">Start.listina!K12</f>
        <v>Vojtěch</v>
      </c>
      <c r="D6" s="260" t="str">
        <f ca="1">Start.listina!L12</f>
        <v>PLUK Jablonec</v>
      </c>
      <c r="E6" s="260">
        <f ca="1">Start.listina!M12</f>
        <v>3</v>
      </c>
      <c r="F6" s="260">
        <f ca="1">Start.listina!N12</f>
        <v>57.5</v>
      </c>
      <c r="G6" s="4"/>
    </row>
    <row r="7" spans="1:7" x14ac:dyDescent="0.4">
      <c r="A7" s="260">
        <f ca="1">Start.listina!I13</f>
        <v>14075</v>
      </c>
      <c r="B7" s="260" t="str">
        <f ca="1">Start.listina!J13</f>
        <v>Froňková</v>
      </c>
      <c r="C7" s="260" t="str">
        <f ca="1">Start.listina!K13</f>
        <v>Kateřina</v>
      </c>
      <c r="D7" s="260" t="str">
        <f ca="1">Start.listina!L13</f>
        <v>PC Sokol Lipník</v>
      </c>
      <c r="E7" s="260">
        <f ca="1">Start.listina!M13</f>
        <v>4</v>
      </c>
      <c r="F7" s="260">
        <f ca="1">Start.listina!N13</f>
        <v>51</v>
      </c>
      <c r="G7" s="4"/>
    </row>
    <row r="8" spans="1:7" x14ac:dyDescent="0.4">
      <c r="A8" s="260">
        <f ca="1">Start.listina!I14</f>
        <v>27015</v>
      </c>
      <c r="B8" s="260" t="str">
        <f ca="1">Start.listina!J14</f>
        <v>Srnský</v>
      </c>
      <c r="C8" s="260" t="str">
        <f ca="1">Start.listina!K14</f>
        <v>Lubomír</v>
      </c>
      <c r="D8" s="260" t="str">
        <f ca="1">Start.listina!L14</f>
        <v>1. KPK Vrchlabí</v>
      </c>
      <c r="E8" s="260">
        <f ca="1">Start.listina!M14</f>
        <v>28</v>
      </c>
      <c r="F8" s="260">
        <f ca="1">Start.listina!N14</f>
        <v>42.75</v>
      </c>
      <c r="G8" s="4"/>
    </row>
    <row r="9" spans="1:7" x14ac:dyDescent="0.4">
      <c r="A9" s="260">
        <f ca="1">Start.listina!I15</f>
        <v>13027</v>
      </c>
      <c r="B9" s="260" t="str">
        <f ca="1">Start.listina!J15</f>
        <v>Dlouhá</v>
      </c>
      <c r="C9" s="260" t="str">
        <f ca="1">Start.listina!K15</f>
        <v>Ivana</v>
      </c>
      <c r="D9" s="260" t="str">
        <f ca="1">Start.listina!L15</f>
        <v>CdP Loděnice</v>
      </c>
      <c r="E9" s="260">
        <f ca="1">Start.listina!M15</f>
        <v>52</v>
      </c>
      <c r="F9" s="260">
        <f ca="1">Start.listina!N15</f>
        <v>41.75</v>
      </c>
      <c r="G9" s="4"/>
    </row>
    <row r="10" spans="1:7" x14ac:dyDescent="0.4">
      <c r="A10" s="260">
        <f ca="1">Start.listina!I16</f>
        <v>13029</v>
      </c>
      <c r="B10" s="260" t="str">
        <f ca="1">Start.listina!J16</f>
        <v>Kamaryt</v>
      </c>
      <c r="C10" s="260" t="str">
        <f ca="1">Start.listina!K16</f>
        <v>Josef</v>
      </c>
      <c r="D10" s="260" t="str">
        <f ca="1">Start.listina!L16</f>
        <v>CdP Loděnice</v>
      </c>
      <c r="E10" s="260">
        <f ca="1">Start.listina!M16</f>
        <v>54</v>
      </c>
      <c r="F10" s="260">
        <f ca="1">Start.listina!N16</f>
        <v>40.375</v>
      </c>
      <c r="G10" s="4"/>
    </row>
    <row r="11" spans="1:7" x14ac:dyDescent="0.4">
      <c r="A11" s="260">
        <f ca="1">Start.listina!I17</f>
        <v>22100</v>
      </c>
      <c r="B11" s="260" t="str">
        <f ca="1">Start.listina!J17</f>
        <v>Semeniv</v>
      </c>
      <c r="C11" s="260" t="str">
        <f ca="1">Start.listina!K17</f>
        <v>Maryana Khrystyna</v>
      </c>
      <c r="D11" s="260" t="str">
        <f ca="1">Start.listina!L17</f>
        <v>1. KPK Vrchlabí</v>
      </c>
      <c r="E11" s="260">
        <f ca="1">Start.listina!M17</f>
        <v>19</v>
      </c>
      <c r="F11" s="260">
        <f ca="1">Start.listina!N17</f>
        <v>40</v>
      </c>
      <c r="G11" s="4"/>
    </row>
    <row r="12" spans="1:7" x14ac:dyDescent="0.4">
      <c r="A12" s="260">
        <f ca="1">Start.listina!I18</f>
        <v>22183</v>
      </c>
      <c r="B12" s="260" t="str">
        <f ca="1">Start.listina!J18</f>
        <v>Brandes</v>
      </c>
      <c r="C12" s="260" t="str">
        <f ca="1">Start.listina!K18</f>
        <v>Michael</v>
      </c>
      <c r="D12" s="260" t="str">
        <f ca="1">Start.listina!L18</f>
        <v>PC Damníkov</v>
      </c>
      <c r="E12" s="260">
        <f ca="1">Start.listina!M18</f>
        <v>67</v>
      </c>
      <c r="F12" s="260">
        <f ca="1">Start.listina!N18</f>
        <v>36.125</v>
      </c>
      <c r="G12" s="4"/>
    </row>
    <row r="13" spans="1:7" x14ac:dyDescent="0.4">
      <c r="A13" s="260">
        <f ca="1">Start.listina!I19</f>
        <v>15065</v>
      </c>
      <c r="B13" s="260" t="str">
        <f ca="1">Start.listina!J19</f>
        <v>Palas</v>
      </c>
      <c r="C13" s="260" t="str">
        <f ca="1">Start.listina!K19</f>
        <v>Pavel</v>
      </c>
      <c r="D13" s="260" t="str">
        <f ca="1">Start.listina!L19</f>
        <v>UBU Únětice</v>
      </c>
      <c r="E13" s="260">
        <f ca="1">Start.listina!M19</f>
        <v>44</v>
      </c>
      <c r="F13" s="260">
        <f ca="1">Start.listina!N19</f>
        <v>32.125</v>
      </c>
      <c r="G13" s="4"/>
    </row>
    <row r="14" spans="1:7" x14ac:dyDescent="0.4">
      <c r="A14" s="260">
        <f ca="1">Start.listina!I20</f>
        <v>16117</v>
      </c>
      <c r="B14" s="260" t="str">
        <f ca="1">Start.listina!J20</f>
        <v>Stejskal</v>
      </c>
      <c r="C14" s="260" t="str">
        <f ca="1">Start.listina!K20</f>
        <v>Václav</v>
      </c>
      <c r="D14" s="260" t="str">
        <f ca="1">Start.listina!L20</f>
        <v>JAPKO</v>
      </c>
      <c r="E14" s="260">
        <f ca="1">Start.listina!M20</f>
        <v>92</v>
      </c>
      <c r="F14" s="260">
        <f ca="1">Start.listina!N20</f>
        <v>31.625</v>
      </c>
      <c r="G14" s="4"/>
    </row>
    <row r="15" spans="1:7" x14ac:dyDescent="0.4">
      <c r="A15" s="260">
        <f ca="1">Start.listina!I21</f>
        <v>14099</v>
      </c>
      <c r="B15" s="260" t="str">
        <f ca="1">Start.listina!J21</f>
        <v>Klouda</v>
      </c>
      <c r="C15" s="260" t="str">
        <f ca="1">Start.listina!K21</f>
        <v>Aleš</v>
      </c>
      <c r="D15" s="260" t="str">
        <f ca="1">Start.listina!L21</f>
        <v>Petank Club Praha</v>
      </c>
      <c r="E15" s="260">
        <f ca="1">Start.listina!M21</f>
        <v>78</v>
      </c>
      <c r="F15" s="260">
        <f ca="1">Start.listina!N21</f>
        <v>30.625</v>
      </c>
      <c r="G15" s="4"/>
    </row>
    <row r="16" spans="1:7" x14ac:dyDescent="0.4">
      <c r="A16" s="260">
        <f ca="1">Start.listina!I22</f>
        <v>14079</v>
      </c>
      <c r="B16" s="260" t="str">
        <f ca="1">Start.listina!J22</f>
        <v>Heller</v>
      </c>
      <c r="C16" s="260" t="str">
        <f ca="1">Start.listina!K22</f>
        <v>Jan</v>
      </c>
      <c r="D16" s="260" t="str">
        <f ca="1">Start.listina!L22</f>
        <v>PC Mimo Done</v>
      </c>
      <c r="E16" s="260">
        <f ca="1">Start.listina!M22</f>
        <v>110</v>
      </c>
      <c r="F16" s="260">
        <f ca="1">Start.listina!N22</f>
        <v>30.375</v>
      </c>
      <c r="G16" s="4"/>
    </row>
    <row r="17" spans="1:7" x14ac:dyDescent="0.4">
      <c r="A17" s="260">
        <f ca="1">Start.listina!I23</f>
        <v>14074</v>
      </c>
      <c r="B17" s="260" t="str">
        <f ca="1">Start.listina!J23</f>
        <v>Froňková</v>
      </c>
      <c r="C17" s="260" t="str">
        <f ca="1">Start.listina!K23</f>
        <v>Blanka</v>
      </c>
      <c r="D17" s="260" t="str">
        <f ca="1">Start.listina!L23</f>
        <v>PC Sokol Lipník</v>
      </c>
      <c r="E17" s="260">
        <f ca="1">Start.listina!M23</f>
        <v>60</v>
      </c>
      <c r="F17" s="260">
        <f ca="1">Start.listina!N23</f>
        <v>30.312999999999999</v>
      </c>
      <c r="G17" s="4"/>
    </row>
    <row r="18" spans="1:7" x14ac:dyDescent="0.4">
      <c r="A18" s="260">
        <f ca="1">Start.listina!I24</f>
        <v>98446</v>
      </c>
      <c r="B18" s="260" t="str">
        <f ca="1">Start.listina!J24</f>
        <v>Morávek</v>
      </c>
      <c r="C18" s="260" t="str">
        <f ca="1">Start.listina!K24</f>
        <v>Petr</v>
      </c>
      <c r="D18" s="260" t="str">
        <f ca="1">Start.listina!L24</f>
        <v>PC Sokol Lipník</v>
      </c>
      <c r="E18" s="260">
        <f ca="1">Start.listina!M24</f>
        <v>114</v>
      </c>
      <c r="F18" s="260">
        <f ca="1">Start.listina!N24</f>
        <v>29.875</v>
      </c>
      <c r="G18" s="4"/>
    </row>
    <row r="19" spans="1:7" x14ac:dyDescent="0.4">
      <c r="A19" s="260">
        <f ca="1">Start.listina!I25</f>
        <v>19001</v>
      </c>
      <c r="B19" s="260" t="str">
        <f ca="1">Start.listina!J25</f>
        <v>Vlach</v>
      </c>
      <c r="C19" s="260" t="str">
        <f ca="1">Start.listina!K25</f>
        <v>Jaromír</v>
      </c>
      <c r="D19" s="260" t="str">
        <f ca="1">Start.listina!L25</f>
        <v>Sokol Kostomlaty</v>
      </c>
      <c r="E19" s="260">
        <f ca="1">Start.listina!M25</f>
        <v>66</v>
      </c>
      <c r="F19" s="260">
        <f ca="1">Start.listina!N25</f>
        <v>29.687999999999999</v>
      </c>
      <c r="G19" s="4"/>
    </row>
    <row r="20" spans="1:7" x14ac:dyDescent="0.4">
      <c r="A20" s="260">
        <f ca="1">Start.listina!I26</f>
        <v>15067</v>
      </c>
      <c r="B20" s="260" t="str">
        <f ca="1">Start.listina!J26</f>
        <v>Vyoral</v>
      </c>
      <c r="C20" s="260" t="str">
        <f ca="1">Start.listina!K26</f>
        <v>Hynek</v>
      </c>
      <c r="D20" s="260" t="str">
        <f ca="1">Start.listina!L26</f>
        <v>PC Sokol Lipník</v>
      </c>
      <c r="E20" s="260">
        <f ca="1">Start.listina!M26</f>
        <v>51</v>
      </c>
      <c r="F20" s="260">
        <f ca="1">Start.listina!N26</f>
        <v>29.125</v>
      </c>
      <c r="G20" s="4"/>
    </row>
    <row r="21" spans="1:7" x14ac:dyDescent="0.4">
      <c r="A21" s="260">
        <f ca="1">Start.listina!I27</f>
        <v>22181</v>
      </c>
      <c r="B21" s="260" t="str">
        <f ca="1">Start.listina!J27</f>
        <v>Brandes</v>
      </c>
      <c r="C21" s="260" t="str">
        <f ca="1">Start.listina!K27</f>
        <v>Valter</v>
      </c>
      <c r="D21" s="260" t="str">
        <f ca="1">Start.listina!L27</f>
        <v>PC Damníkov</v>
      </c>
      <c r="E21" s="260">
        <f ca="1">Start.listina!M27</f>
        <v>91</v>
      </c>
      <c r="F21" s="260">
        <f ca="1">Start.listina!N27</f>
        <v>29.125</v>
      </c>
      <c r="G21" s="4"/>
    </row>
    <row r="22" spans="1:7" x14ac:dyDescent="0.4">
      <c r="A22" s="260">
        <f ca="1">Start.listina!I28</f>
        <v>16029</v>
      </c>
      <c r="B22" s="260" t="str">
        <f ca="1">Start.listina!J28</f>
        <v>Kašparová</v>
      </c>
      <c r="C22" s="260" t="str">
        <f ca="1">Start.listina!K28</f>
        <v>Barbora</v>
      </c>
      <c r="D22" s="260" t="str">
        <f ca="1">Start.listina!L28</f>
        <v>Petank Club Praha</v>
      </c>
      <c r="E22" s="260">
        <f ca="1">Start.listina!M28</f>
        <v>75</v>
      </c>
      <c r="F22" s="260">
        <f ca="1">Start.listina!N28</f>
        <v>28.25</v>
      </c>
      <c r="G22" s="4"/>
    </row>
    <row r="23" spans="1:7" x14ac:dyDescent="0.4">
      <c r="A23" s="260">
        <f ca="1">Start.listina!I29</f>
        <v>20532</v>
      </c>
      <c r="B23" s="260" t="str">
        <f ca="1">Start.listina!J29</f>
        <v>Křížek</v>
      </c>
      <c r="C23" s="260" t="str">
        <f ca="1">Start.listina!K29</f>
        <v>Evžen</v>
      </c>
      <c r="D23" s="260" t="str">
        <f ca="1">Start.listina!L29</f>
        <v>UBU Únětice</v>
      </c>
      <c r="E23" s="260">
        <f ca="1">Start.listina!M29</f>
        <v>134</v>
      </c>
      <c r="F23" s="260">
        <f ca="1">Start.listina!N29</f>
        <v>24.562999999999999</v>
      </c>
      <c r="G23" s="4"/>
    </row>
    <row r="24" spans="1:7" x14ac:dyDescent="0.4">
      <c r="A24" s="260">
        <f ca="1">Start.listina!I30</f>
        <v>98482</v>
      </c>
      <c r="B24" s="260" t="str">
        <f ca="1">Start.listina!J30</f>
        <v>Marcián</v>
      </c>
      <c r="C24" s="260" t="str">
        <f ca="1">Start.listina!K30</f>
        <v>Vladimír</v>
      </c>
      <c r="D24" s="260" t="str">
        <f ca="1">Start.listina!L30</f>
        <v>HRODE KRUMSÍN</v>
      </c>
      <c r="E24" s="260">
        <f ca="1">Start.listina!M30</f>
        <v>106</v>
      </c>
      <c r="F24" s="260">
        <f ca="1">Start.listina!N30</f>
        <v>24.094999999999999</v>
      </c>
      <c r="G24" s="4"/>
    </row>
    <row r="25" spans="1:7" x14ac:dyDescent="0.4">
      <c r="A25" s="260">
        <f ca="1">Start.listina!I31</f>
        <v>16082</v>
      </c>
      <c r="B25" s="260" t="str">
        <f ca="1">Start.listina!J31</f>
        <v>Pastorek</v>
      </c>
      <c r="C25" s="260" t="str">
        <f ca="1">Start.listina!K31</f>
        <v>Jaroslav</v>
      </c>
      <c r="D25" s="260" t="str">
        <f ca="1">Start.listina!L31</f>
        <v>SK Pétanque Řepy</v>
      </c>
      <c r="E25" s="260">
        <f ca="1">Start.listina!M31</f>
        <v>141</v>
      </c>
      <c r="F25" s="260">
        <f ca="1">Start.listina!N31</f>
        <v>23.876000000000001</v>
      </c>
      <c r="G25" s="4"/>
    </row>
    <row r="26" spans="1:7" x14ac:dyDescent="0.4">
      <c r="A26" s="260">
        <f ca="1">Start.listina!I32</f>
        <v>12042</v>
      </c>
      <c r="B26" s="260" t="str">
        <f ca="1">Start.listina!J32</f>
        <v>Pilát</v>
      </c>
      <c r="C26" s="260" t="str">
        <f ca="1">Start.listina!K32</f>
        <v>Petr</v>
      </c>
      <c r="D26" s="260" t="str">
        <f ca="1">Start.listina!L32</f>
        <v>SKP Kulová osma</v>
      </c>
      <c r="E26" s="260">
        <f ca="1">Start.listina!M32</f>
        <v>155</v>
      </c>
      <c r="F26" s="260">
        <f ca="1">Start.listina!N32</f>
        <v>23.251000000000001</v>
      </c>
      <c r="G26" s="4"/>
    </row>
    <row r="27" spans="1:7" x14ac:dyDescent="0.4">
      <c r="A27" s="260">
        <f ca="1">Start.listina!I33</f>
        <v>28051</v>
      </c>
      <c r="B27" s="260" t="str">
        <f ca="1">Start.listina!J33</f>
        <v>Horáček</v>
      </c>
      <c r="C27" s="260" t="str">
        <f ca="1">Start.listina!K33</f>
        <v>Jindřich</v>
      </c>
      <c r="D27" s="260" t="str">
        <f ca="1">Start.listina!L33</f>
        <v>PC Kolová</v>
      </c>
      <c r="E27" s="260">
        <f ca="1">Start.listina!M33</f>
        <v>105</v>
      </c>
      <c r="F27" s="260">
        <f ca="1">Start.listina!N33</f>
        <v>23.094000000000001</v>
      </c>
      <c r="G27" s="4"/>
    </row>
    <row r="28" spans="1:7" x14ac:dyDescent="0.4">
      <c r="A28" s="260">
        <f ca="1">Start.listina!I34</f>
        <v>20534</v>
      </c>
      <c r="B28" s="260" t="str">
        <f ca="1">Start.listina!J34</f>
        <v>Váňová</v>
      </c>
      <c r="C28" s="260" t="str">
        <f ca="1">Start.listina!K34</f>
        <v>Věra</v>
      </c>
      <c r="D28" s="260" t="str">
        <f ca="1">Start.listina!L34</f>
        <v>SK Pétanque Řepy</v>
      </c>
      <c r="E28" s="260">
        <f ca="1">Start.listina!M34</f>
        <v>154</v>
      </c>
      <c r="F28" s="260">
        <f ca="1">Start.listina!N34</f>
        <v>20.376000000000001</v>
      </c>
      <c r="G28" s="4"/>
    </row>
    <row r="29" spans="1:7" x14ac:dyDescent="0.4">
      <c r="A29" s="260">
        <f ca="1">Start.listina!I35</f>
        <v>21026</v>
      </c>
      <c r="B29" s="260" t="str">
        <f ca="1">Start.listina!J35</f>
        <v>Vodehnalová</v>
      </c>
      <c r="C29" s="260" t="str">
        <f ca="1">Start.listina!K35</f>
        <v>Jindra</v>
      </c>
      <c r="D29" s="260" t="str">
        <f ca="1">Start.listina!L35</f>
        <v>SK Pétanque Řepy</v>
      </c>
      <c r="E29" s="260">
        <f ca="1">Start.listina!M35</f>
        <v>144</v>
      </c>
      <c r="F29" s="260">
        <f ca="1">Start.listina!N35</f>
        <v>19.939</v>
      </c>
      <c r="G29" s="4"/>
    </row>
    <row r="30" spans="1:7" x14ac:dyDescent="0.4">
      <c r="A30" s="260">
        <f ca="1">Start.listina!I36</f>
        <v>14076</v>
      </c>
      <c r="B30" s="260" t="str">
        <f ca="1">Start.listina!J36</f>
        <v>Klír</v>
      </c>
      <c r="C30" s="260" t="str">
        <f ca="1">Start.listina!K36</f>
        <v>Tomáš</v>
      </c>
      <c r="D30" s="260" t="str">
        <f ca="1">Start.listina!L36</f>
        <v>Petank Club Praha</v>
      </c>
      <c r="E30" s="260">
        <f ca="1">Start.listina!M36</f>
        <v>118</v>
      </c>
      <c r="F30" s="260">
        <f ca="1">Start.listina!N36</f>
        <v>19.689</v>
      </c>
      <c r="G30" s="4"/>
    </row>
    <row r="31" spans="1:7" x14ac:dyDescent="0.4">
      <c r="A31" s="260">
        <f ca="1">Start.listina!I37</f>
        <v>16075</v>
      </c>
      <c r="B31" s="260" t="str">
        <f ca="1">Start.listina!J37</f>
        <v>Hladík</v>
      </c>
      <c r="C31" s="260" t="str">
        <f ca="1">Start.listina!K37</f>
        <v>Jaroslav</v>
      </c>
      <c r="D31" s="260" t="str">
        <f ca="1">Start.listina!L37</f>
        <v>SK Pétanque Řepy</v>
      </c>
      <c r="E31" s="260">
        <f ca="1">Start.listina!M37</f>
        <v>145</v>
      </c>
      <c r="F31" s="260">
        <f ca="1">Start.listina!N37</f>
        <v>19.439</v>
      </c>
      <c r="G31" s="4"/>
    </row>
    <row r="32" spans="1:7" x14ac:dyDescent="0.4">
      <c r="A32" s="260">
        <f ca="1">Start.listina!I38</f>
        <v>20513</v>
      </c>
      <c r="B32" s="260" t="str">
        <f ca="1">Start.listina!J38</f>
        <v>Hochmann</v>
      </c>
      <c r="C32" s="260" t="str">
        <f ca="1">Start.listina!K38</f>
        <v>Lukáš</v>
      </c>
      <c r="D32" s="260" t="str">
        <f ca="1">Start.listina!L38</f>
        <v>PC Sokol PP Hr. Králové</v>
      </c>
      <c r="E32" s="260">
        <f ca="1">Start.listina!M38</f>
        <v>197</v>
      </c>
      <c r="F32" s="260">
        <f ca="1">Start.listina!N38</f>
        <v>18.439</v>
      </c>
      <c r="G32" s="4"/>
    </row>
    <row r="33" spans="1:7" x14ac:dyDescent="0.4">
      <c r="A33" s="260">
        <f ca="1">Start.listina!I39</f>
        <v>17052</v>
      </c>
      <c r="B33" s="260" t="str">
        <f ca="1">Start.listina!J39</f>
        <v>Zikmunda</v>
      </c>
      <c r="C33" s="260" t="str">
        <f ca="1">Start.listina!K39</f>
        <v>Martin</v>
      </c>
      <c r="D33" s="260" t="str">
        <f ca="1">Start.listina!L39</f>
        <v>PC Mimo Done</v>
      </c>
      <c r="E33" s="260">
        <f ca="1">Start.listina!M39</f>
        <v>192</v>
      </c>
      <c r="F33" s="260">
        <f ca="1">Start.listina!N39</f>
        <v>18.062999999999999</v>
      </c>
      <c r="G33" s="4"/>
    </row>
    <row r="34" spans="1:7" x14ac:dyDescent="0.4">
      <c r="A34" s="260">
        <f ca="1">Start.listina!I40</f>
        <v>23217</v>
      </c>
      <c r="B34" s="260" t="str">
        <f ca="1">Start.listina!J40</f>
        <v>Blaščák</v>
      </c>
      <c r="C34" s="260" t="str">
        <f ca="1">Start.listina!K40</f>
        <v>Ondřej</v>
      </c>
      <c r="D34" s="260" t="str">
        <f ca="1">Start.listina!L40</f>
        <v>PC Přítkov</v>
      </c>
      <c r="E34" s="260">
        <f ca="1">Start.listina!M40</f>
        <v>157</v>
      </c>
      <c r="F34" s="260">
        <f ca="1">Start.listina!N40</f>
        <v>18.001000000000001</v>
      </c>
      <c r="G34" s="4"/>
    </row>
    <row r="35" spans="1:7" x14ac:dyDescent="0.4">
      <c r="A35" s="260">
        <f ca="1">Start.listina!I41</f>
        <v>16077</v>
      </c>
      <c r="B35" s="260" t="str">
        <f ca="1">Start.listina!J41</f>
        <v>Holoubek</v>
      </c>
      <c r="C35" s="260" t="str">
        <f ca="1">Start.listina!K41</f>
        <v>Pavel</v>
      </c>
      <c r="D35" s="260" t="str">
        <f ca="1">Start.listina!L41</f>
        <v>SK Pétanque Řepy</v>
      </c>
      <c r="E35" s="260">
        <f ca="1">Start.listina!M41</f>
        <v>140</v>
      </c>
      <c r="F35" s="260">
        <f ca="1">Start.listina!N41</f>
        <v>16.812000000000001</v>
      </c>
      <c r="G35" s="4"/>
    </row>
    <row r="36" spans="1:7" x14ac:dyDescent="0.4">
      <c r="A36" s="260">
        <f ca="1">Start.listina!I42</f>
        <v>21025</v>
      </c>
      <c r="B36" s="260" t="str">
        <f ca="1">Start.listina!J42</f>
        <v>Vodehnal</v>
      </c>
      <c r="C36" s="260" t="str">
        <f ca="1">Start.listina!K42</f>
        <v>Zdeněk</v>
      </c>
      <c r="D36" s="260" t="str">
        <f ca="1">Start.listina!L42</f>
        <v>SK Pétanque Řepy</v>
      </c>
      <c r="E36" s="260">
        <f ca="1">Start.listina!M42</f>
        <v>208</v>
      </c>
      <c r="F36" s="260">
        <f ca="1">Start.listina!N42</f>
        <v>16.251000000000001</v>
      </c>
      <c r="G36" s="4"/>
    </row>
    <row r="37" spans="1:7" x14ac:dyDescent="0.4">
      <c r="A37" s="260">
        <f ca="1">Start.listina!I43</f>
        <v>20614</v>
      </c>
      <c r="B37" s="260" t="str">
        <f ca="1">Start.listina!J43</f>
        <v>Müllerová</v>
      </c>
      <c r="C37" s="260" t="str">
        <f ca="1">Start.listina!K43</f>
        <v>Jiřina</v>
      </c>
      <c r="D37" s="260" t="str">
        <f ca="1">Start.listina!L43</f>
        <v>SK Pétanque Řepy</v>
      </c>
      <c r="E37" s="260">
        <f ca="1">Start.listina!M43</f>
        <v>174</v>
      </c>
      <c r="F37" s="260">
        <f ca="1">Start.listina!N43</f>
        <v>14.936999999999999</v>
      </c>
      <c r="G37" s="4"/>
    </row>
    <row r="38" spans="1:7" x14ac:dyDescent="0.4">
      <c r="A38" s="260">
        <f ca="1">Start.listina!I44</f>
        <v>11037</v>
      </c>
      <c r="B38" s="260" t="str">
        <f ca="1">Start.listina!J44</f>
        <v>Šebek</v>
      </c>
      <c r="C38" s="260" t="str">
        <f ca="1">Start.listina!K44</f>
        <v>Viktor</v>
      </c>
      <c r="D38" s="260" t="str">
        <f ca="1">Start.listina!L44</f>
        <v>1. KPK Vrchlabí</v>
      </c>
      <c r="E38" s="260">
        <f ca="1">Start.listina!M44</f>
        <v>210</v>
      </c>
      <c r="F38" s="260">
        <f ca="1">Start.listina!N44</f>
        <v>14.047000000000001</v>
      </c>
      <c r="G38" s="4"/>
    </row>
    <row r="39" spans="1:7" x14ac:dyDescent="0.4">
      <c r="A39" s="260">
        <f ca="1">Start.listina!I45</f>
        <v>20533</v>
      </c>
      <c r="B39" s="260" t="str">
        <f ca="1">Start.listina!J45</f>
        <v>Josífková</v>
      </c>
      <c r="C39" s="260" t="str">
        <f ca="1">Start.listina!K45</f>
        <v>Eva</v>
      </c>
      <c r="D39" s="260" t="str">
        <f ca="1">Start.listina!L45</f>
        <v>SK Pétanque Řepy</v>
      </c>
      <c r="E39" s="260">
        <f ca="1">Start.listina!M45</f>
        <v>195</v>
      </c>
      <c r="F39" s="260">
        <f ca="1">Start.listina!N45</f>
        <v>13.063000000000001</v>
      </c>
      <c r="G39" s="4"/>
    </row>
    <row r="40" spans="1:7" x14ac:dyDescent="0.4">
      <c r="A40" s="260">
        <f ca="1">Start.listina!I46</f>
        <v>23021</v>
      </c>
      <c r="B40" s="260" t="str">
        <f ca="1">Start.listina!J46</f>
        <v>Ondryáš</v>
      </c>
      <c r="C40" s="260" t="str">
        <f ca="1">Start.listina!K46</f>
        <v>Jiří</v>
      </c>
      <c r="D40" s="260" t="str">
        <f ca="1">Start.listina!L46</f>
        <v>FRAPECO</v>
      </c>
      <c r="E40" s="260">
        <f ca="1">Start.listina!M46</f>
        <v>245</v>
      </c>
      <c r="F40" s="260">
        <f ca="1">Start.listina!N46</f>
        <v>12.250999999999999</v>
      </c>
      <c r="G40" s="4"/>
    </row>
    <row r="41" spans="1:7" x14ac:dyDescent="0.4">
      <c r="A41" s="260">
        <f ca="1">Start.listina!I47</f>
        <v>21032</v>
      </c>
      <c r="B41" s="260" t="str">
        <f ca="1">Start.listina!J47</f>
        <v>Konopová</v>
      </c>
      <c r="C41" s="260" t="str">
        <f ca="1">Start.listina!K47</f>
        <v>Marta</v>
      </c>
      <c r="D41" s="260" t="str">
        <f ca="1">Start.listina!L47</f>
        <v>SK Pétanque Řepy</v>
      </c>
      <c r="E41" s="260">
        <f ca="1">Start.listina!M47</f>
        <v>170</v>
      </c>
      <c r="F41" s="260">
        <f ca="1">Start.listina!N47</f>
        <v>12.032</v>
      </c>
      <c r="G41" s="4"/>
    </row>
    <row r="42" spans="1:7" x14ac:dyDescent="0.4">
      <c r="A42" s="260">
        <f ca="1">Start.listina!I48</f>
        <v>96162</v>
      </c>
      <c r="B42" s="260" t="str">
        <f ca="1">Start.listina!J48</f>
        <v>Glaser</v>
      </c>
      <c r="C42" s="260" t="str">
        <f ca="1">Start.listina!K48</f>
        <v>Vladimír</v>
      </c>
      <c r="D42" s="260" t="str">
        <f ca="1">Start.listina!L48</f>
        <v>C.T.P. Club Ořech</v>
      </c>
      <c r="E42" s="260">
        <f ca="1">Start.listina!M48</f>
        <v>367</v>
      </c>
      <c r="F42" s="260">
        <f ca="1">Start.listina!N48</f>
        <v>7.6879999999999997</v>
      </c>
      <c r="G42" s="4"/>
    </row>
    <row r="43" spans="1:7" x14ac:dyDescent="0.4">
      <c r="A43" s="260">
        <f ca="1">Start.listina!I49</f>
        <v>24504</v>
      </c>
      <c r="B43" s="260" t="str">
        <f ca="1">Start.listina!J49</f>
        <v>Šnejdr</v>
      </c>
      <c r="C43" s="260" t="str">
        <f ca="1">Start.listina!K49</f>
        <v>Josef</v>
      </c>
      <c r="D43" s="260" t="str">
        <f ca="1">Start.listina!L49</f>
        <v>PC Přítkov</v>
      </c>
      <c r="E43" s="260">
        <f ca="1">Start.listina!M49</f>
        <v>398</v>
      </c>
      <c r="F43" s="260">
        <f ca="1">Start.listina!N49</f>
        <v>5.3129999999999997</v>
      </c>
      <c r="G43" s="4"/>
    </row>
    <row r="44" spans="1:7" x14ac:dyDescent="0.4">
      <c r="A44" s="260">
        <f ca="1">Start.listina!I50</f>
        <v>23215</v>
      </c>
      <c r="B44" s="260" t="str">
        <f ca="1">Start.listina!J50</f>
        <v>Krhovská</v>
      </c>
      <c r="C44" s="260" t="str">
        <f ca="1">Start.listina!K50</f>
        <v>Dana</v>
      </c>
      <c r="D44" s="260" t="str">
        <f ca="1">Start.listina!L50</f>
        <v>SKP Kulová osma</v>
      </c>
      <c r="E44" s="260">
        <f ca="1">Start.listina!M50</f>
        <v>378</v>
      </c>
      <c r="F44" s="260">
        <f ca="1">Start.listina!N50</f>
        <v>4.6280000000000001</v>
      </c>
      <c r="G44" s="4"/>
    </row>
    <row r="45" spans="1:7" x14ac:dyDescent="0.4">
      <c r="A45" s="260">
        <f ca="1">Start.listina!I51</f>
        <v>24529</v>
      </c>
      <c r="B45" s="260" t="str">
        <f ca="1">Start.listina!J51</f>
        <v>Kovář</v>
      </c>
      <c r="C45" s="260" t="str">
        <f ca="1">Start.listina!K51</f>
        <v>Petr</v>
      </c>
      <c r="D45" s="260" t="str">
        <f ca="1">Start.listina!L51</f>
        <v>SKMZ Sport</v>
      </c>
      <c r="E45" s="260">
        <f ca="1">Start.listina!M51</f>
        <v>504</v>
      </c>
      <c r="F45" s="260">
        <f ca="1">Start.listina!N51</f>
        <v>2.375</v>
      </c>
      <c r="G45" s="4"/>
    </row>
    <row r="46" spans="1:7" x14ac:dyDescent="0.4">
      <c r="A46" s="260">
        <f ca="1">Start.listina!I52</f>
        <v>96216</v>
      </c>
      <c r="B46" s="260" t="str">
        <f ca="1">Start.listina!J52</f>
        <v>Leiský</v>
      </c>
      <c r="C46" s="260" t="str">
        <f ca="1">Start.listina!K52</f>
        <v>Leander</v>
      </c>
      <c r="D46" s="260" t="str">
        <f ca="1">Start.listina!L52</f>
        <v>C.T.P. Club Ořech</v>
      </c>
      <c r="E46" s="260">
        <f ca="1">Start.listina!M52</f>
        <v>562</v>
      </c>
      <c r="F46" s="260">
        <f ca="1">Start.listina!N52</f>
        <v>0.68799999999999994</v>
      </c>
      <c r="G46" s="4"/>
    </row>
    <row r="47" spans="1:7" x14ac:dyDescent="0.4">
      <c r="A47" s="260" t="str">
        <f ca="1">Start.listina!I53</f>
        <v/>
      </c>
      <c r="B47" s="260" t="str">
        <f ca="1">Start.listina!J53</f>
        <v>Mika, Dánsko</v>
      </c>
      <c r="C47" s="260" t="str">
        <f ca="1">Start.listina!K53</f>
        <v xml:space="preserve"> </v>
      </c>
      <c r="D47" s="260" t="str">
        <f ca="1">Start.listina!L53</f>
        <v xml:space="preserve"> </v>
      </c>
      <c r="E47" s="260">
        <f ca="1">Start.listina!M53</f>
        <v>9999</v>
      </c>
      <c r="F47" s="260">
        <f ca="1">Start.listina!N53</f>
        <v>0</v>
      </c>
      <c r="G47" s="4"/>
    </row>
    <row r="48" spans="1:7" x14ac:dyDescent="0.4">
      <c r="A48" s="260" t="str">
        <f ca="1">Start.listina!I54</f>
        <v/>
      </c>
      <c r="B48" s="260" t="str">
        <f ca="1">Start.listina!J54</f>
        <v>michael dánsko</v>
      </c>
      <c r="C48" s="260" t="str">
        <f ca="1">Start.listina!K54</f>
        <v xml:space="preserve"> </v>
      </c>
      <c r="D48" s="260" t="str">
        <f ca="1">Start.listina!L54</f>
        <v xml:space="preserve"> </v>
      </c>
      <c r="E48" s="260">
        <f ca="1">Start.listina!M54</f>
        <v>9999</v>
      </c>
      <c r="F48" s="260">
        <f ca="1">Start.listina!N54</f>
        <v>0</v>
      </c>
      <c r="G48" s="4"/>
    </row>
    <row r="49" spans="1:7" x14ac:dyDescent="0.4">
      <c r="A49" s="260" t="str">
        <f ca="1">Start.listina!I55</f>
        <v/>
      </c>
      <c r="B49" s="260" t="str">
        <f ca="1">Start.listina!J55</f>
        <v>kim, Dánsko</v>
      </c>
      <c r="C49" s="260" t="str">
        <f ca="1">Start.listina!K55</f>
        <v xml:space="preserve"> </v>
      </c>
      <c r="D49" s="260" t="str">
        <f ca="1">Start.listina!L55</f>
        <v xml:space="preserve"> </v>
      </c>
      <c r="E49" s="260">
        <f ca="1">Start.listina!M55</f>
        <v>9999</v>
      </c>
      <c r="F49" s="260">
        <f ca="1">Start.listina!N55</f>
        <v>0</v>
      </c>
      <c r="G49" s="4"/>
    </row>
    <row r="50" spans="1:7" x14ac:dyDescent="0.4">
      <c r="A50" s="260" t="str">
        <f ca="1">Start.listina!I56</f>
        <v/>
      </c>
      <c r="B50" s="260" t="str">
        <f ca="1">Start.listina!J56</f>
        <v>Vladimír Chládek</v>
      </c>
      <c r="C50" s="260" t="str">
        <f ca="1">Start.listina!K56</f>
        <v xml:space="preserve"> </v>
      </c>
      <c r="D50" s="260" t="str">
        <f ca="1">Start.listina!L56</f>
        <v xml:space="preserve"> </v>
      </c>
      <c r="E50" s="260">
        <f ca="1">Start.listina!M56</f>
        <v>9999</v>
      </c>
      <c r="F50" s="260">
        <f ca="1">Start.listina!N56</f>
        <v>0</v>
      </c>
      <c r="G50" s="4"/>
    </row>
    <row r="51" spans="1:7" x14ac:dyDescent="0.4">
      <c r="A51" s="260" t="str">
        <f ca="1">Start.listina!I57</f>
        <v/>
      </c>
      <c r="B51" s="260" t="str">
        <f ca="1">Start.listina!J57</f>
        <v>Brian, Dánsko</v>
      </c>
      <c r="C51" s="260" t="str">
        <f ca="1">Start.listina!K57</f>
        <v xml:space="preserve"> </v>
      </c>
      <c r="D51" s="260" t="str">
        <f ca="1">Start.listina!L57</f>
        <v xml:space="preserve"> </v>
      </c>
      <c r="E51" s="260">
        <f ca="1">Start.listina!M57</f>
        <v>9999</v>
      </c>
      <c r="F51" s="260">
        <f ca="1">Start.listina!N57</f>
        <v>0</v>
      </c>
      <c r="G51" s="4"/>
    </row>
    <row r="52" spans="1:7" x14ac:dyDescent="0.4">
      <c r="A52" s="260" t="str">
        <f ca="1">Start.listina!I58</f>
        <v/>
      </c>
      <c r="B52" s="260" t="str">
        <f ca="1">Start.listina!J58</f>
        <v>Tony, Dánsko</v>
      </c>
      <c r="C52" s="260" t="str">
        <f ca="1">Start.listina!K58</f>
        <v xml:space="preserve"> </v>
      </c>
      <c r="D52" s="260" t="str">
        <f ca="1">Start.listina!L58</f>
        <v xml:space="preserve"> </v>
      </c>
      <c r="E52" s="260">
        <f ca="1">Start.listina!M58</f>
        <v>9999</v>
      </c>
      <c r="F52" s="260">
        <f ca="1">Start.listina!N58</f>
        <v>0</v>
      </c>
      <c r="G52" s="4"/>
    </row>
    <row r="53" spans="1:7" x14ac:dyDescent="0.4">
      <c r="A53" s="260" t="str">
        <f ca="1">Start.listina!I59</f>
        <v/>
      </c>
      <c r="B53" s="260" t="str">
        <f ca="1">Start.listina!J59</f>
        <v>František Kožený</v>
      </c>
      <c r="C53" s="260" t="str">
        <f ca="1">Start.listina!K59</f>
        <v xml:space="preserve"> </v>
      </c>
      <c r="D53" s="260" t="str">
        <f ca="1">Start.listina!L59</f>
        <v xml:space="preserve"> </v>
      </c>
      <c r="E53" s="260">
        <f ca="1">Start.listina!M59</f>
        <v>9999</v>
      </c>
      <c r="F53" s="260">
        <f ca="1">Start.listina!N59</f>
        <v>0</v>
      </c>
      <c r="G53" s="4"/>
    </row>
    <row r="54" spans="1:7" x14ac:dyDescent="0.4">
      <c r="A54" s="260" t="str">
        <f ca="1">Start.listina!I60</f>
        <v/>
      </c>
      <c r="B54" s="260" t="str">
        <f ca="1">Start.listina!J60</f>
        <v>Jesper K, Dánsko</v>
      </c>
      <c r="C54" s="260" t="str">
        <f ca="1">Start.listina!K60</f>
        <v xml:space="preserve"> </v>
      </c>
      <c r="D54" s="260" t="str">
        <f ca="1">Start.listina!L60</f>
        <v xml:space="preserve"> </v>
      </c>
      <c r="E54" s="260">
        <f ca="1">Start.listina!M60</f>
        <v>9999</v>
      </c>
      <c r="F54" s="260">
        <f ca="1">Start.listina!N60</f>
        <v>0</v>
      </c>
      <c r="G54" s="4"/>
    </row>
    <row r="55" spans="1:7" x14ac:dyDescent="0.4">
      <c r="A55" s="260" t="str">
        <f ca="1">Start.listina!I61</f>
        <v/>
      </c>
      <c r="B55" s="260" t="str">
        <f ca="1">Start.listina!J61</f>
        <v>Erik, Dánsko</v>
      </c>
      <c r="C55" s="260" t="str">
        <f ca="1">Start.listina!K61</f>
        <v xml:space="preserve"> </v>
      </c>
      <c r="D55" s="260" t="str">
        <f ca="1">Start.listina!L61</f>
        <v xml:space="preserve"> </v>
      </c>
      <c r="E55" s="260">
        <f ca="1">Start.listina!M61</f>
        <v>9999</v>
      </c>
      <c r="F55" s="260">
        <f ca="1">Start.listina!N61</f>
        <v>0</v>
      </c>
      <c r="G55" s="4"/>
    </row>
    <row r="56" spans="1:7" x14ac:dyDescent="0.4">
      <c r="A56" s="260" t="str">
        <f ca="1">Start.listina!I62</f>
        <v/>
      </c>
      <c r="B56" s="260" t="str">
        <f ca="1">Start.listina!J62</f>
        <v>Jesper R, Dánsko</v>
      </c>
      <c r="C56" s="260" t="str">
        <f ca="1">Start.listina!K62</f>
        <v xml:space="preserve"> </v>
      </c>
      <c r="D56" s="260" t="str">
        <f ca="1">Start.listina!L62</f>
        <v xml:space="preserve"> </v>
      </c>
      <c r="E56" s="260">
        <f ca="1">Start.listina!M62</f>
        <v>9999</v>
      </c>
      <c r="F56" s="260">
        <f ca="1">Start.listina!N62</f>
        <v>0</v>
      </c>
      <c r="G56" s="4"/>
    </row>
    <row r="57" spans="1:7" x14ac:dyDescent="0.4">
      <c r="A57" s="260" t="str">
        <f ca="1">Start.listina!I63</f>
        <v/>
      </c>
      <c r="B57" s="260" t="str">
        <f ca="1">Start.listina!J63</f>
        <v>Lars Eriksen, Dánsko</v>
      </c>
      <c r="C57" s="260" t="str">
        <f ca="1">Start.listina!K63</f>
        <v xml:space="preserve"> </v>
      </c>
      <c r="D57" s="260" t="str">
        <f ca="1">Start.listina!L63</f>
        <v xml:space="preserve"> </v>
      </c>
      <c r="E57" s="260">
        <f ca="1">Start.listina!M63</f>
        <v>9999</v>
      </c>
      <c r="F57" s="260">
        <f ca="1">Start.listina!N63</f>
        <v>0</v>
      </c>
      <c r="G57" s="4"/>
    </row>
    <row r="58" spans="1:7" x14ac:dyDescent="0.4">
      <c r="A58" s="260" t="str">
        <f ca="1">Start.listina!I64</f>
        <v/>
      </c>
      <c r="B58" s="260" t="str">
        <f ca="1">Start.listina!J64</f>
        <v>Schwede Detlef, Chemnitz, Německo</v>
      </c>
      <c r="C58" s="260" t="str">
        <f ca="1">Start.listina!K64</f>
        <v xml:space="preserve"> </v>
      </c>
      <c r="D58" s="260" t="str">
        <f ca="1">Start.listina!L64</f>
        <v xml:space="preserve"> </v>
      </c>
      <c r="E58" s="260">
        <f ca="1">Start.listina!M64</f>
        <v>9999</v>
      </c>
      <c r="F58" s="260">
        <f ca="1">Start.listina!N64</f>
        <v>0</v>
      </c>
      <c r="G58" s="4"/>
    </row>
    <row r="59" spans="1:7" x14ac:dyDescent="0.4">
      <c r="A59" s="260" t="str">
        <f ca="1">Start.listina!I65</f>
        <v/>
      </c>
      <c r="B59" s="260" t="str">
        <f ca="1">Start.listina!J65</f>
        <v>Bjarne, Dánsko</v>
      </c>
      <c r="C59" s="260" t="str">
        <f ca="1">Start.listina!K65</f>
        <v xml:space="preserve"> </v>
      </c>
      <c r="D59" s="260" t="str">
        <f ca="1">Start.listina!L65</f>
        <v xml:space="preserve"> </v>
      </c>
      <c r="E59" s="260">
        <f ca="1">Start.listina!M65</f>
        <v>9999</v>
      </c>
      <c r="F59" s="260">
        <f ca="1">Start.listina!N65</f>
        <v>0</v>
      </c>
      <c r="G59" s="4"/>
    </row>
    <row r="60" spans="1:7" x14ac:dyDescent="0.4">
      <c r="A60" s="260" t="str">
        <f ca="1">Start.listina!I66</f>
        <v/>
      </c>
      <c r="B60" s="260" t="str">
        <f ca="1">Start.listina!J66</f>
        <v>Lohss, Hartmut, Německo</v>
      </c>
      <c r="C60" s="260" t="str">
        <f ca="1">Start.listina!K66</f>
        <v xml:space="preserve"> </v>
      </c>
      <c r="D60" s="260" t="str">
        <f ca="1">Start.listina!L66</f>
        <v xml:space="preserve"> </v>
      </c>
      <c r="E60" s="260">
        <f ca="1">Start.listina!M66</f>
        <v>9999</v>
      </c>
      <c r="F60" s="260">
        <f ca="1">Start.listina!N66</f>
        <v>0</v>
      </c>
      <c r="G60" s="4"/>
    </row>
    <row r="61" spans="1:7" x14ac:dyDescent="0.4">
      <c r="A61" s="260" t="str">
        <f ca="1">Start.listina!I67</f>
        <v/>
      </c>
      <c r="B61" s="260" t="str">
        <f ca="1">Start.listina!J67</f>
        <v>Bo, Dánsko</v>
      </c>
      <c r="C61" s="260" t="str">
        <f ca="1">Start.listina!K67</f>
        <v xml:space="preserve"> </v>
      </c>
      <c r="D61" s="260" t="str">
        <f ca="1">Start.listina!L67</f>
        <v xml:space="preserve"> </v>
      </c>
      <c r="E61" s="260">
        <f ca="1">Start.listina!M67</f>
        <v>9999</v>
      </c>
      <c r="F61" s="260">
        <f ca="1">Start.listina!N67</f>
        <v>0</v>
      </c>
      <c r="G61" s="4"/>
    </row>
    <row r="62" spans="1:7" x14ac:dyDescent="0.4">
      <c r="A62" s="260" t="str">
        <f ca="1">Start.listina!I68</f>
        <v/>
      </c>
      <c r="B62" s="260" t="str">
        <f ca="1">Start.listina!J68</f>
        <v xml:space="preserve"> </v>
      </c>
      <c r="C62" s="260" t="str">
        <f ca="1">Start.listina!K68</f>
        <v xml:space="preserve"> </v>
      </c>
      <c r="D62" s="260" t="str">
        <f ca="1">Start.listina!L68</f>
        <v xml:space="preserve"> </v>
      </c>
      <c r="E62" s="260">
        <f ca="1">Start.listina!M68</f>
        <v>9999</v>
      </c>
      <c r="F62" s="260">
        <f ca="1">Start.listina!N68</f>
        <v>0</v>
      </c>
      <c r="G62" s="4"/>
    </row>
    <row r="63" spans="1:7" x14ac:dyDescent="0.4">
      <c r="A63" s="260" t="str">
        <f ca="1">Start.listina!I69</f>
        <v/>
      </c>
      <c r="B63" s="260" t="str">
        <f ca="1">Start.listina!J69</f>
        <v xml:space="preserve"> </v>
      </c>
      <c r="C63" s="260" t="str">
        <f ca="1">Start.listina!K69</f>
        <v xml:space="preserve"> </v>
      </c>
      <c r="D63" s="260" t="str">
        <f ca="1">Start.listina!L69</f>
        <v xml:space="preserve"> </v>
      </c>
      <c r="E63" s="260">
        <f ca="1">Start.listina!M69</f>
        <v>9999</v>
      </c>
      <c r="F63" s="260">
        <f ca="1">Start.listina!N69</f>
        <v>0</v>
      </c>
      <c r="G63" s="4"/>
    </row>
    <row r="64" spans="1:7" x14ac:dyDescent="0.4">
      <c r="A64" s="260" t="str">
        <f ca="1">Start.listina!I70</f>
        <v/>
      </c>
      <c r="B64" s="260" t="str">
        <f ca="1">Start.listina!J70</f>
        <v xml:space="preserve"> </v>
      </c>
      <c r="C64" s="260" t="str">
        <f ca="1">Start.listina!K70</f>
        <v xml:space="preserve"> </v>
      </c>
      <c r="D64" s="260" t="str">
        <f ca="1">Start.listina!L70</f>
        <v xml:space="preserve"> </v>
      </c>
      <c r="E64" s="260">
        <f ca="1">Start.listina!M70</f>
        <v>9999</v>
      </c>
      <c r="F64" s="260">
        <f ca="1">Start.listina!N70</f>
        <v>0</v>
      </c>
      <c r="G64" s="4"/>
    </row>
    <row r="65" spans="1:7" x14ac:dyDescent="0.4">
      <c r="A65" s="260" t="str">
        <f ca="1">Start.listina!I71</f>
        <v/>
      </c>
      <c r="B65" s="260" t="str">
        <f ca="1">Start.listina!J71</f>
        <v xml:space="preserve"> </v>
      </c>
      <c r="C65" s="260" t="str">
        <f ca="1">Start.listina!K71</f>
        <v xml:space="preserve"> </v>
      </c>
      <c r="D65" s="260" t="str">
        <f ca="1">Start.listina!L71</f>
        <v xml:space="preserve"> </v>
      </c>
      <c r="E65" s="260">
        <f ca="1">Start.listina!M71</f>
        <v>9999</v>
      </c>
      <c r="F65" s="260">
        <f ca="1">Start.listina!N71</f>
        <v>0</v>
      </c>
      <c r="G65" s="4"/>
    </row>
    <row r="66" spans="1:7" x14ac:dyDescent="0.4">
      <c r="A66" s="260" t="str">
        <f ca="1">Start.listina!I72</f>
        <v/>
      </c>
      <c r="B66" s="260" t="str">
        <f ca="1">Start.listina!J72</f>
        <v xml:space="preserve"> </v>
      </c>
      <c r="C66" s="260" t="str">
        <f ca="1">Start.listina!K72</f>
        <v xml:space="preserve"> </v>
      </c>
      <c r="D66" s="260" t="str">
        <f ca="1">Start.listina!L72</f>
        <v xml:space="preserve"> </v>
      </c>
      <c r="E66" s="260">
        <f ca="1">Start.listina!M72</f>
        <v>9999</v>
      </c>
      <c r="F66" s="260">
        <f ca="1">Start.listina!N72</f>
        <v>0</v>
      </c>
      <c r="G66" s="4"/>
    </row>
    <row r="67" spans="1:7" x14ac:dyDescent="0.4">
      <c r="A67" s="260" t="str">
        <f ca="1">Start.listina!I73</f>
        <v/>
      </c>
      <c r="B67" s="260" t="str">
        <f ca="1">Start.listina!J73</f>
        <v xml:space="preserve"> </v>
      </c>
      <c r="C67" s="260" t="str">
        <f ca="1">Start.listina!K73</f>
        <v xml:space="preserve"> </v>
      </c>
      <c r="D67" s="260" t="str">
        <f ca="1">Start.listina!L73</f>
        <v xml:space="preserve"> </v>
      </c>
      <c r="E67" s="260">
        <f ca="1">Start.listina!M73</f>
        <v>9999</v>
      </c>
      <c r="F67" s="260">
        <f ca="1">Start.listina!N73</f>
        <v>0</v>
      </c>
      <c r="G67" s="4"/>
    </row>
    <row r="68" spans="1:7" x14ac:dyDescent="0.4">
      <c r="A68" s="260" t="str">
        <f ca="1">Start.listina!I74</f>
        <v/>
      </c>
      <c r="B68" s="260" t="str">
        <f ca="1">Start.listina!J74</f>
        <v xml:space="preserve"> </v>
      </c>
      <c r="C68" s="260" t="str">
        <f ca="1">Start.listina!K74</f>
        <v xml:space="preserve"> </v>
      </c>
      <c r="D68" s="260" t="str">
        <f ca="1">Start.listina!L74</f>
        <v xml:space="preserve"> </v>
      </c>
      <c r="E68" s="260">
        <f ca="1">Start.listina!M74</f>
        <v>9999</v>
      </c>
      <c r="F68" s="260">
        <f ca="1">Start.listina!N74</f>
        <v>0</v>
      </c>
      <c r="G68" s="4"/>
    </row>
    <row r="69" spans="1:7" x14ac:dyDescent="0.4">
      <c r="A69" s="260" t="str">
        <f ca="1">Start.listina!I75</f>
        <v/>
      </c>
      <c r="B69" s="260" t="str">
        <f ca="1">Start.listina!J75</f>
        <v xml:space="preserve"> </v>
      </c>
      <c r="C69" s="260" t="str">
        <f ca="1">Start.listina!K75</f>
        <v xml:space="preserve"> </v>
      </c>
      <c r="D69" s="260" t="str">
        <f ca="1">Start.listina!L75</f>
        <v xml:space="preserve"> </v>
      </c>
      <c r="E69" s="260">
        <f ca="1">Start.listina!M75</f>
        <v>9999</v>
      </c>
      <c r="F69" s="260">
        <f ca="1">Start.listina!N75</f>
        <v>0</v>
      </c>
      <c r="G69" s="4"/>
    </row>
    <row r="70" spans="1:7" x14ac:dyDescent="0.4">
      <c r="A70" s="260" t="str">
        <f ca="1">Start.listina!I76</f>
        <v/>
      </c>
      <c r="B70" s="260" t="str">
        <f ca="1">Start.listina!J76</f>
        <v xml:space="preserve"> </v>
      </c>
      <c r="C70" s="260" t="str">
        <f ca="1">Start.listina!K76</f>
        <v xml:space="preserve"> </v>
      </c>
      <c r="D70" s="260" t="str">
        <f ca="1">Start.listina!L76</f>
        <v xml:space="preserve"> </v>
      </c>
      <c r="E70" s="260">
        <f ca="1">Start.listina!M76</f>
        <v>9999</v>
      </c>
      <c r="F70" s="260">
        <f ca="1">Start.listina!N76</f>
        <v>0</v>
      </c>
      <c r="G70" s="4"/>
    </row>
    <row r="71" spans="1:7" x14ac:dyDescent="0.4">
      <c r="A71" s="260" t="str">
        <f ca="1">Start.listina!I77</f>
        <v/>
      </c>
      <c r="B71" s="260" t="str">
        <f ca="1">Start.listina!J77</f>
        <v xml:space="preserve"> </v>
      </c>
      <c r="C71" s="260" t="str">
        <f ca="1">Start.listina!K77</f>
        <v xml:space="preserve"> </v>
      </c>
      <c r="D71" s="260" t="str">
        <f ca="1">Start.listina!L77</f>
        <v xml:space="preserve"> </v>
      </c>
      <c r="E71" s="260">
        <f ca="1">Start.listina!M77</f>
        <v>9999</v>
      </c>
      <c r="F71" s="260">
        <f ca="1">Start.listina!N77</f>
        <v>0</v>
      </c>
      <c r="G71" s="4"/>
    </row>
    <row r="72" spans="1:7" x14ac:dyDescent="0.4">
      <c r="A72" s="260" t="str">
        <f ca="1">Start.listina!I78</f>
        <v/>
      </c>
      <c r="B72" s="260" t="str">
        <f ca="1">Start.listina!J78</f>
        <v xml:space="preserve"> </v>
      </c>
      <c r="C72" s="260" t="str">
        <f ca="1">Start.listina!K78</f>
        <v xml:space="preserve"> </v>
      </c>
      <c r="D72" s="260" t="str">
        <f ca="1">Start.listina!L78</f>
        <v xml:space="preserve"> </v>
      </c>
      <c r="E72" s="260">
        <f ca="1">Start.listina!M78</f>
        <v>9999</v>
      </c>
      <c r="F72" s="260">
        <f ca="1">Start.listina!N78</f>
        <v>0</v>
      </c>
      <c r="G72" s="4"/>
    </row>
    <row r="73" spans="1:7" x14ac:dyDescent="0.4">
      <c r="A73" s="260" t="str">
        <f ca="1">Start.listina!I79</f>
        <v/>
      </c>
      <c r="B73" s="260" t="str">
        <f ca="1">Start.listina!J79</f>
        <v xml:space="preserve"> </v>
      </c>
      <c r="C73" s="260" t="str">
        <f ca="1">Start.listina!K79</f>
        <v xml:space="preserve"> </v>
      </c>
      <c r="D73" s="260" t="str">
        <f ca="1">Start.listina!L79</f>
        <v xml:space="preserve"> </v>
      </c>
      <c r="E73" s="260">
        <f ca="1">Start.listina!M79</f>
        <v>9999</v>
      </c>
      <c r="F73" s="260">
        <f ca="1">Start.listina!N79</f>
        <v>0</v>
      </c>
      <c r="G73" s="4"/>
    </row>
    <row r="74" spans="1:7" x14ac:dyDescent="0.4">
      <c r="A74" s="260" t="str">
        <f ca="1">Start.listina!I80</f>
        <v/>
      </c>
      <c r="B74" s="260" t="str">
        <f ca="1">Start.listina!J80</f>
        <v xml:space="preserve"> </v>
      </c>
      <c r="C74" s="260" t="str">
        <f ca="1">Start.listina!K80</f>
        <v xml:space="preserve"> </v>
      </c>
      <c r="D74" s="260" t="str">
        <f ca="1">Start.listina!L80</f>
        <v xml:space="preserve"> </v>
      </c>
      <c r="E74" s="260">
        <f ca="1">Start.listina!M80</f>
        <v>9999</v>
      </c>
      <c r="F74" s="260">
        <f ca="1">Start.listina!N80</f>
        <v>0</v>
      </c>
      <c r="G74" s="4"/>
    </row>
    <row r="75" spans="1:7" x14ac:dyDescent="0.4">
      <c r="A75" s="260" t="str">
        <f ca="1">Start.listina!I81</f>
        <v/>
      </c>
      <c r="B75" s="260" t="str">
        <f ca="1">Start.listina!J81</f>
        <v xml:space="preserve"> </v>
      </c>
      <c r="C75" s="260" t="str">
        <f ca="1">Start.listina!K81</f>
        <v xml:space="preserve"> </v>
      </c>
      <c r="D75" s="260" t="str">
        <f ca="1">Start.listina!L81</f>
        <v xml:space="preserve"> </v>
      </c>
      <c r="E75" s="260">
        <f ca="1">Start.listina!M81</f>
        <v>9999</v>
      </c>
      <c r="F75" s="260">
        <f ca="1">Start.listina!N81</f>
        <v>0</v>
      </c>
      <c r="G75" s="4"/>
    </row>
    <row r="76" spans="1:7" x14ac:dyDescent="0.4">
      <c r="A76" s="260" t="str">
        <f ca="1">Start.listina!I82</f>
        <v/>
      </c>
      <c r="B76" s="260" t="str">
        <f ca="1">Start.listina!J82</f>
        <v xml:space="preserve"> </v>
      </c>
      <c r="C76" s="260" t="str">
        <f ca="1">Start.listina!K82</f>
        <v xml:space="preserve"> </v>
      </c>
      <c r="D76" s="260" t="str">
        <f ca="1">Start.listina!L82</f>
        <v xml:space="preserve"> </v>
      </c>
      <c r="E76" s="260">
        <f ca="1">Start.listina!M82</f>
        <v>9999</v>
      </c>
      <c r="F76" s="260">
        <f ca="1">Start.listina!N82</f>
        <v>0</v>
      </c>
      <c r="G76" s="4"/>
    </row>
    <row r="77" spans="1:7" x14ac:dyDescent="0.4">
      <c r="A77" s="260" t="str">
        <f ca="1">Start.listina!I83</f>
        <v/>
      </c>
      <c r="B77" s="260" t="str">
        <f ca="1">Start.listina!J83</f>
        <v xml:space="preserve"> </v>
      </c>
      <c r="C77" s="260" t="str">
        <f ca="1">Start.listina!K83</f>
        <v xml:space="preserve"> </v>
      </c>
      <c r="D77" s="260" t="str">
        <f ca="1">Start.listina!L83</f>
        <v xml:space="preserve"> </v>
      </c>
      <c r="E77" s="260">
        <f ca="1">Start.listina!M83</f>
        <v>9999</v>
      </c>
      <c r="F77" s="260">
        <f ca="1">Start.listina!N83</f>
        <v>0</v>
      </c>
      <c r="G77" s="4"/>
    </row>
    <row r="78" spans="1:7" x14ac:dyDescent="0.4">
      <c r="A78" s="260" t="str">
        <f ca="1">Start.listina!I84</f>
        <v/>
      </c>
      <c r="B78" s="260" t="str">
        <f ca="1">Start.listina!J84</f>
        <v xml:space="preserve"> </v>
      </c>
      <c r="C78" s="260" t="str">
        <f ca="1">Start.listina!K84</f>
        <v xml:space="preserve"> </v>
      </c>
      <c r="D78" s="260" t="str">
        <f ca="1">Start.listina!L84</f>
        <v xml:space="preserve"> </v>
      </c>
      <c r="E78" s="260">
        <f ca="1">Start.listina!M84</f>
        <v>9999</v>
      </c>
      <c r="F78" s="260">
        <f ca="1">Start.listina!N84</f>
        <v>0</v>
      </c>
      <c r="G78" s="4"/>
    </row>
    <row r="79" spans="1:7" x14ac:dyDescent="0.4">
      <c r="A79" s="260" t="str">
        <f ca="1">Start.listina!I85</f>
        <v/>
      </c>
      <c r="B79" s="260" t="str">
        <f ca="1">Start.listina!J85</f>
        <v xml:space="preserve"> </v>
      </c>
      <c r="C79" s="260" t="str">
        <f ca="1">Start.listina!K85</f>
        <v xml:space="preserve"> </v>
      </c>
      <c r="D79" s="260" t="str">
        <f ca="1">Start.listina!L85</f>
        <v xml:space="preserve"> </v>
      </c>
      <c r="E79" s="260">
        <f ca="1">Start.listina!M85</f>
        <v>9999</v>
      </c>
      <c r="F79" s="260">
        <f ca="1">Start.listina!N85</f>
        <v>0</v>
      </c>
      <c r="G79" s="4"/>
    </row>
    <row r="80" spans="1:7" x14ac:dyDescent="0.4">
      <c r="A80" s="260" t="str">
        <f ca="1">Start.listina!I86</f>
        <v/>
      </c>
      <c r="B80" s="260" t="str">
        <f ca="1">Start.listina!J86</f>
        <v xml:space="preserve"> </v>
      </c>
      <c r="C80" s="260" t="str">
        <f ca="1">Start.listina!K86</f>
        <v xml:space="preserve"> </v>
      </c>
      <c r="D80" s="260" t="str">
        <f ca="1">Start.listina!L86</f>
        <v xml:space="preserve"> </v>
      </c>
      <c r="E80" s="260">
        <f ca="1">Start.listina!M86</f>
        <v>9999</v>
      </c>
      <c r="F80" s="260">
        <f ca="1">Start.listina!N86</f>
        <v>0</v>
      </c>
      <c r="G80" s="4"/>
    </row>
    <row r="81" spans="1:7" x14ac:dyDescent="0.4">
      <c r="A81" s="260" t="str">
        <f ca="1">Start.listina!I87</f>
        <v/>
      </c>
      <c r="B81" s="260" t="str">
        <f ca="1">Start.listina!J87</f>
        <v xml:space="preserve"> </v>
      </c>
      <c r="C81" s="260" t="str">
        <f ca="1">Start.listina!K87</f>
        <v xml:space="preserve"> </v>
      </c>
      <c r="D81" s="260" t="str">
        <f ca="1">Start.listina!L87</f>
        <v xml:space="preserve"> </v>
      </c>
      <c r="E81" s="260">
        <f ca="1">Start.listina!M87</f>
        <v>9999</v>
      </c>
      <c r="F81" s="260">
        <f ca="1">Start.listina!N87</f>
        <v>0</v>
      </c>
      <c r="G81" s="4"/>
    </row>
    <row r="82" spans="1:7" x14ac:dyDescent="0.4">
      <c r="A82" s="260" t="str">
        <f ca="1">Start.listina!I88</f>
        <v/>
      </c>
      <c r="B82" s="260" t="str">
        <f ca="1">Start.listina!J88</f>
        <v xml:space="preserve"> </v>
      </c>
      <c r="C82" s="260" t="str">
        <f ca="1">Start.listina!K88</f>
        <v xml:space="preserve"> </v>
      </c>
      <c r="D82" s="260" t="str">
        <f ca="1">Start.listina!L88</f>
        <v xml:space="preserve"> </v>
      </c>
      <c r="E82" s="260">
        <f ca="1">Start.listina!M88</f>
        <v>9999</v>
      </c>
      <c r="F82" s="260">
        <f ca="1">Start.listina!N88</f>
        <v>0</v>
      </c>
      <c r="G82" s="4"/>
    </row>
    <row r="83" spans="1:7" x14ac:dyDescent="0.4">
      <c r="A83" s="260" t="str">
        <f ca="1">Start.listina!I89</f>
        <v/>
      </c>
      <c r="B83" s="260" t="str">
        <f ca="1">Start.listina!J89</f>
        <v xml:space="preserve"> </v>
      </c>
      <c r="C83" s="260" t="str">
        <f ca="1">Start.listina!K89</f>
        <v xml:space="preserve"> </v>
      </c>
      <c r="D83" s="260" t="str">
        <f ca="1">Start.listina!L89</f>
        <v xml:space="preserve"> </v>
      </c>
      <c r="E83" s="260">
        <f ca="1">Start.listina!M89</f>
        <v>9999</v>
      </c>
      <c r="F83" s="260">
        <f ca="1">Start.listina!N89</f>
        <v>0</v>
      </c>
      <c r="G83" s="4"/>
    </row>
    <row r="84" spans="1:7" x14ac:dyDescent="0.4">
      <c r="A84" s="260" t="str">
        <f ca="1">Start.listina!I90</f>
        <v/>
      </c>
      <c r="B84" s="260" t="str">
        <f ca="1">Start.listina!J90</f>
        <v xml:space="preserve"> </v>
      </c>
      <c r="C84" s="260" t="str">
        <f ca="1">Start.listina!K90</f>
        <v xml:space="preserve"> </v>
      </c>
      <c r="D84" s="260" t="str">
        <f ca="1">Start.listina!L90</f>
        <v xml:space="preserve"> </v>
      </c>
      <c r="E84" s="260">
        <f ca="1">Start.listina!M90</f>
        <v>9999</v>
      </c>
      <c r="F84" s="260">
        <f ca="1">Start.listina!N90</f>
        <v>0</v>
      </c>
      <c r="G84" s="4"/>
    </row>
    <row r="85" spans="1:7" x14ac:dyDescent="0.4">
      <c r="A85" s="260" t="str">
        <f ca="1">Start.listina!I91</f>
        <v/>
      </c>
      <c r="B85" s="260" t="str">
        <f ca="1">Start.listina!J91</f>
        <v xml:space="preserve"> </v>
      </c>
      <c r="C85" s="260" t="str">
        <f ca="1">Start.listina!K91</f>
        <v xml:space="preserve"> </v>
      </c>
      <c r="D85" s="260" t="str">
        <f ca="1">Start.listina!L91</f>
        <v xml:space="preserve"> </v>
      </c>
      <c r="E85" s="260">
        <f ca="1">Start.listina!M91</f>
        <v>9999</v>
      </c>
      <c r="F85" s="260">
        <f ca="1">Start.listina!N91</f>
        <v>0</v>
      </c>
      <c r="G85" s="4"/>
    </row>
    <row r="86" spans="1:7" x14ac:dyDescent="0.4">
      <c r="A86" s="260" t="str">
        <f ca="1">Start.listina!I92</f>
        <v/>
      </c>
      <c r="B86" s="260" t="str">
        <f ca="1">Start.listina!J92</f>
        <v xml:space="preserve"> </v>
      </c>
      <c r="C86" s="260" t="str">
        <f ca="1">Start.listina!K92</f>
        <v xml:space="preserve"> </v>
      </c>
      <c r="D86" s="260" t="str">
        <f ca="1">Start.listina!L92</f>
        <v xml:space="preserve"> </v>
      </c>
      <c r="E86" s="260">
        <f ca="1">Start.listina!M92</f>
        <v>9999</v>
      </c>
      <c r="F86" s="260">
        <f ca="1">Start.listina!N92</f>
        <v>0</v>
      </c>
      <c r="G86" s="4"/>
    </row>
    <row r="87" spans="1:7" x14ac:dyDescent="0.4">
      <c r="A87" s="260" t="str">
        <f ca="1">Start.listina!I93</f>
        <v/>
      </c>
      <c r="B87" s="260" t="str">
        <f ca="1">Start.listina!J93</f>
        <v xml:space="preserve"> </v>
      </c>
      <c r="C87" s="260" t="str">
        <f ca="1">Start.listina!K93</f>
        <v xml:space="preserve"> </v>
      </c>
      <c r="D87" s="260" t="str">
        <f ca="1">Start.listina!L93</f>
        <v xml:space="preserve"> </v>
      </c>
      <c r="E87" s="260">
        <f ca="1">Start.listina!M93</f>
        <v>9999</v>
      </c>
      <c r="F87" s="260">
        <f ca="1">Start.listina!N93</f>
        <v>0</v>
      </c>
      <c r="G87" s="4"/>
    </row>
    <row r="88" spans="1:7" x14ac:dyDescent="0.4">
      <c r="A88" s="260" t="str">
        <f ca="1">Start.listina!I94</f>
        <v/>
      </c>
      <c r="B88" s="260" t="str">
        <f ca="1">Start.listina!J94</f>
        <v xml:space="preserve"> </v>
      </c>
      <c r="C88" s="260" t="str">
        <f ca="1">Start.listina!K94</f>
        <v xml:space="preserve"> </v>
      </c>
      <c r="D88" s="260" t="str">
        <f ca="1">Start.listina!L94</f>
        <v xml:space="preserve"> </v>
      </c>
      <c r="E88" s="260">
        <f ca="1">Start.listina!M94</f>
        <v>9999</v>
      </c>
      <c r="F88" s="260">
        <f ca="1">Start.listina!N94</f>
        <v>0</v>
      </c>
      <c r="G88" s="4"/>
    </row>
    <row r="89" spans="1:7" x14ac:dyDescent="0.4">
      <c r="A89" s="260" t="str">
        <f ca="1">Start.listina!I95</f>
        <v/>
      </c>
      <c r="B89" s="260" t="str">
        <f ca="1">Start.listina!J95</f>
        <v xml:space="preserve"> </v>
      </c>
      <c r="C89" s="260" t="str">
        <f ca="1">Start.listina!K95</f>
        <v xml:space="preserve"> </v>
      </c>
      <c r="D89" s="260" t="str">
        <f ca="1">Start.listina!L95</f>
        <v xml:space="preserve"> </v>
      </c>
      <c r="E89" s="260">
        <f ca="1">Start.listina!M95</f>
        <v>9999</v>
      </c>
      <c r="F89" s="260">
        <f ca="1">Start.listina!N95</f>
        <v>0</v>
      </c>
      <c r="G89" s="4"/>
    </row>
    <row r="90" spans="1:7" x14ac:dyDescent="0.4">
      <c r="A90" s="260" t="str">
        <f ca="1">Start.listina!I96</f>
        <v/>
      </c>
      <c r="B90" s="260" t="str">
        <f ca="1">Start.listina!J96</f>
        <v xml:space="preserve"> </v>
      </c>
      <c r="C90" s="260" t="str">
        <f ca="1">Start.listina!K96</f>
        <v xml:space="preserve"> </v>
      </c>
      <c r="D90" s="260" t="str">
        <f ca="1">Start.listina!L96</f>
        <v xml:space="preserve"> </v>
      </c>
      <c r="E90" s="260">
        <f ca="1">Start.listina!M96</f>
        <v>9999</v>
      </c>
      <c r="F90" s="260">
        <f ca="1">Start.listina!N96</f>
        <v>0</v>
      </c>
      <c r="G90" s="4"/>
    </row>
    <row r="91" spans="1:7" x14ac:dyDescent="0.4">
      <c r="A91" s="260" t="str">
        <f ca="1">Start.listina!I97</f>
        <v/>
      </c>
      <c r="B91" s="260" t="str">
        <f ca="1">Start.listina!J97</f>
        <v xml:space="preserve"> </v>
      </c>
      <c r="C91" s="260" t="str">
        <f ca="1">Start.listina!K97</f>
        <v xml:space="preserve"> </v>
      </c>
      <c r="D91" s="260" t="str">
        <f ca="1">Start.listina!L97</f>
        <v xml:space="preserve"> </v>
      </c>
      <c r="E91" s="260">
        <f ca="1">Start.listina!M97</f>
        <v>9999</v>
      </c>
      <c r="F91" s="260">
        <f ca="1">Start.listina!N97</f>
        <v>0</v>
      </c>
      <c r="G91" s="4"/>
    </row>
    <row r="92" spans="1:7" x14ac:dyDescent="0.4">
      <c r="A92" s="260" t="str">
        <f ca="1">Start.listina!I98</f>
        <v/>
      </c>
      <c r="B92" s="260" t="str">
        <f ca="1">Start.listina!J98</f>
        <v xml:space="preserve"> </v>
      </c>
      <c r="C92" s="260" t="str">
        <f ca="1">Start.listina!K98</f>
        <v xml:space="preserve"> </v>
      </c>
      <c r="D92" s="260" t="str">
        <f ca="1">Start.listina!L98</f>
        <v xml:space="preserve"> </v>
      </c>
      <c r="E92" s="260">
        <f ca="1">Start.listina!M98</f>
        <v>9999</v>
      </c>
      <c r="F92" s="260">
        <f ca="1">Start.listina!N98</f>
        <v>0</v>
      </c>
      <c r="G92" s="4"/>
    </row>
    <row r="93" spans="1:7" x14ac:dyDescent="0.4">
      <c r="A93" s="260" t="str">
        <f ca="1">Start.listina!I99</f>
        <v/>
      </c>
      <c r="B93" s="260" t="str">
        <f ca="1">Start.listina!J99</f>
        <v xml:space="preserve"> </v>
      </c>
      <c r="C93" s="260" t="str">
        <f ca="1">Start.listina!K99</f>
        <v xml:space="preserve"> </v>
      </c>
      <c r="D93" s="260" t="str">
        <f ca="1">Start.listina!L99</f>
        <v xml:space="preserve"> </v>
      </c>
      <c r="E93" s="260">
        <f ca="1">Start.listina!M99</f>
        <v>9999</v>
      </c>
      <c r="F93" s="260">
        <f ca="1">Start.listina!N99</f>
        <v>0</v>
      </c>
      <c r="G93" s="4"/>
    </row>
    <row r="94" spans="1:7" x14ac:dyDescent="0.4">
      <c r="A94" s="260" t="str">
        <f ca="1">Start.listina!I100</f>
        <v/>
      </c>
      <c r="B94" s="260" t="str">
        <f ca="1">Start.listina!J100</f>
        <v xml:space="preserve"> </v>
      </c>
      <c r="C94" s="260" t="str">
        <f ca="1">Start.listina!K100</f>
        <v xml:space="preserve"> </v>
      </c>
      <c r="D94" s="260" t="str">
        <f ca="1">Start.listina!L100</f>
        <v xml:space="preserve"> </v>
      </c>
      <c r="E94" s="260">
        <f ca="1">Start.listina!M100</f>
        <v>9999</v>
      </c>
      <c r="F94" s="260">
        <f ca="1">Start.listina!N100</f>
        <v>0</v>
      </c>
      <c r="G94" s="4"/>
    </row>
    <row r="95" spans="1:7" x14ac:dyDescent="0.4">
      <c r="A95" s="260" t="str">
        <f ca="1">Start.listina!I101</f>
        <v/>
      </c>
      <c r="B95" s="260" t="str">
        <f ca="1">Start.listina!J101</f>
        <v xml:space="preserve"> </v>
      </c>
      <c r="C95" s="260" t="str">
        <f ca="1">Start.listina!K101</f>
        <v xml:space="preserve"> </v>
      </c>
      <c r="D95" s="260" t="str">
        <f ca="1">Start.listina!L101</f>
        <v xml:space="preserve"> </v>
      </c>
      <c r="E95" s="260">
        <f ca="1">Start.listina!M101</f>
        <v>9999</v>
      </c>
      <c r="F95" s="260">
        <f ca="1">Start.listina!N101</f>
        <v>0</v>
      </c>
      <c r="G95" s="4"/>
    </row>
    <row r="96" spans="1:7" x14ac:dyDescent="0.4">
      <c r="A96" s="260" t="str">
        <f ca="1">Start.listina!I102</f>
        <v/>
      </c>
      <c r="B96" s="260" t="str">
        <f ca="1">Start.listina!J102</f>
        <v xml:space="preserve"> </v>
      </c>
      <c r="C96" s="260" t="str">
        <f ca="1">Start.listina!K102</f>
        <v xml:space="preserve"> </v>
      </c>
      <c r="D96" s="260" t="str">
        <f ca="1">Start.listina!L102</f>
        <v xml:space="preserve"> </v>
      </c>
      <c r="E96" s="260">
        <f ca="1">Start.listina!M102</f>
        <v>9999</v>
      </c>
      <c r="F96" s="260">
        <f ca="1">Start.listina!N102</f>
        <v>0</v>
      </c>
      <c r="G96" s="4"/>
    </row>
    <row r="97" spans="1:7" x14ac:dyDescent="0.4">
      <c r="A97" s="260" t="str">
        <f ca="1">Start.listina!I103</f>
        <v/>
      </c>
      <c r="B97" s="260" t="str">
        <f ca="1">Start.listina!J103</f>
        <v xml:space="preserve"> </v>
      </c>
      <c r="C97" s="260" t="str">
        <f ca="1">Start.listina!K103</f>
        <v xml:space="preserve"> </v>
      </c>
      <c r="D97" s="260" t="str">
        <f ca="1">Start.listina!L103</f>
        <v xml:space="preserve"> </v>
      </c>
      <c r="E97" s="260">
        <f ca="1">Start.listina!M103</f>
        <v>9999</v>
      </c>
      <c r="F97" s="260">
        <f ca="1">Start.listina!N103</f>
        <v>0</v>
      </c>
      <c r="G97" s="4"/>
    </row>
    <row r="98" spans="1:7" x14ac:dyDescent="0.4">
      <c r="A98" s="260" t="str">
        <f ca="1">Start.listina!I104</f>
        <v/>
      </c>
      <c r="B98" s="260" t="str">
        <f ca="1">Start.listina!J104</f>
        <v xml:space="preserve"> </v>
      </c>
      <c r="C98" s="260" t="str">
        <f ca="1">Start.listina!K104</f>
        <v xml:space="preserve"> </v>
      </c>
      <c r="D98" s="260" t="str">
        <f ca="1">Start.listina!L104</f>
        <v xml:space="preserve"> </v>
      </c>
      <c r="E98" s="260">
        <f ca="1">Start.listina!M104</f>
        <v>9999</v>
      </c>
      <c r="F98" s="260">
        <f ca="1">Start.listina!N104</f>
        <v>0</v>
      </c>
      <c r="G98" s="4"/>
    </row>
    <row r="99" spans="1:7" x14ac:dyDescent="0.4">
      <c r="A99" s="260" t="str">
        <f ca="1">Start.listina!I105</f>
        <v/>
      </c>
      <c r="B99" s="260" t="str">
        <f ca="1">Start.listina!J105</f>
        <v xml:space="preserve"> </v>
      </c>
      <c r="C99" s="260" t="str">
        <f ca="1">Start.listina!K105</f>
        <v xml:space="preserve"> </v>
      </c>
      <c r="D99" s="260" t="str">
        <f ca="1">Start.listina!L105</f>
        <v xml:space="preserve"> </v>
      </c>
      <c r="E99" s="260">
        <f ca="1">Start.listina!M105</f>
        <v>9999</v>
      </c>
      <c r="F99" s="260">
        <f ca="1">Start.listina!N105</f>
        <v>0</v>
      </c>
      <c r="G99" s="4"/>
    </row>
    <row r="100" spans="1:7" x14ac:dyDescent="0.4">
      <c r="A100" s="260" t="str">
        <f ca="1">Start.listina!I106</f>
        <v/>
      </c>
      <c r="B100" s="260" t="str">
        <f ca="1">Start.listina!J106</f>
        <v xml:space="preserve"> </v>
      </c>
      <c r="C100" s="260" t="str">
        <f ca="1">Start.listina!K106</f>
        <v xml:space="preserve"> </v>
      </c>
      <c r="D100" s="260" t="str">
        <f ca="1">Start.listina!L106</f>
        <v xml:space="preserve"> </v>
      </c>
      <c r="E100" s="260">
        <f ca="1">Start.listina!M106</f>
        <v>9999</v>
      </c>
      <c r="F100" s="260">
        <f ca="1">Start.listina!N106</f>
        <v>0</v>
      </c>
      <c r="G100" s="4"/>
    </row>
    <row r="101" spans="1:7" x14ac:dyDescent="0.4">
      <c r="A101" s="260" t="str">
        <f ca="1">Start.listina!I107</f>
        <v/>
      </c>
      <c r="B101" s="260" t="str">
        <f ca="1">Start.listina!J107</f>
        <v xml:space="preserve"> </v>
      </c>
      <c r="C101" s="260" t="str">
        <f ca="1">Start.listina!K107</f>
        <v xml:space="preserve"> </v>
      </c>
      <c r="D101" s="260" t="str">
        <f ca="1">Start.listina!L107</f>
        <v xml:space="preserve"> </v>
      </c>
      <c r="E101" s="260">
        <f ca="1">Start.listina!M107</f>
        <v>9999</v>
      </c>
      <c r="F101" s="260">
        <f ca="1">Start.listina!N107</f>
        <v>0</v>
      </c>
      <c r="G101" s="4"/>
    </row>
    <row r="102" spans="1:7" x14ac:dyDescent="0.4">
      <c r="A102" s="260" t="str">
        <f ca="1">Start.listina!I108</f>
        <v/>
      </c>
      <c r="B102" s="260" t="str">
        <f ca="1">Start.listina!J108</f>
        <v xml:space="preserve"> </v>
      </c>
      <c r="C102" s="260" t="str">
        <f ca="1">Start.listina!K108</f>
        <v xml:space="preserve"> </v>
      </c>
      <c r="D102" s="260" t="str">
        <f ca="1">Start.listina!L108</f>
        <v xml:space="preserve"> </v>
      </c>
      <c r="E102" s="260">
        <f ca="1">Start.listina!M108</f>
        <v>9999</v>
      </c>
      <c r="F102" s="260">
        <f ca="1">Start.listina!N108</f>
        <v>0</v>
      </c>
      <c r="G102" s="4"/>
    </row>
    <row r="103" spans="1:7" x14ac:dyDescent="0.4">
      <c r="A103" s="260" t="str">
        <f ca="1">Start.listina!I109</f>
        <v/>
      </c>
      <c r="B103" s="260" t="str">
        <f ca="1">Start.listina!J109</f>
        <v xml:space="preserve"> </v>
      </c>
      <c r="C103" s="260" t="str">
        <f ca="1">Start.listina!K109</f>
        <v xml:space="preserve"> </v>
      </c>
      <c r="D103" s="260" t="str">
        <f ca="1">Start.listina!L109</f>
        <v xml:space="preserve"> </v>
      </c>
      <c r="E103" s="260">
        <f ca="1">Start.listina!M109</f>
        <v>9999</v>
      </c>
      <c r="F103" s="260">
        <f ca="1">Start.listina!N109</f>
        <v>0</v>
      </c>
      <c r="G103" s="4"/>
    </row>
    <row r="104" spans="1:7" x14ac:dyDescent="0.4">
      <c r="A104" s="260" t="str">
        <f ca="1">Start.listina!I110</f>
        <v/>
      </c>
      <c r="B104" s="260" t="str">
        <f ca="1">Start.listina!J110</f>
        <v xml:space="preserve"> </v>
      </c>
      <c r="C104" s="260" t="str">
        <f ca="1">Start.listina!K110</f>
        <v xml:space="preserve"> </v>
      </c>
      <c r="D104" s="260" t="str">
        <f ca="1">Start.listina!L110</f>
        <v xml:space="preserve"> </v>
      </c>
      <c r="E104" s="260">
        <f ca="1">Start.listina!M110</f>
        <v>9999</v>
      </c>
      <c r="F104" s="260">
        <f ca="1">Start.listina!N110</f>
        <v>0</v>
      </c>
      <c r="G104" s="4"/>
    </row>
    <row r="105" spans="1:7" x14ac:dyDescent="0.4">
      <c r="A105" s="260" t="str">
        <f ca="1">Start.listina!I111</f>
        <v/>
      </c>
      <c r="B105" s="260" t="str">
        <f ca="1">Start.listina!J111</f>
        <v xml:space="preserve"> </v>
      </c>
      <c r="C105" s="260" t="str">
        <f ca="1">Start.listina!K111</f>
        <v xml:space="preserve"> </v>
      </c>
      <c r="D105" s="260" t="str">
        <f ca="1">Start.listina!L111</f>
        <v xml:space="preserve"> </v>
      </c>
      <c r="E105" s="260">
        <f ca="1">Start.listina!M111</f>
        <v>9999</v>
      </c>
      <c r="F105" s="260">
        <f ca="1">Start.listina!N111</f>
        <v>0</v>
      </c>
      <c r="G105" s="4"/>
    </row>
    <row r="106" spans="1:7" x14ac:dyDescent="0.4">
      <c r="A106" s="260" t="str">
        <f ca="1">Start.listina!I112</f>
        <v/>
      </c>
      <c r="B106" s="260" t="str">
        <f ca="1">Start.listina!J112</f>
        <v xml:space="preserve"> </v>
      </c>
      <c r="C106" s="260" t="str">
        <f ca="1">Start.listina!K112</f>
        <v xml:space="preserve"> </v>
      </c>
      <c r="D106" s="260" t="str">
        <f ca="1">Start.listina!L112</f>
        <v xml:space="preserve"> </v>
      </c>
      <c r="E106" s="260">
        <f ca="1">Start.listina!M112</f>
        <v>9999</v>
      </c>
      <c r="F106" s="260">
        <f ca="1">Start.listina!N112</f>
        <v>0</v>
      </c>
      <c r="G106" s="4"/>
    </row>
    <row r="107" spans="1:7" x14ac:dyDescent="0.4">
      <c r="A107" s="260" t="str">
        <f ca="1">Start.listina!I113</f>
        <v/>
      </c>
      <c r="B107" s="260" t="str">
        <f ca="1">Start.listina!J113</f>
        <v xml:space="preserve"> </v>
      </c>
      <c r="C107" s="260" t="str">
        <f ca="1">Start.listina!K113</f>
        <v xml:space="preserve"> </v>
      </c>
      <c r="D107" s="260" t="str">
        <f ca="1">Start.listina!L113</f>
        <v xml:space="preserve"> </v>
      </c>
      <c r="E107" s="260">
        <f ca="1">Start.listina!M113</f>
        <v>9999</v>
      </c>
      <c r="F107" s="260">
        <f ca="1">Start.listina!N113</f>
        <v>0</v>
      </c>
      <c r="G107" s="4"/>
    </row>
    <row r="108" spans="1:7" x14ac:dyDescent="0.4">
      <c r="A108" s="260" t="str">
        <f ca="1">Start.listina!I114</f>
        <v/>
      </c>
      <c r="B108" s="260" t="str">
        <f ca="1">Start.listina!J114</f>
        <v xml:space="preserve"> </v>
      </c>
      <c r="C108" s="260" t="str">
        <f ca="1">Start.listina!K114</f>
        <v xml:space="preserve"> </v>
      </c>
      <c r="D108" s="260" t="str">
        <f ca="1">Start.listina!L114</f>
        <v xml:space="preserve"> </v>
      </c>
      <c r="E108" s="260">
        <f ca="1">Start.listina!M114</f>
        <v>9999</v>
      </c>
      <c r="F108" s="260">
        <f ca="1">Start.listina!N114</f>
        <v>0</v>
      </c>
      <c r="G108" s="4"/>
    </row>
    <row r="109" spans="1:7" x14ac:dyDescent="0.4">
      <c r="A109" s="260" t="str">
        <f ca="1">Start.listina!I115</f>
        <v/>
      </c>
      <c r="B109" s="260" t="str">
        <f ca="1">Start.listina!J115</f>
        <v xml:space="preserve"> </v>
      </c>
      <c r="C109" s="260" t="str">
        <f ca="1">Start.listina!K115</f>
        <v xml:space="preserve"> </v>
      </c>
      <c r="D109" s="260" t="str">
        <f ca="1">Start.listina!L115</f>
        <v xml:space="preserve"> </v>
      </c>
      <c r="E109" s="260">
        <f ca="1">Start.listina!M115</f>
        <v>9999</v>
      </c>
      <c r="F109" s="260">
        <f ca="1">Start.listina!N115</f>
        <v>0</v>
      </c>
      <c r="G109" s="4"/>
    </row>
    <row r="110" spans="1:7" x14ac:dyDescent="0.4">
      <c r="A110" s="260" t="str">
        <f ca="1">Start.listina!I116</f>
        <v/>
      </c>
      <c r="B110" s="260" t="str">
        <f ca="1">Start.listina!J116</f>
        <v xml:space="preserve"> </v>
      </c>
      <c r="C110" s="260" t="str">
        <f ca="1">Start.listina!K116</f>
        <v xml:space="preserve"> </v>
      </c>
      <c r="D110" s="260" t="str">
        <f ca="1">Start.listina!L116</f>
        <v xml:space="preserve"> </v>
      </c>
      <c r="E110" s="260">
        <f ca="1">Start.listina!M116</f>
        <v>9999</v>
      </c>
      <c r="F110" s="260">
        <f ca="1">Start.listina!N116</f>
        <v>0</v>
      </c>
      <c r="G110" s="4"/>
    </row>
    <row r="111" spans="1:7" x14ac:dyDescent="0.4">
      <c r="A111" s="260" t="str">
        <f ca="1">Start.listina!I117</f>
        <v/>
      </c>
      <c r="B111" s="260" t="str">
        <f ca="1">Start.listina!J117</f>
        <v xml:space="preserve"> </v>
      </c>
      <c r="C111" s="260" t="str">
        <f ca="1">Start.listina!K117</f>
        <v xml:space="preserve"> </v>
      </c>
      <c r="D111" s="260" t="str">
        <f ca="1">Start.listina!L117</f>
        <v xml:space="preserve"> </v>
      </c>
      <c r="E111" s="260">
        <f ca="1">Start.listina!M117</f>
        <v>9999</v>
      </c>
      <c r="F111" s="260">
        <f ca="1">Start.listina!N117</f>
        <v>0</v>
      </c>
      <c r="G111" s="4"/>
    </row>
    <row r="112" spans="1:7" x14ac:dyDescent="0.4">
      <c r="A112" s="260" t="str">
        <f ca="1">Start.listina!I118</f>
        <v/>
      </c>
      <c r="B112" s="260" t="str">
        <f ca="1">Start.listina!J118</f>
        <v xml:space="preserve"> </v>
      </c>
      <c r="C112" s="260" t="str">
        <f ca="1">Start.listina!K118</f>
        <v xml:space="preserve"> </v>
      </c>
      <c r="D112" s="260" t="str">
        <f ca="1">Start.listina!L118</f>
        <v xml:space="preserve"> </v>
      </c>
      <c r="E112" s="260">
        <f ca="1">Start.listina!M118</f>
        <v>9999</v>
      </c>
      <c r="F112" s="260">
        <f ca="1">Start.listina!N118</f>
        <v>0</v>
      </c>
      <c r="G112" s="4"/>
    </row>
    <row r="113" spans="1:7" x14ac:dyDescent="0.4">
      <c r="A113" s="260" t="str">
        <f ca="1">Start.listina!I119</f>
        <v/>
      </c>
      <c r="B113" s="260" t="str">
        <f ca="1">Start.listina!J119</f>
        <v xml:space="preserve"> </v>
      </c>
      <c r="C113" s="260" t="str">
        <f ca="1">Start.listina!K119</f>
        <v xml:space="preserve"> </v>
      </c>
      <c r="D113" s="260" t="str">
        <f ca="1">Start.listina!L119</f>
        <v xml:space="preserve"> </v>
      </c>
      <c r="E113" s="260">
        <f ca="1">Start.listina!M119</f>
        <v>9999</v>
      </c>
      <c r="F113" s="260">
        <f ca="1">Start.listina!N119</f>
        <v>0</v>
      </c>
      <c r="G113" s="4"/>
    </row>
    <row r="114" spans="1:7" x14ac:dyDescent="0.4">
      <c r="A114" s="260" t="str">
        <f ca="1">Start.listina!I120</f>
        <v/>
      </c>
      <c r="B114" s="260" t="str">
        <f ca="1">Start.listina!J120</f>
        <v xml:space="preserve"> </v>
      </c>
      <c r="C114" s="260" t="str">
        <f ca="1">Start.listina!K120</f>
        <v xml:space="preserve"> </v>
      </c>
      <c r="D114" s="260" t="str">
        <f ca="1">Start.listina!L120</f>
        <v xml:space="preserve"> </v>
      </c>
      <c r="E114" s="260">
        <f ca="1">Start.listina!M120</f>
        <v>9999</v>
      </c>
      <c r="F114" s="260">
        <f ca="1">Start.listina!N120</f>
        <v>0</v>
      </c>
      <c r="G114" s="4"/>
    </row>
    <row r="115" spans="1:7" x14ac:dyDescent="0.4">
      <c r="A115" s="260" t="str">
        <f ca="1">Start.listina!I121</f>
        <v/>
      </c>
      <c r="B115" s="260" t="str">
        <f ca="1">Start.listina!J121</f>
        <v xml:space="preserve"> </v>
      </c>
      <c r="C115" s="260" t="str">
        <f ca="1">Start.listina!K121</f>
        <v xml:space="preserve"> </v>
      </c>
      <c r="D115" s="260" t="str">
        <f ca="1">Start.listina!L121</f>
        <v xml:space="preserve"> </v>
      </c>
      <c r="E115" s="260">
        <f ca="1">Start.listina!M121</f>
        <v>9999</v>
      </c>
      <c r="F115" s="260">
        <f ca="1">Start.listina!N121</f>
        <v>0</v>
      </c>
      <c r="G115" s="4"/>
    </row>
    <row r="116" spans="1:7" x14ac:dyDescent="0.4">
      <c r="A116" s="260" t="str">
        <f ca="1">Start.listina!I122</f>
        <v/>
      </c>
      <c r="B116" s="260" t="str">
        <f ca="1">Start.listina!J122</f>
        <v xml:space="preserve"> </v>
      </c>
      <c r="C116" s="260" t="str">
        <f ca="1">Start.listina!K122</f>
        <v xml:space="preserve"> </v>
      </c>
      <c r="D116" s="260" t="str">
        <f ca="1">Start.listina!L122</f>
        <v xml:space="preserve"> </v>
      </c>
      <c r="E116" s="260">
        <f ca="1">Start.listina!M122</f>
        <v>9999</v>
      </c>
      <c r="F116" s="260">
        <f ca="1">Start.listina!N122</f>
        <v>0</v>
      </c>
      <c r="G116" s="4"/>
    </row>
    <row r="117" spans="1:7" x14ac:dyDescent="0.4">
      <c r="A117" s="260" t="str">
        <f ca="1">Start.listina!I123</f>
        <v/>
      </c>
      <c r="B117" s="260" t="str">
        <f ca="1">Start.listina!J123</f>
        <v xml:space="preserve"> </v>
      </c>
      <c r="C117" s="260" t="str">
        <f ca="1">Start.listina!K123</f>
        <v xml:space="preserve"> </v>
      </c>
      <c r="D117" s="260" t="str">
        <f ca="1">Start.listina!L123</f>
        <v xml:space="preserve"> </v>
      </c>
      <c r="E117" s="260">
        <f ca="1">Start.listina!M123</f>
        <v>9999</v>
      </c>
      <c r="F117" s="260">
        <f ca="1">Start.listina!N123</f>
        <v>0</v>
      </c>
      <c r="G117" s="4"/>
    </row>
    <row r="118" spans="1:7" x14ac:dyDescent="0.4">
      <c r="A118" s="260" t="str">
        <f ca="1">Start.listina!I124</f>
        <v/>
      </c>
      <c r="B118" s="260" t="str">
        <f ca="1">Start.listina!J124</f>
        <v xml:space="preserve"> </v>
      </c>
      <c r="C118" s="260" t="str">
        <f ca="1">Start.listina!K124</f>
        <v xml:space="preserve"> </v>
      </c>
      <c r="D118" s="260" t="str">
        <f ca="1">Start.listina!L124</f>
        <v xml:space="preserve"> </v>
      </c>
      <c r="E118" s="260">
        <f ca="1">Start.listina!M124</f>
        <v>9999</v>
      </c>
      <c r="F118" s="260">
        <f ca="1">Start.listina!N124</f>
        <v>0</v>
      </c>
      <c r="G118" s="4"/>
    </row>
    <row r="119" spans="1:7" x14ac:dyDescent="0.4">
      <c r="A119" s="260" t="str">
        <f ca="1">Start.listina!I125</f>
        <v/>
      </c>
      <c r="B119" s="260" t="str">
        <f ca="1">Start.listina!J125</f>
        <v xml:space="preserve"> </v>
      </c>
      <c r="C119" s="260" t="str">
        <f ca="1">Start.listina!K125</f>
        <v xml:space="preserve"> </v>
      </c>
      <c r="D119" s="260" t="str">
        <f ca="1">Start.listina!L125</f>
        <v xml:space="preserve"> </v>
      </c>
      <c r="E119" s="260">
        <f ca="1">Start.listina!M125</f>
        <v>9999</v>
      </c>
      <c r="F119" s="260">
        <f ca="1">Start.listina!N125</f>
        <v>0</v>
      </c>
      <c r="G119" s="4"/>
    </row>
    <row r="120" spans="1:7" x14ac:dyDescent="0.4">
      <c r="A120" s="260" t="str">
        <f ca="1">Start.listina!I126</f>
        <v/>
      </c>
      <c r="B120" s="260" t="str">
        <f ca="1">Start.listina!J126</f>
        <v xml:space="preserve"> </v>
      </c>
      <c r="C120" s="260" t="str">
        <f ca="1">Start.listina!K126</f>
        <v xml:space="preserve"> </v>
      </c>
      <c r="D120" s="260" t="str">
        <f ca="1">Start.listina!L126</f>
        <v xml:space="preserve"> </v>
      </c>
      <c r="E120" s="260">
        <f ca="1">Start.listina!M126</f>
        <v>9999</v>
      </c>
      <c r="F120" s="260">
        <f ca="1">Start.listina!N126</f>
        <v>0</v>
      </c>
      <c r="G120" s="4"/>
    </row>
    <row r="121" spans="1:7" x14ac:dyDescent="0.4">
      <c r="A121" s="260" t="str">
        <f ca="1">Start.listina!I127</f>
        <v/>
      </c>
      <c r="B121" s="260" t="str">
        <f ca="1">Start.listina!J127</f>
        <v xml:space="preserve"> </v>
      </c>
      <c r="C121" s="260" t="str">
        <f ca="1">Start.listina!K127</f>
        <v xml:space="preserve"> </v>
      </c>
      <c r="D121" s="260" t="str">
        <f ca="1">Start.listina!L127</f>
        <v xml:space="preserve"> </v>
      </c>
      <c r="E121" s="260">
        <f ca="1">Start.listina!M127</f>
        <v>9999</v>
      </c>
      <c r="F121" s="260">
        <f ca="1">Start.listina!N127</f>
        <v>0</v>
      </c>
      <c r="G121" s="4"/>
    </row>
    <row r="122" spans="1:7" x14ac:dyDescent="0.4">
      <c r="A122" s="260" t="str">
        <f ca="1">Start.listina!I128</f>
        <v/>
      </c>
      <c r="B122" s="260" t="str">
        <f ca="1">Start.listina!J128</f>
        <v xml:space="preserve"> </v>
      </c>
      <c r="C122" s="260" t="str">
        <f ca="1">Start.listina!K128</f>
        <v xml:space="preserve"> </v>
      </c>
      <c r="D122" s="260" t="str">
        <f ca="1">Start.listina!L128</f>
        <v xml:space="preserve"> </v>
      </c>
      <c r="E122" s="260">
        <f ca="1">Start.listina!M128</f>
        <v>9999</v>
      </c>
      <c r="F122" s="260">
        <f ca="1">Start.listina!N128</f>
        <v>0</v>
      </c>
      <c r="G122" s="4"/>
    </row>
    <row r="123" spans="1:7" x14ac:dyDescent="0.4">
      <c r="A123" s="260" t="str">
        <f ca="1">Start.listina!I129</f>
        <v/>
      </c>
      <c r="B123" s="260" t="str">
        <f ca="1">Start.listina!J129</f>
        <v xml:space="preserve"> </v>
      </c>
      <c r="C123" s="260" t="str">
        <f ca="1">Start.listina!K129</f>
        <v xml:space="preserve"> </v>
      </c>
      <c r="D123" s="260" t="str">
        <f ca="1">Start.listina!L129</f>
        <v xml:space="preserve"> </v>
      </c>
      <c r="E123" s="260">
        <f ca="1">Start.listina!M129</f>
        <v>9999</v>
      </c>
      <c r="F123" s="260">
        <f ca="1">Start.listina!N129</f>
        <v>0</v>
      </c>
      <c r="G123" s="4"/>
    </row>
    <row r="124" spans="1:7" x14ac:dyDescent="0.4">
      <c r="A124" s="260" t="str">
        <f ca="1">Start.listina!I130</f>
        <v/>
      </c>
      <c r="B124" s="260" t="str">
        <f ca="1">Start.listina!J130</f>
        <v xml:space="preserve"> </v>
      </c>
      <c r="C124" s="260" t="str">
        <f ca="1">Start.listina!K130</f>
        <v xml:space="preserve"> </v>
      </c>
      <c r="D124" s="260" t="str">
        <f ca="1">Start.listina!L130</f>
        <v xml:space="preserve"> </v>
      </c>
      <c r="E124" s="260">
        <f ca="1">Start.listina!M130</f>
        <v>9999</v>
      </c>
      <c r="F124" s="260">
        <f ca="1">Start.listina!N130</f>
        <v>0</v>
      </c>
      <c r="G124" s="4"/>
    </row>
    <row r="125" spans="1:7" x14ac:dyDescent="0.4">
      <c r="A125" s="260" t="str">
        <f ca="1">Start.listina!I131</f>
        <v/>
      </c>
      <c r="B125" s="260" t="str">
        <f ca="1">Start.listina!J131</f>
        <v xml:space="preserve"> </v>
      </c>
      <c r="C125" s="260" t="str">
        <f ca="1">Start.listina!K131</f>
        <v xml:space="preserve"> </v>
      </c>
      <c r="D125" s="260" t="str">
        <f ca="1">Start.listina!L131</f>
        <v xml:space="preserve"> </v>
      </c>
      <c r="E125" s="260">
        <f ca="1">Start.listina!M131</f>
        <v>9999</v>
      </c>
      <c r="F125" s="260">
        <f ca="1">Start.listina!N131</f>
        <v>0</v>
      </c>
      <c r="G125" s="4"/>
    </row>
    <row r="126" spans="1:7" x14ac:dyDescent="0.4">
      <c r="A126" s="260" t="str">
        <f ca="1">Start.listina!I132</f>
        <v/>
      </c>
      <c r="B126" s="260" t="str">
        <f ca="1">Start.listina!J132</f>
        <v xml:space="preserve"> </v>
      </c>
      <c r="C126" s="260" t="str">
        <f ca="1">Start.listina!K132</f>
        <v xml:space="preserve"> </v>
      </c>
      <c r="D126" s="260" t="str">
        <f ca="1">Start.listina!L132</f>
        <v xml:space="preserve"> </v>
      </c>
      <c r="E126" s="260">
        <f ca="1">Start.listina!M132</f>
        <v>9999</v>
      </c>
      <c r="F126" s="260">
        <f ca="1">Start.listina!N132</f>
        <v>0</v>
      </c>
      <c r="G126" s="4"/>
    </row>
    <row r="127" spans="1:7" x14ac:dyDescent="0.4">
      <c r="A127" s="260" t="str">
        <f ca="1">Start.listina!I133</f>
        <v/>
      </c>
      <c r="B127" s="260" t="str">
        <f ca="1">Start.listina!J133</f>
        <v xml:space="preserve"> </v>
      </c>
      <c r="C127" s="260" t="str">
        <f ca="1">Start.listina!K133</f>
        <v xml:space="preserve"> </v>
      </c>
      <c r="D127" s="260" t="str">
        <f ca="1">Start.listina!L133</f>
        <v xml:space="preserve"> </v>
      </c>
      <c r="E127" s="260">
        <f ca="1">Start.listina!M133</f>
        <v>9999</v>
      </c>
      <c r="F127" s="260">
        <f ca="1">Start.listina!N133</f>
        <v>0</v>
      </c>
      <c r="G127" s="4"/>
    </row>
    <row r="128" spans="1:7" x14ac:dyDescent="0.4">
      <c r="A128" s="260" t="str">
        <f ca="1">Start.listina!I134</f>
        <v/>
      </c>
      <c r="B128" s="260" t="str">
        <f ca="1">Start.listina!J134</f>
        <v xml:space="preserve"> </v>
      </c>
      <c r="C128" s="260" t="str">
        <f ca="1">Start.listina!K134</f>
        <v xml:space="preserve"> </v>
      </c>
      <c r="D128" s="260" t="str">
        <f ca="1">Start.listina!L134</f>
        <v xml:space="preserve"> </v>
      </c>
      <c r="E128" s="260">
        <f ca="1">Start.listina!M134</f>
        <v>9999</v>
      </c>
      <c r="F128" s="260">
        <f ca="1">Start.listina!N134</f>
        <v>0</v>
      </c>
      <c r="G128" s="4"/>
    </row>
    <row r="129" spans="1:7" x14ac:dyDescent="0.4">
      <c r="A129" s="260" t="str">
        <f ca="1">Start.listina!I135</f>
        <v/>
      </c>
      <c r="B129" s="260" t="str">
        <f ca="1">Start.listina!J135</f>
        <v xml:space="preserve"> </v>
      </c>
      <c r="C129" s="260" t="str">
        <f ca="1">Start.listina!K135</f>
        <v xml:space="preserve"> </v>
      </c>
      <c r="D129" s="260" t="str">
        <f ca="1">Start.listina!L135</f>
        <v xml:space="preserve"> </v>
      </c>
      <c r="E129" s="260">
        <f ca="1">Start.listina!M135</f>
        <v>9999</v>
      </c>
      <c r="F129" s="260">
        <f ca="1">Start.listina!N135</f>
        <v>0</v>
      </c>
      <c r="G129" s="4"/>
    </row>
    <row r="130" spans="1:7" x14ac:dyDescent="0.4">
      <c r="A130" s="260" t="str">
        <f ca="1">Start.listina!I136</f>
        <v/>
      </c>
      <c r="B130" s="260" t="str">
        <f ca="1">Start.listina!J136</f>
        <v xml:space="preserve"> </v>
      </c>
      <c r="C130" s="260" t="str">
        <f ca="1">Start.listina!K136</f>
        <v xml:space="preserve"> </v>
      </c>
      <c r="D130" s="260" t="str">
        <f ca="1">Start.listina!L136</f>
        <v xml:space="preserve"> </v>
      </c>
      <c r="E130" s="260">
        <f ca="1">Start.listina!M136</f>
        <v>9999</v>
      </c>
      <c r="F130" s="260">
        <f ca="1">Start.listina!N136</f>
        <v>0</v>
      </c>
      <c r="G130" s="4"/>
    </row>
    <row r="131" spans="1:7" x14ac:dyDescent="0.4">
      <c r="A131" s="260" t="str">
        <f ca="1">Start.listina!I137</f>
        <v/>
      </c>
      <c r="B131" s="260" t="str">
        <f ca="1">Start.listina!J137</f>
        <v xml:space="preserve"> </v>
      </c>
      <c r="C131" s="260" t="str">
        <f ca="1">Start.listina!K137</f>
        <v xml:space="preserve"> </v>
      </c>
      <c r="D131" s="260" t="str">
        <f ca="1">Start.listina!L137</f>
        <v xml:space="preserve"> </v>
      </c>
      <c r="E131" s="260">
        <f ca="1">Start.listina!M137</f>
        <v>9999</v>
      </c>
      <c r="F131" s="260">
        <f ca="1">Start.listina!N137</f>
        <v>0</v>
      </c>
      <c r="G131" s="4"/>
    </row>
    <row r="132" spans="1:7" x14ac:dyDescent="0.4">
      <c r="A132" s="260" t="str">
        <f ca="1">Start.listina!I138</f>
        <v/>
      </c>
      <c r="B132" s="260" t="str">
        <f ca="1">Start.listina!J138</f>
        <v xml:space="preserve"> </v>
      </c>
      <c r="C132" s="260" t="str">
        <f ca="1">Start.listina!K138</f>
        <v xml:space="preserve"> </v>
      </c>
      <c r="D132" s="260" t="str">
        <f ca="1">Start.listina!L138</f>
        <v xml:space="preserve"> </v>
      </c>
      <c r="E132" s="260">
        <f ca="1">Start.listina!M138</f>
        <v>9999</v>
      </c>
      <c r="F132" s="260">
        <f ca="1">Start.listina!N138</f>
        <v>0</v>
      </c>
      <c r="G132" s="4"/>
    </row>
    <row r="133" spans="1:7" x14ac:dyDescent="0.4">
      <c r="A133" s="260" t="str">
        <f ca="1">Start.listina!O11</f>
        <v/>
      </c>
      <c r="B133" s="260" t="str">
        <f ca="1">Start.listina!P11</f>
        <v xml:space="preserve"> </v>
      </c>
      <c r="C133" s="260" t="str">
        <f ca="1">Start.listina!Q11</f>
        <v xml:space="preserve"> </v>
      </c>
      <c r="D133" s="260" t="str">
        <f ca="1">Start.listina!R11</f>
        <v xml:space="preserve"> </v>
      </c>
      <c r="E133" s="260">
        <f ca="1">Start.listina!S11</f>
        <v>9999</v>
      </c>
      <c r="F133" s="260">
        <f ca="1">Start.listina!T11</f>
        <v>0</v>
      </c>
      <c r="G133" s="4"/>
    </row>
    <row r="134" spans="1:7" x14ac:dyDescent="0.4">
      <c r="A134" s="260" t="str">
        <f ca="1">Start.listina!O12</f>
        <v/>
      </c>
      <c r="B134" s="260" t="str">
        <f ca="1">Start.listina!P12</f>
        <v xml:space="preserve"> </v>
      </c>
      <c r="C134" s="260" t="str">
        <f ca="1">Start.listina!Q12</f>
        <v xml:space="preserve"> </v>
      </c>
      <c r="D134" s="260" t="str">
        <f ca="1">Start.listina!R12</f>
        <v xml:space="preserve"> </v>
      </c>
      <c r="E134" s="260">
        <f ca="1">Start.listina!S12</f>
        <v>9999</v>
      </c>
      <c r="F134" s="260">
        <f ca="1">Start.listina!T12</f>
        <v>0</v>
      </c>
      <c r="G134" s="4"/>
    </row>
    <row r="135" spans="1:7" x14ac:dyDescent="0.4">
      <c r="A135" s="260" t="str">
        <f ca="1">Start.listina!O13</f>
        <v/>
      </c>
      <c r="B135" s="260" t="str">
        <f ca="1">Start.listina!P13</f>
        <v xml:space="preserve"> </v>
      </c>
      <c r="C135" s="260" t="str">
        <f ca="1">Start.listina!Q13</f>
        <v xml:space="preserve"> </v>
      </c>
      <c r="D135" s="260" t="str">
        <f ca="1">Start.listina!R13</f>
        <v xml:space="preserve"> </v>
      </c>
      <c r="E135" s="260">
        <f ca="1">Start.listina!S13</f>
        <v>9999</v>
      </c>
      <c r="F135" s="260">
        <f ca="1">Start.listina!T13</f>
        <v>0</v>
      </c>
      <c r="G135" s="4"/>
    </row>
    <row r="136" spans="1:7" x14ac:dyDescent="0.4">
      <c r="A136" s="260" t="str">
        <f ca="1">Start.listina!O14</f>
        <v/>
      </c>
      <c r="B136" s="260" t="str">
        <f ca="1">Start.listina!P14</f>
        <v xml:space="preserve"> </v>
      </c>
      <c r="C136" s="260" t="str">
        <f ca="1">Start.listina!Q14</f>
        <v xml:space="preserve"> </v>
      </c>
      <c r="D136" s="260" t="str">
        <f ca="1">Start.listina!R14</f>
        <v xml:space="preserve"> </v>
      </c>
      <c r="E136" s="260">
        <f ca="1">Start.listina!S14</f>
        <v>9999</v>
      </c>
      <c r="F136" s="260">
        <f ca="1">Start.listina!T14</f>
        <v>0</v>
      </c>
      <c r="G136" s="4"/>
    </row>
    <row r="137" spans="1:7" x14ac:dyDescent="0.4">
      <c r="A137" s="260" t="str">
        <f ca="1">Start.listina!O15</f>
        <v/>
      </c>
      <c r="B137" s="260" t="str">
        <f ca="1">Start.listina!P15</f>
        <v xml:space="preserve"> </v>
      </c>
      <c r="C137" s="260" t="str">
        <f ca="1">Start.listina!Q15</f>
        <v xml:space="preserve"> </v>
      </c>
      <c r="D137" s="260" t="str">
        <f ca="1">Start.listina!R15</f>
        <v xml:space="preserve"> </v>
      </c>
      <c r="E137" s="260">
        <f ca="1">Start.listina!S15</f>
        <v>9999</v>
      </c>
      <c r="F137" s="260">
        <f ca="1">Start.listina!T15</f>
        <v>0</v>
      </c>
      <c r="G137" s="4"/>
    </row>
    <row r="138" spans="1:7" x14ac:dyDescent="0.4">
      <c r="A138" s="260" t="str">
        <f ca="1">Start.listina!O16</f>
        <v/>
      </c>
      <c r="B138" s="260" t="str">
        <f ca="1">Start.listina!P16</f>
        <v xml:space="preserve"> </v>
      </c>
      <c r="C138" s="260" t="str">
        <f ca="1">Start.listina!Q16</f>
        <v xml:space="preserve"> </v>
      </c>
      <c r="D138" s="260" t="str">
        <f ca="1">Start.listina!R16</f>
        <v xml:space="preserve"> </v>
      </c>
      <c r="E138" s="260">
        <f ca="1">Start.listina!S16</f>
        <v>9999</v>
      </c>
      <c r="F138" s="260">
        <f ca="1">Start.listina!T16</f>
        <v>0</v>
      </c>
      <c r="G138" s="4"/>
    </row>
    <row r="139" spans="1:7" x14ac:dyDescent="0.4">
      <c r="A139" s="260" t="str">
        <f ca="1">Start.listina!O17</f>
        <v/>
      </c>
      <c r="B139" s="260" t="str">
        <f ca="1">Start.listina!P17</f>
        <v xml:space="preserve"> </v>
      </c>
      <c r="C139" s="260" t="str">
        <f ca="1">Start.listina!Q17</f>
        <v xml:space="preserve"> </v>
      </c>
      <c r="D139" s="260" t="str">
        <f ca="1">Start.listina!R17</f>
        <v xml:space="preserve"> </v>
      </c>
      <c r="E139" s="260">
        <f ca="1">Start.listina!S17</f>
        <v>9999</v>
      </c>
      <c r="F139" s="260">
        <f ca="1">Start.listina!T17</f>
        <v>0</v>
      </c>
      <c r="G139" s="4"/>
    </row>
    <row r="140" spans="1:7" x14ac:dyDescent="0.4">
      <c r="A140" s="260" t="str">
        <f ca="1">Start.listina!O18</f>
        <v/>
      </c>
      <c r="B140" s="260" t="str">
        <f ca="1">Start.listina!P18</f>
        <v xml:space="preserve"> </v>
      </c>
      <c r="C140" s="260" t="str">
        <f ca="1">Start.listina!Q18</f>
        <v xml:space="preserve"> </v>
      </c>
      <c r="D140" s="260" t="str">
        <f ca="1">Start.listina!R18</f>
        <v xml:space="preserve"> </v>
      </c>
      <c r="E140" s="260">
        <f ca="1">Start.listina!S18</f>
        <v>9999</v>
      </c>
      <c r="F140" s="260">
        <f ca="1">Start.listina!T18</f>
        <v>0</v>
      </c>
      <c r="G140" s="4"/>
    </row>
    <row r="141" spans="1:7" x14ac:dyDescent="0.4">
      <c r="A141" s="260" t="str">
        <f ca="1">Start.listina!O19</f>
        <v/>
      </c>
      <c r="B141" s="260" t="str">
        <f ca="1">Start.listina!P19</f>
        <v xml:space="preserve"> </v>
      </c>
      <c r="C141" s="260" t="str">
        <f ca="1">Start.listina!Q19</f>
        <v xml:space="preserve"> </v>
      </c>
      <c r="D141" s="260" t="str">
        <f ca="1">Start.listina!R19</f>
        <v xml:space="preserve"> </v>
      </c>
      <c r="E141" s="260">
        <f ca="1">Start.listina!S19</f>
        <v>9999</v>
      </c>
      <c r="F141" s="260">
        <f ca="1">Start.listina!T19</f>
        <v>0</v>
      </c>
      <c r="G141" s="4"/>
    </row>
    <row r="142" spans="1:7" x14ac:dyDescent="0.4">
      <c r="A142" s="260" t="str">
        <f ca="1">Start.listina!O20</f>
        <v/>
      </c>
      <c r="B142" s="260" t="str">
        <f ca="1">Start.listina!P20</f>
        <v xml:space="preserve"> </v>
      </c>
      <c r="C142" s="260" t="str">
        <f ca="1">Start.listina!Q20</f>
        <v xml:space="preserve"> </v>
      </c>
      <c r="D142" s="260" t="str">
        <f ca="1">Start.listina!R20</f>
        <v xml:space="preserve"> </v>
      </c>
      <c r="E142" s="260">
        <f ca="1">Start.listina!S20</f>
        <v>9999</v>
      </c>
      <c r="F142" s="260">
        <f ca="1">Start.listina!T20</f>
        <v>0</v>
      </c>
      <c r="G142" s="4"/>
    </row>
    <row r="143" spans="1:7" x14ac:dyDescent="0.4">
      <c r="A143" s="260" t="str">
        <f ca="1">Start.listina!O21</f>
        <v/>
      </c>
      <c r="B143" s="260" t="str">
        <f ca="1">Start.listina!P21</f>
        <v xml:space="preserve"> </v>
      </c>
      <c r="C143" s="260" t="str">
        <f ca="1">Start.listina!Q21</f>
        <v xml:space="preserve"> </v>
      </c>
      <c r="D143" s="260" t="str">
        <f ca="1">Start.listina!R21</f>
        <v xml:space="preserve"> </v>
      </c>
      <c r="E143" s="260">
        <f ca="1">Start.listina!S21</f>
        <v>9999</v>
      </c>
      <c r="F143" s="260">
        <f ca="1">Start.listina!T21</f>
        <v>0</v>
      </c>
      <c r="G143" s="4"/>
    </row>
    <row r="144" spans="1:7" x14ac:dyDescent="0.4">
      <c r="A144" s="260" t="str">
        <f ca="1">Start.listina!O22</f>
        <v/>
      </c>
      <c r="B144" s="260" t="str">
        <f ca="1">Start.listina!P22</f>
        <v xml:space="preserve"> </v>
      </c>
      <c r="C144" s="260" t="str">
        <f ca="1">Start.listina!Q22</f>
        <v xml:space="preserve"> </v>
      </c>
      <c r="D144" s="260" t="str">
        <f ca="1">Start.listina!R22</f>
        <v xml:space="preserve"> </v>
      </c>
      <c r="E144" s="260">
        <f ca="1">Start.listina!S22</f>
        <v>9999</v>
      </c>
      <c r="F144" s="260">
        <f ca="1">Start.listina!T22</f>
        <v>0</v>
      </c>
      <c r="G144" s="4"/>
    </row>
    <row r="145" spans="1:7" x14ac:dyDescent="0.4">
      <c r="A145" s="260" t="str">
        <f ca="1">Start.listina!O23</f>
        <v/>
      </c>
      <c r="B145" s="260" t="str">
        <f ca="1">Start.listina!P23</f>
        <v xml:space="preserve"> </v>
      </c>
      <c r="C145" s="260" t="str">
        <f ca="1">Start.listina!Q23</f>
        <v xml:space="preserve"> </v>
      </c>
      <c r="D145" s="260" t="str">
        <f ca="1">Start.listina!R23</f>
        <v xml:space="preserve"> </v>
      </c>
      <c r="E145" s="260">
        <f ca="1">Start.listina!S23</f>
        <v>9999</v>
      </c>
      <c r="F145" s="260">
        <f ca="1">Start.listina!T23</f>
        <v>0</v>
      </c>
      <c r="G145" s="4"/>
    </row>
    <row r="146" spans="1:7" x14ac:dyDescent="0.4">
      <c r="A146" s="260" t="str">
        <f ca="1">Start.listina!O24</f>
        <v/>
      </c>
      <c r="B146" s="260" t="str">
        <f ca="1">Start.listina!P24</f>
        <v xml:space="preserve"> </v>
      </c>
      <c r="C146" s="260" t="str">
        <f ca="1">Start.listina!Q24</f>
        <v xml:space="preserve"> </v>
      </c>
      <c r="D146" s="260" t="str">
        <f ca="1">Start.listina!R24</f>
        <v xml:space="preserve"> </v>
      </c>
      <c r="E146" s="260">
        <f ca="1">Start.listina!S24</f>
        <v>9999</v>
      </c>
      <c r="F146" s="260">
        <f ca="1">Start.listina!T24</f>
        <v>0</v>
      </c>
      <c r="G146" s="4"/>
    </row>
    <row r="147" spans="1:7" x14ac:dyDescent="0.4">
      <c r="A147" s="260" t="str">
        <f ca="1">Start.listina!O25</f>
        <v/>
      </c>
      <c r="B147" s="260" t="str">
        <f ca="1">Start.listina!P25</f>
        <v xml:space="preserve"> </v>
      </c>
      <c r="C147" s="260" t="str">
        <f ca="1">Start.listina!Q25</f>
        <v xml:space="preserve"> </v>
      </c>
      <c r="D147" s="260" t="str">
        <f ca="1">Start.listina!R25</f>
        <v xml:space="preserve"> </v>
      </c>
      <c r="E147" s="260">
        <f ca="1">Start.listina!S25</f>
        <v>9999</v>
      </c>
      <c r="F147" s="260">
        <f ca="1">Start.listina!T25</f>
        <v>0</v>
      </c>
      <c r="G147" s="4"/>
    </row>
    <row r="148" spans="1:7" x14ac:dyDescent="0.4">
      <c r="A148" s="260" t="str">
        <f ca="1">Start.listina!O26</f>
        <v/>
      </c>
      <c r="B148" s="260" t="str">
        <f ca="1">Start.listina!P26</f>
        <v xml:space="preserve"> </v>
      </c>
      <c r="C148" s="260" t="str">
        <f ca="1">Start.listina!Q26</f>
        <v xml:space="preserve"> </v>
      </c>
      <c r="D148" s="260" t="str">
        <f ca="1">Start.listina!R26</f>
        <v xml:space="preserve"> </v>
      </c>
      <c r="E148" s="260">
        <f ca="1">Start.listina!S26</f>
        <v>9999</v>
      </c>
      <c r="F148" s="260">
        <f ca="1">Start.listina!T26</f>
        <v>0</v>
      </c>
      <c r="G148" s="4"/>
    </row>
    <row r="149" spans="1:7" x14ac:dyDescent="0.4">
      <c r="A149" s="260" t="str">
        <f ca="1">Start.listina!O27</f>
        <v/>
      </c>
      <c r="B149" s="260" t="str">
        <f ca="1">Start.listina!P27</f>
        <v xml:space="preserve"> </v>
      </c>
      <c r="C149" s="260" t="str">
        <f ca="1">Start.listina!Q27</f>
        <v xml:space="preserve"> </v>
      </c>
      <c r="D149" s="260" t="str">
        <f ca="1">Start.listina!R27</f>
        <v xml:space="preserve"> </v>
      </c>
      <c r="E149" s="260">
        <f ca="1">Start.listina!S27</f>
        <v>9999</v>
      </c>
      <c r="F149" s="260">
        <f ca="1">Start.listina!T27</f>
        <v>0</v>
      </c>
      <c r="G149" s="4"/>
    </row>
    <row r="150" spans="1:7" x14ac:dyDescent="0.4">
      <c r="A150" s="260" t="str">
        <f ca="1">Start.listina!O28</f>
        <v/>
      </c>
      <c r="B150" s="260" t="str">
        <f ca="1">Start.listina!P28</f>
        <v xml:space="preserve"> </v>
      </c>
      <c r="C150" s="260" t="str">
        <f ca="1">Start.listina!Q28</f>
        <v xml:space="preserve"> </v>
      </c>
      <c r="D150" s="260" t="str">
        <f ca="1">Start.listina!R28</f>
        <v xml:space="preserve"> </v>
      </c>
      <c r="E150" s="260">
        <f ca="1">Start.listina!S28</f>
        <v>9999</v>
      </c>
      <c r="F150" s="260">
        <f ca="1">Start.listina!T28</f>
        <v>0</v>
      </c>
      <c r="G150" s="4"/>
    </row>
    <row r="151" spans="1:7" x14ac:dyDescent="0.4">
      <c r="A151" s="260" t="str">
        <f ca="1">Start.listina!O29</f>
        <v/>
      </c>
      <c r="B151" s="260" t="str">
        <f ca="1">Start.listina!P29</f>
        <v xml:space="preserve"> </v>
      </c>
      <c r="C151" s="260" t="str">
        <f ca="1">Start.listina!Q29</f>
        <v xml:space="preserve"> </v>
      </c>
      <c r="D151" s="260" t="str">
        <f ca="1">Start.listina!R29</f>
        <v xml:space="preserve"> </v>
      </c>
      <c r="E151" s="260">
        <f ca="1">Start.listina!S29</f>
        <v>9999</v>
      </c>
      <c r="F151" s="260">
        <f ca="1">Start.listina!T29</f>
        <v>0</v>
      </c>
      <c r="G151" s="4"/>
    </row>
    <row r="152" spans="1:7" x14ac:dyDescent="0.4">
      <c r="A152" s="260" t="str">
        <f ca="1">Start.listina!O30</f>
        <v/>
      </c>
      <c r="B152" s="260" t="str">
        <f ca="1">Start.listina!P30</f>
        <v xml:space="preserve"> </v>
      </c>
      <c r="C152" s="260" t="str">
        <f ca="1">Start.listina!Q30</f>
        <v xml:space="preserve"> </v>
      </c>
      <c r="D152" s="260" t="str">
        <f ca="1">Start.listina!R30</f>
        <v xml:space="preserve"> </v>
      </c>
      <c r="E152" s="260">
        <f ca="1">Start.listina!S30</f>
        <v>9999</v>
      </c>
      <c r="F152" s="260">
        <f ca="1">Start.listina!T30</f>
        <v>0</v>
      </c>
      <c r="G152" s="4"/>
    </row>
    <row r="153" spans="1:7" x14ac:dyDescent="0.4">
      <c r="A153" s="260" t="str">
        <f ca="1">Start.listina!O31</f>
        <v/>
      </c>
      <c r="B153" s="260" t="str">
        <f ca="1">Start.listina!P31</f>
        <v xml:space="preserve"> </v>
      </c>
      <c r="C153" s="260" t="str">
        <f ca="1">Start.listina!Q31</f>
        <v xml:space="preserve"> </v>
      </c>
      <c r="D153" s="260" t="str">
        <f ca="1">Start.listina!R31</f>
        <v xml:space="preserve"> </v>
      </c>
      <c r="E153" s="260">
        <f ca="1">Start.listina!S31</f>
        <v>9999</v>
      </c>
      <c r="F153" s="260">
        <f ca="1">Start.listina!T31</f>
        <v>0</v>
      </c>
      <c r="G153" s="4"/>
    </row>
    <row r="154" spans="1:7" x14ac:dyDescent="0.4">
      <c r="A154" s="260" t="str">
        <f ca="1">Start.listina!O32</f>
        <v/>
      </c>
      <c r="B154" s="260" t="str">
        <f ca="1">Start.listina!P32</f>
        <v xml:space="preserve"> </v>
      </c>
      <c r="C154" s="260" t="str">
        <f ca="1">Start.listina!Q32</f>
        <v xml:space="preserve"> </v>
      </c>
      <c r="D154" s="260" t="str">
        <f ca="1">Start.listina!R32</f>
        <v xml:space="preserve"> </v>
      </c>
      <c r="E154" s="260">
        <f ca="1">Start.listina!S32</f>
        <v>9999</v>
      </c>
      <c r="F154" s="260">
        <f ca="1">Start.listina!T32</f>
        <v>0</v>
      </c>
      <c r="G154" s="4"/>
    </row>
    <row r="155" spans="1:7" x14ac:dyDescent="0.4">
      <c r="A155" s="260" t="str">
        <f ca="1">Start.listina!O33</f>
        <v/>
      </c>
      <c r="B155" s="260" t="str">
        <f ca="1">Start.listina!P33</f>
        <v xml:space="preserve"> </v>
      </c>
      <c r="C155" s="260" t="str">
        <f ca="1">Start.listina!Q33</f>
        <v xml:space="preserve"> </v>
      </c>
      <c r="D155" s="260" t="str">
        <f ca="1">Start.listina!R33</f>
        <v xml:space="preserve"> </v>
      </c>
      <c r="E155" s="260">
        <f ca="1">Start.listina!S33</f>
        <v>9999</v>
      </c>
      <c r="F155" s="260">
        <f ca="1">Start.listina!T33</f>
        <v>0</v>
      </c>
      <c r="G155" s="4"/>
    </row>
    <row r="156" spans="1:7" x14ac:dyDescent="0.4">
      <c r="A156" s="260" t="str">
        <f ca="1">Start.listina!O34</f>
        <v/>
      </c>
      <c r="B156" s="260" t="str">
        <f ca="1">Start.listina!P34</f>
        <v xml:space="preserve"> </v>
      </c>
      <c r="C156" s="260" t="str">
        <f ca="1">Start.listina!Q34</f>
        <v xml:space="preserve"> </v>
      </c>
      <c r="D156" s="260" t="str">
        <f ca="1">Start.listina!R34</f>
        <v xml:space="preserve"> </v>
      </c>
      <c r="E156" s="260">
        <f ca="1">Start.listina!S34</f>
        <v>9999</v>
      </c>
      <c r="F156" s="260">
        <f ca="1">Start.listina!T34</f>
        <v>0</v>
      </c>
      <c r="G156" s="4"/>
    </row>
    <row r="157" spans="1:7" x14ac:dyDescent="0.4">
      <c r="A157" s="260" t="str">
        <f ca="1">Start.listina!O35</f>
        <v/>
      </c>
      <c r="B157" s="260" t="str">
        <f ca="1">Start.listina!P35</f>
        <v xml:space="preserve"> </v>
      </c>
      <c r="C157" s="260" t="str">
        <f ca="1">Start.listina!Q35</f>
        <v xml:space="preserve"> </v>
      </c>
      <c r="D157" s="260" t="str">
        <f ca="1">Start.listina!R35</f>
        <v xml:space="preserve"> </v>
      </c>
      <c r="E157" s="260">
        <f ca="1">Start.listina!S35</f>
        <v>9999</v>
      </c>
      <c r="F157" s="260">
        <f ca="1">Start.listina!T35</f>
        <v>0</v>
      </c>
      <c r="G157" s="4"/>
    </row>
    <row r="158" spans="1:7" x14ac:dyDescent="0.4">
      <c r="A158" s="260" t="str">
        <f ca="1">Start.listina!O36</f>
        <v/>
      </c>
      <c r="B158" s="260" t="str">
        <f ca="1">Start.listina!P36</f>
        <v xml:space="preserve"> </v>
      </c>
      <c r="C158" s="260" t="str">
        <f ca="1">Start.listina!Q36</f>
        <v xml:space="preserve"> </v>
      </c>
      <c r="D158" s="260" t="str">
        <f ca="1">Start.listina!R36</f>
        <v xml:space="preserve"> </v>
      </c>
      <c r="E158" s="260">
        <f ca="1">Start.listina!S36</f>
        <v>9999</v>
      </c>
      <c r="F158" s="260">
        <f ca="1">Start.listina!T36</f>
        <v>0</v>
      </c>
      <c r="G158" s="4"/>
    </row>
    <row r="159" spans="1:7" x14ac:dyDescent="0.4">
      <c r="A159" s="260" t="str">
        <f ca="1">Start.listina!O37</f>
        <v/>
      </c>
      <c r="B159" s="260" t="str">
        <f ca="1">Start.listina!P37</f>
        <v xml:space="preserve"> </v>
      </c>
      <c r="C159" s="260" t="str">
        <f ca="1">Start.listina!Q37</f>
        <v xml:space="preserve"> </v>
      </c>
      <c r="D159" s="260" t="str">
        <f ca="1">Start.listina!R37</f>
        <v xml:space="preserve"> </v>
      </c>
      <c r="E159" s="260">
        <f ca="1">Start.listina!S37</f>
        <v>9999</v>
      </c>
      <c r="F159" s="260">
        <f ca="1">Start.listina!T37</f>
        <v>0</v>
      </c>
      <c r="G159" s="4"/>
    </row>
    <row r="160" spans="1:7" x14ac:dyDescent="0.4">
      <c r="A160" s="260" t="str">
        <f ca="1">Start.listina!O38</f>
        <v/>
      </c>
      <c r="B160" s="260" t="str">
        <f ca="1">Start.listina!P38</f>
        <v xml:space="preserve"> </v>
      </c>
      <c r="C160" s="260" t="str">
        <f ca="1">Start.listina!Q38</f>
        <v xml:space="preserve"> </v>
      </c>
      <c r="D160" s="260" t="str">
        <f ca="1">Start.listina!R38</f>
        <v xml:space="preserve"> </v>
      </c>
      <c r="E160" s="260">
        <f ca="1">Start.listina!S38</f>
        <v>9999</v>
      </c>
      <c r="F160" s="260">
        <f ca="1">Start.listina!T38</f>
        <v>0</v>
      </c>
      <c r="G160" s="4"/>
    </row>
    <row r="161" spans="1:7" x14ac:dyDescent="0.4">
      <c r="A161" s="260" t="str">
        <f ca="1">Start.listina!O39</f>
        <v/>
      </c>
      <c r="B161" s="260" t="str">
        <f ca="1">Start.listina!P39</f>
        <v xml:space="preserve"> </v>
      </c>
      <c r="C161" s="260" t="str">
        <f ca="1">Start.listina!Q39</f>
        <v xml:space="preserve"> </v>
      </c>
      <c r="D161" s="260" t="str">
        <f ca="1">Start.listina!R39</f>
        <v xml:space="preserve"> </v>
      </c>
      <c r="E161" s="260">
        <f ca="1">Start.listina!S39</f>
        <v>9999</v>
      </c>
      <c r="F161" s="260">
        <f ca="1">Start.listina!T39</f>
        <v>0</v>
      </c>
      <c r="G161" s="4"/>
    </row>
    <row r="162" spans="1:7" x14ac:dyDescent="0.4">
      <c r="A162" s="260" t="str">
        <f ca="1">Start.listina!O40</f>
        <v/>
      </c>
      <c r="B162" s="260" t="str">
        <f ca="1">Start.listina!P40</f>
        <v xml:space="preserve"> </v>
      </c>
      <c r="C162" s="260" t="str">
        <f ca="1">Start.listina!Q40</f>
        <v xml:space="preserve"> </v>
      </c>
      <c r="D162" s="260" t="str">
        <f ca="1">Start.listina!R40</f>
        <v xml:space="preserve"> </v>
      </c>
      <c r="E162" s="260">
        <f ca="1">Start.listina!S40</f>
        <v>9999</v>
      </c>
      <c r="F162" s="260">
        <f ca="1">Start.listina!T40</f>
        <v>0</v>
      </c>
      <c r="G162" s="4"/>
    </row>
    <row r="163" spans="1:7" x14ac:dyDescent="0.4">
      <c r="A163" s="260" t="str">
        <f ca="1">Start.listina!O41</f>
        <v/>
      </c>
      <c r="B163" s="260" t="str">
        <f ca="1">Start.listina!P41</f>
        <v xml:space="preserve"> </v>
      </c>
      <c r="C163" s="260" t="str">
        <f ca="1">Start.listina!Q41</f>
        <v xml:space="preserve"> </v>
      </c>
      <c r="D163" s="260" t="str">
        <f ca="1">Start.listina!R41</f>
        <v xml:space="preserve"> </v>
      </c>
      <c r="E163" s="260">
        <f ca="1">Start.listina!S41</f>
        <v>9999</v>
      </c>
      <c r="F163" s="260">
        <f ca="1">Start.listina!T41</f>
        <v>0</v>
      </c>
      <c r="G163" s="4"/>
    </row>
    <row r="164" spans="1:7" x14ac:dyDescent="0.4">
      <c r="A164" s="260" t="str">
        <f ca="1">Start.listina!O42</f>
        <v/>
      </c>
      <c r="B164" s="260" t="str">
        <f ca="1">Start.listina!P42</f>
        <v xml:space="preserve"> </v>
      </c>
      <c r="C164" s="260" t="str">
        <f ca="1">Start.listina!Q42</f>
        <v xml:space="preserve"> </v>
      </c>
      <c r="D164" s="260" t="str">
        <f ca="1">Start.listina!R42</f>
        <v xml:space="preserve"> </v>
      </c>
      <c r="E164" s="260">
        <f ca="1">Start.listina!S42</f>
        <v>9999</v>
      </c>
      <c r="F164" s="260">
        <f ca="1">Start.listina!T42</f>
        <v>0</v>
      </c>
      <c r="G164" s="4"/>
    </row>
    <row r="165" spans="1:7" x14ac:dyDescent="0.4">
      <c r="A165" s="260" t="str">
        <f ca="1">Start.listina!O43</f>
        <v/>
      </c>
      <c r="B165" s="260" t="str">
        <f ca="1">Start.listina!P43</f>
        <v xml:space="preserve"> </v>
      </c>
      <c r="C165" s="260" t="str">
        <f ca="1">Start.listina!Q43</f>
        <v xml:space="preserve"> </v>
      </c>
      <c r="D165" s="260" t="str">
        <f ca="1">Start.listina!R43</f>
        <v xml:space="preserve"> </v>
      </c>
      <c r="E165" s="260">
        <f ca="1">Start.listina!S43</f>
        <v>9999</v>
      </c>
      <c r="F165" s="260">
        <f ca="1">Start.listina!T43</f>
        <v>0</v>
      </c>
      <c r="G165" s="4"/>
    </row>
    <row r="166" spans="1:7" x14ac:dyDescent="0.4">
      <c r="A166" s="260" t="str">
        <f ca="1">Start.listina!O44</f>
        <v/>
      </c>
      <c r="B166" s="260" t="str">
        <f ca="1">Start.listina!P44</f>
        <v xml:space="preserve"> </v>
      </c>
      <c r="C166" s="260" t="str">
        <f ca="1">Start.listina!Q44</f>
        <v xml:space="preserve"> </v>
      </c>
      <c r="D166" s="260" t="str">
        <f ca="1">Start.listina!R44</f>
        <v xml:space="preserve"> </v>
      </c>
      <c r="E166" s="260">
        <f ca="1">Start.listina!S44</f>
        <v>9999</v>
      </c>
      <c r="F166" s="260">
        <f ca="1">Start.listina!T44</f>
        <v>0</v>
      </c>
      <c r="G166" s="4"/>
    </row>
    <row r="167" spans="1:7" x14ac:dyDescent="0.4">
      <c r="A167" s="260" t="str">
        <f ca="1">Start.listina!O45</f>
        <v/>
      </c>
      <c r="B167" s="260" t="str">
        <f ca="1">Start.listina!P45</f>
        <v xml:space="preserve"> </v>
      </c>
      <c r="C167" s="260" t="str">
        <f ca="1">Start.listina!Q45</f>
        <v xml:space="preserve"> </v>
      </c>
      <c r="D167" s="260" t="str">
        <f ca="1">Start.listina!R45</f>
        <v xml:space="preserve"> </v>
      </c>
      <c r="E167" s="260">
        <f ca="1">Start.listina!S45</f>
        <v>9999</v>
      </c>
      <c r="F167" s="260">
        <f ca="1">Start.listina!T45</f>
        <v>0</v>
      </c>
      <c r="G167" s="4"/>
    </row>
    <row r="168" spans="1:7" x14ac:dyDescent="0.4">
      <c r="A168" s="260" t="str">
        <f ca="1">Start.listina!O46</f>
        <v/>
      </c>
      <c r="B168" s="260" t="str">
        <f ca="1">Start.listina!P46</f>
        <v xml:space="preserve"> </v>
      </c>
      <c r="C168" s="260" t="str">
        <f ca="1">Start.listina!Q46</f>
        <v xml:space="preserve"> </v>
      </c>
      <c r="D168" s="260" t="str">
        <f ca="1">Start.listina!R46</f>
        <v xml:space="preserve"> </v>
      </c>
      <c r="E168" s="260">
        <f ca="1">Start.listina!S46</f>
        <v>9999</v>
      </c>
      <c r="F168" s="260">
        <f ca="1">Start.listina!T46</f>
        <v>0</v>
      </c>
      <c r="G168" s="4"/>
    </row>
    <row r="169" spans="1:7" x14ac:dyDescent="0.4">
      <c r="A169" s="260" t="str">
        <f ca="1">Start.listina!O47</f>
        <v/>
      </c>
      <c r="B169" s="260" t="str">
        <f ca="1">Start.listina!P47</f>
        <v xml:space="preserve"> </v>
      </c>
      <c r="C169" s="260" t="str">
        <f ca="1">Start.listina!Q47</f>
        <v xml:space="preserve"> </v>
      </c>
      <c r="D169" s="260" t="str">
        <f ca="1">Start.listina!R47</f>
        <v xml:space="preserve"> </v>
      </c>
      <c r="E169" s="260">
        <f ca="1">Start.listina!S47</f>
        <v>9999</v>
      </c>
      <c r="F169" s="260">
        <f ca="1">Start.listina!T47</f>
        <v>0</v>
      </c>
      <c r="G169" s="4"/>
    </row>
    <row r="170" spans="1:7" x14ac:dyDescent="0.4">
      <c r="A170" s="260" t="str">
        <f ca="1">Start.listina!O48</f>
        <v/>
      </c>
      <c r="B170" s="260" t="str">
        <f ca="1">Start.listina!P48</f>
        <v xml:space="preserve"> </v>
      </c>
      <c r="C170" s="260" t="str">
        <f ca="1">Start.listina!Q48</f>
        <v xml:space="preserve"> </v>
      </c>
      <c r="D170" s="260" t="str">
        <f ca="1">Start.listina!R48</f>
        <v xml:space="preserve"> </v>
      </c>
      <c r="E170" s="260">
        <f ca="1">Start.listina!S48</f>
        <v>9999</v>
      </c>
      <c r="F170" s="260">
        <f ca="1">Start.listina!T48</f>
        <v>0</v>
      </c>
      <c r="G170" s="4"/>
    </row>
    <row r="171" spans="1:7" x14ac:dyDescent="0.4">
      <c r="A171" s="260" t="str">
        <f ca="1">Start.listina!O49</f>
        <v/>
      </c>
      <c r="B171" s="260" t="str">
        <f ca="1">Start.listina!P49</f>
        <v xml:space="preserve"> </v>
      </c>
      <c r="C171" s="260" t="str">
        <f ca="1">Start.listina!Q49</f>
        <v xml:space="preserve"> </v>
      </c>
      <c r="D171" s="260" t="str">
        <f ca="1">Start.listina!R49</f>
        <v xml:space="preserve"> </v>
      </c>
      <c r="E171" s="260">
        <f ca="1">Start.listina!S49</f>
        <v>9999</v>
      </c>
      <c r="F171" s="260">
        <f ca="1">Start.listina!T49</f>
        <v>0</v>
      </c>
      <c r="G171" s="4"/>
    </row>
    <row r="172" spans="1:7" x14ac:dyDescent="0.4">
      <c r="A172" s="260" t="str">
        <f ca="1">Start.listina!O50</f>
        <v/>
      </c>
      <c r="B172" s="260" t="str">
        <f ca="1">Start.listina!P50</f>
        <v xml:space="preserve"> </v>
      </c>
      <c r="C172" s="260" t="str">
        <f ca="1">Start.listina!Q50</f>
        <v xml:space="preserve"> </v>
      </c>
      <c r="D172" s="260" t="str">
        <f ca="1">Start.listina!R50</f>
        <v xml:space="preserve"> </v>
      </c>
      <c r="E172" s="260">
        <f ca="1">Start.listina!S50</f>
        <v>9999</v>
      </c>
      <c r="F172" s="260">
        <f ca="1">Start.listina!T50</f>
        <v>0</v>
      </c>
      <c r="G172" s="4"/>
    </row>
    <row r="173" spans="1:7" x14ac:dyDescent="0.4">
      <c r="A173" s="260" t="str">
        <f ca="1">Start.listina!O51</f>
        <v/>
      </c>
      <c r="B173" s="260" t="str">
        <f ca="1">Start.listina!P51</f>
        <v xml:space="preserve"> </v>
      </c>
      <c r="C173" s="260" t="str">
        <f ca="1">Start.listina!Q51</f>
        <v xml:space="preserve"> </v>
      </c>
      <c r="D173" s="260" t="str">
        <f ca="1">Start.listina!R51</f>
        <v xml:space="preserve"> </v>
      </c>
      <c r="E173" s="260">
        <f ca="1">Start.listina!S51</f>
        <v>9999</v>
      </c>
      <c r="F173" s="260">
        <f ca="1">Start.listina!T51</f>
        <v>0</v>
      </c>
      <c r="G173" s="4"/>
    </row>
    <row r="174" spans="1:7" x14ac:dyDescent="0.4">
      <c r="A174" s="260" t="str">
        <f ca="1">Start.listina!O52</f>
        <v/>
      </c>
      <c r="B174" s="260" t="str">
        <f ca="1">Start.listina!P52</f>
        <v xml:space="preserve"> </v>
      </c>
      <c r="C174" s="260" t="str">
        <f ca="1">Start.listina!Q52</f>
        <v xml:space="preserve"> </v>
      </c>
      <c r="D174" s="260" t="str">
        <f ca="1">Start.listina!R52</f>
        <v xml:space="preserve"> </v>
      </c>
      <c r="E174" s="260">
        <f ca="1">Start.listina!S52</f>
        <v>9999</v>
      </c>
      <c r="F174" s="260">
        <f ca="1">Start.listina!T52</f>
        <v>0</v>
      </c>
      <c r="G174" s="4"/>
    </row>
    <row r="175" spans="1:7" x14ac:dyDescent="0.4">
      <c r="A175" s="260" t="str">
        <f ca="1">Start.listina!O53</f>
        <v/>
      </c>
      <c r="B175" s="260" t="str">
        <f ca="1">Start.listina!P53</f>
        <v xml:space="preserve"> </v>
      </c>
      <c r="C175" s="260" t="str">
        <f ca="1">Start.listina!Q53</f>
        <v xml:space="preserve"> </v>
      </c>
      <c r="D175" s="260" t="str">
        <f ca="1">Start.listina!R53</f>
        <v xml:space="preserve"> </v>
      </c>
      <c r="E175" s="260">
        <f ca="1">Start.listina!S53</f>
        <v>9999</v>
      </c>
      <c r="F175" s="260">
        <f ca="1">Start.listina!T53</f>
        <v>0</v>
      </c>
      <c r="G175" s="4"/>
    </row>
    <row r="176" spans="1:7" x14ac:dyDescent="0.4">
      <c r="A176" s="260" t="str">
        <f ca="1">Start.listina!O54</f>
        <v/>
      </c>
      <c r="B176" s="260" t="str">
        <f ca="1">Start.listina!P54</f>
        <v xml:space="preserve"> </v>
      </c>
      <c r="C176" s="260" t="str">
        <f ca="1">Start.listina!Q54</f>
        <v xml:space="preserve"> </v>
      </c>
      <c r="D176" s="260" t="str">
        <f ca="1">Start.listina!R54</f>
        <v xml:space="preserve"> </v>
      </c>
      <c r="E176" s="260">
        <f ca="1">Start.listina!S54</f>
        <v>9999</v>
      </c>
      <c r="F176" s="260">
        <f ca="1">Start.listina!T54</f>
        <v>0</v>
      </c>
      <c r="G176" s="4"/>
    </row>
    <row r="177" spans="1:7" x14ac:dyDescent="0.4">
      <c r="A177" s="260" t="str">
        <f ca="1">Start.listina!O55</f>
        <v/>
      </c>
      <c r="B177" s="260" t="str">
        <f ca="1">Start.listina!P55</f>
        <v xml:space="preserve"> </v>
      </c>
      <c r="C177" s="260" t="str">
        <f ca="1">Start.listina!Q55</f>
        <v xml:space="preserve"> </v>
      </c>
      <c r="D177" s="260" t="str">
        <f ca="1">Start.listina!R55</f>
        <v xml:space="preserve"> </v>
      </c>
      <c r="E177" s="260">
        <f ca="1">Start.listina!S55</f>
        <v>9999</v>
      </c>
      <c r="F177" s="260">
        <f ca="1">Start.listina!T55</f>
        <v>0</v>
      </c>
      <c r="G177" s="4"/>
    </row>
    <row r="178" spans="1:7" x14ac:dyDescent="0.4">
      <c r="A178" s="260" t="str">
        <f ca="1">Start.listina!O56</f>
        <v/>
      </c>
      <c r="B178" s="260" t="str">
        <f ca="1">Start.listina!P56</f>
        <v xml:space="preserve"> </v>
      </c>
      <c r="C178" s="260" t="str">
        <f ca="1">Start.listina!Q56</f>
        <v xml:space="preserve"> </v>
      </c>
      <c r="D178" s="260" t="str">
        <f ca="1">Start.listina!R56</f>
        <v xml:space="preserve"> </v>
      </c>
      <c r="E178" s="260">
        <f ca="1">Start.listina!S56</f>
        <v>9999</v>
      </c>
      <c r="F178" s="260">
        <f ca="1">Start.listina!T56</f>
        <v>0</v>
      </c>
      <c r="G178" s="4"/>
    </row>
    <row r="179" spans="1:7" x14ac:dyDescent="0.4">
      <c r="A179" s="260" t="str">
        <f ca="1">Start.listina!O57</f>
        <v/>
      </c>
      <c r="B179" s="260" t="str">
        <f ca="1">Start.listina!P57</f>
        <v xml:space="preserve"> </v>
      </c>
      <c r="C179" s="260" t="str">
        <f ca="1">Start.listina!Q57</f>
        <v xml:space="preserve"> </v>
      </c>
      <c r="D179" s="260" t="str">
        <f ca="1">Start.listina!R57</f>
        <v xml:space="preserve"> </v>
      </c>
      <c r="E179" s="260">
        <f ca="1">Start.listina!S57</f>
        <v>9999</v>
      </c>
      <c r="F179" s="260">
        <f ca="1">Start.listina!T57</f>
        <v>0</v>
      </c>
      <c r="G179" s="4"/>
    </row>
    <row r="180" spans="1:7" x14ac:dyDescent="0.4">
      <c r="A180" s="260" t="str">
        <f ca="1">Start.listina!O58</f>
        <v/>
      </c>
      <c r="B180" s="260" t="str">
        <f ca="1">Start.listina!P58</f>
        <v xml:space="preserve"> </v>
      </c>
      <c r="C180" s="260" t="str">
        <f ca="1">Start.listina!Q58</f>
        <v xml:space="preserve"> </v>
      </c>
      <c r="D180" s="260" t="str">
        <f ca="1">Start.listina!R58</f>
        <v xml:space="preserve"> </v>
      </c>
      <c r="E180" s="260">
        <f ca="1">Start.listina!S58</f>
        <v>9999</v>
      </c>
      <c r="F180" s="260">
        <f ca="1">Start.listina!T58</f>
        <v>0</v>
      </c>
      <c r="G180" s="4"/>
    </row>
    <row r="181" spans="1:7" x14ac:dyDescent="0.4">
      <c r="A181" s="260" t="str">
        <f ca="1">Start.listina!O59</f>
        <v/>
      </c>
      <c r="B181" s="260" t="str">
        <f ca="1">Start.listina!P59</f>
        <v xml:space="preserve"> </v>
      </c>
      <c r="C181" s="260" t="str">
        <f ca="1">Start.listina!Q59</f>
        <v xml:space="preserve"> </v>
      </c>
      <c r="D181" s="260" t="str">
        <f ca="1">Start.listina!R59</f>
        <v xml:space="preserve"> </v>
      </c>
      <c r="E181" s="260">
        <f ca="1">Start.listina!S59</f>
        <v>9999</v>
      </c>
      <c r="F181" s="260">
        <f ca="1">Start.listina!T59</f>
        <v>0</v>
      </c>
      <c r="G181" s="4"/>
    </row>
    <row r="182" spans="1:7" x14ac:dyDescent="0.4">
      <c r="A182" s="260" t="str">
        <f ca="1">Start.listina!O60</f>
        <v/>
      </c>
      <c r="B182" s="260" t="str">
        <f ca="1">Start.listina!P60</f>
        <v xml:space="preserve"> </v>
      </c>
      <c r="C182" s="260" t="str">
        <f ca="1">Start.listina!Q60</f>
        <v xml:space="preserve"> </v>
      </c>
      <c r="D182" s="260" t="str">
        <f ca="1">Start.listina!R60</f>
        <v xml:space="preserve"> </v>
      </c>
      <c r="E182" s="260">
        <f ca="1">Start.listina!S60</f>
        <v>9999</v>
      </c>
      <c r="F182" s="260">
        <f ca="1">Start.listina!T60</f>
        <v>0</v>
      </c>
      <c r="G182" s="4"/>
    </row>
    <row r="183" spans="1:7" x14ac:dyDescent="0.4">
      <c r="A183" s="260" t="str">
        <f ca="1">Start.listina!O61</f>
        <v/>
      </c>
      <c r="B183" s="260" t="str">
        <f ca="1">Start.listina!P61</f>
        <v xml:space="preserve"> </v>
      </c>
      <c r="C183" s="260" t="str">
        <f ca="1">Start.listina!Q61</f>
        <v xml:space="preserve"> </v>
      </c>
      <c r="D183" s="260" t="str">
        <f ca="1">Start.listina!R61</f>
        <v xml:space="preserve"> </v>
      </c>
      <c r="E183" s="260">
        <f ca="1">Start.listina!S61</f>
        <v>9999</v>
      </c>
      <c r="F183" s="260">
        <f ca="1">Start.listina!T61</f>
        <v>0</v>
      </c>
      <c r="G183" s="4"/>
    </row>
    <row r="184" spans="1:7" x14ac:dyDescent="0.4">
      <c r="A184" s="260" t="str">
        <f ca="1">Start.listina!O62</f>
        <v/>
      </c>
      <c r="B184" s="260" t="str">
        <f ca="1">Start.listina!P62</f>
        <v xml:space="preserve"> </v>
      </c>
      <c r="C184" s="260" t="str">
        <f ca="1">Start.listina!Q62</f>
        <v xml:space="preserve"> </v>
      </c>
      <c r="D184" s="260" t="str">
        <f ca="1">Start.listina!R62</f>
        <v xml:space="preserve"> </v>
      </c>
      <c r="E184" s="260">
        <f ca="1">Start.listina!S62</f>
        <v>9999</v>
      </c>
      <c r="F184" s="260">
        <f ca="1">Start.listina!T62</f>
        <v>0</v>
      </c>
      <c r="G184" s="4"/>
    </row>
    <row r="185" spans="1:7" x14ac:dyDescent="0.4">
      <c r="A185" s="260" t="str">
        <f ca="1">Start.listina!O63</f>
        <v/>
      </c>
      <c r="B185" s="260" t="str">
        <f ca="1">Start.listina!P63</f>
        <v xml:space="preserve"> </v>
      </c>
      <c r="C185" s="260" t="str">
        <f ca="1">Start.listina!Q63</f>
        <v xml:space="preserve"> </v>
      </c>
      <c r="D185" s="260" t="str">
        <f ca="1">Start.listina!R63</f>
        <v xml:space="preserve"> </v>
      </c>
      <c r="E185" s="260">
        <f ca="1">Start.listina!S63</f>
        <v>9999</v>
      </c>
      <c r="F185" s="260">
        <f ca="1">Start.listina!T63</f>
        <v>0</v>
      </c>
      <c r="G185" s="4"/>
    </row>
    <row r="186" spans="1:7" x14ac:dyDescent="0.4">
      <c r="A186" s="260" t="str">
        <f ca="1">Start.listina!O64</f>
        <v/>
      </c>
      <c r="B186" s="260" t="str">
        <f ca="1">Start.listina!P64</f>
        <v xml:space="preserve"> </v>
      </c>
      <c r="C186" s="260" t="str">
        <f ca="1">Start.listina!Q64</f>
        <v xml:space="preserve"> </v>
      </c>
      <c r="D186" s="260" t="str">
        <f ca="1">Start.listina!R64</f>
        <v xml:space="preserve"> </v>
      </c>
      <c r="E186" s="260">
        <f ca="1">Start.listina!S64</f>
        <v>9999</v>
      </c>
      <c r="F186" s="260">
        <f ca="1">Start.listina!T64</f>
        <v>0</v>
      </c>
      <c r="G186" s="4"/>
    </row>
    <row r="187" spans="1:7" x14ac:dyDescent="0.4">
      <c r="A187" s="260" t="str">
        <f ca="1">Start.listina!O65</f>
        <v/>
      </c>
      <c r="B187" s="260" t="str">
        <f ca="1">Start.listina!P65</f>
        <v xml:space="preserve"> </v>
      </c>
      <c r="C187" s="260" t="str">
        <f ca="1">Start.listina!Q65</f>
        <v xml:space="preserve"> </v>
      </c>
      <c r="D187" s="260" t="str">
        <f ca="1">Start.listina!R65</f>
        <v xml:space="preserve"> </v>
      </c>
      <c r="E187" s="260">
        <f ca="1">Start.listina!S65</f>
        <v>9999</v>
      </c>
      <c r="F187" s="260">
        <f ca="1">Start.listina!T65</f>
        <v>0</v>
      </c>
      <c r="G187" s="4"/>
    </row>
    <row r="188" spans="1:7" x14ac:dyDescent="0.4">
      <c r="A188" s="260" t="str">
        <f ca="1">Start.listina!O66</f>
        <v/>
      </c>
      <c r="B188" s="260" t="str">
        <f ca="1">Start.listina!P66</f>
        <v xml:space="preserve"> </v>
      </c>
      <c r="C188" s="260" t="str">
        <f ca="1">Start.listina!Q66</f>
        <v xml:space="preserve"> </v>
      </c>
      <c r="D188" s="260" t="str">
        <f ca="1">Start.listina!R66</f>
        <v xml:space="preserve"> </v>
      </c>
      <c r="E188" s="260">
        <f ca="1">Start.listina!S66</f>
        <v>9999</v>
      </c>
      <c r="F188" s="260">
        <f ca="1">Start.listina!T66</f>
        <v>0</v>
      </c>
      <c r="G188" s="4"/>
    </row>
    <row r="189" spans="1:7" x14ac:dyDescent="0.4">
      <c r="A189" s="260" t="str">
        <f ca="1">Start.listina!O67</f>
        <v/>
      </c>
      <c r="B189" s="260" t="str">
        <f ca="1">Start.listina!P67</f>
        <v xml:space="preserve"> </v>
      </c>
      <c r="C189" s="260" t="str">
        <f ca="1">Start.listina!Q67</f>
        <v xml:space="preserve"> </v>
      </c>
      <c r="D189" s="260" t="str">
        <f ca="1">Start.listina!R67</f>
        <v xml:space="preserve"> </v>
      </c>
      <c r="E189" s="260">
        <f ca="1">Start.listina!S67</f>
        <v>9999</v>
      </c>
      <c r="F189" s="260">
        <f ca="1">Start.listina!T67</f>
        <v>0</v>
      </c>
      <c r="G189" s="4"/>
    </row>
    <row r="190" spans="1:7" x14ac:dyDescent="0.4">
      <c r="A190" s="260" t="str">
        <f ca="1">Start.listina!O68</f>
        <v/>
      </c>
      <c r="B190" s="260" t="str">
        <f ca="1">Start.listina!P68</f>
        <v xml:space="preserve"> </v>
      </c>
      <c r="C190" s="260" t="str">
        <f ca="1">Start.listina!Q68</f>
        <v xml:space="preserve"> </v>
      </c>
      <c r="D190" s="260" t="str">
        <f ca="1">Start.listina!R68</f>
        <v xml:space="preserve"> </v>
      </c>
      <c r="E190" s="260">
        <f ca="1">Start.listina!S68</f>
        <v>9999</v>
      </c>
      <c r="F190" s="260">
        <f ca="1">Start.listina!T68</f>
        <v>0</v>
      </c>
      <c r="G190" s="4"/>
    </row>
    <row r="191" spans="1:7" x14ac:dyDescent="0.4">
      <c r="A191" s="260" t="str">
        <f ca="1">Start.listina!O69</f>
        <v/>
      </c>
      <c r="B191" s="260" t="str">
        <f ca="1">Start.listina!P69</f>
        <v xml:space="preserve"> </v>
      </c>
      <c r="C191" s="260" t="str">
        <f ca="1">Start.listina!Q69</f>
        <v xml:space="preserve"> </v>
      </c>
      <c r="D191" s="260" t="str">
        <f ca="1">Start.listina!R69</f>
        <v xml:space="preserve"> </v>
      </c>
      <c r="E191" s="260">
        <f ca="1">Start.listina!S69</f>
        <v>9999</v>
      </c>
      <c r="F191" s="260">
        <f ca="1">Start.listina!T69</f>
        <v>0</v>
      </c>
      <c r="G191" s="4"/>
    </row>
    <row r="192" spans="1:7" x14ac:dyDescent="0.4">
      <c r="A192" s="260" t="str">
        <f ca="1">Start.listina!O70</f>
        <v/>
      </c>
      <c r="B192" s="260" t="str">
        <f ca="1">Start.listina!P70</f>
        <v xml:space="preserve"> </v>
      </c>
      <c r="C192" s="260" t="str">
        <f ca="1">Start.listina!Q70</f>
        <v xml:space="preserve"> </v>
      </c>
      <c r="D192" s="260" t="str">
        <f ca="1">Start.listina!R70</f>
        <v xml:space="preserve"> </v>
      </c>
      <c r="E192" s="260">
        <f ca="1">Start.listina!S70</f>
        <v>9999</v>
      </c>
      <c r="F192" s="260">
        <f ca="1">Start.listina!T70</f>
        <v>0</v>
      </c>
      <c r="G192" s="4"/>
    </row>
    <row r="193" spans="1:7" x14ac:dyDescent="0.4">
      <c r="A193" s="260" t="str">
        <f ca="1">Start.listina!O71</f>
        <v/>
      </c>
      <c r="B193" s="260" t="str">
        <f ca="1">Start.listina!P71</f>
        <v xml:space="preserve"> </v>
      </c>
      <c r="C193" s="260" t="str">
        <f ca="1">Start.listina!Q71</f>
        <v xml:space="preserve"> </v>
      </c>
      <c r="D193" s="260" t="str">
        <f ca="1">Start.listina!R71</f>
        <v xml:space="preserve"> </v>
      </c>
      <c r="E193" s="260">
        <f ca="1">Start.listina!S71</f>
        <v>9999</v>
      </c>
      <c r="F193" s="260">
        <f ca="1">Start.listina!T71</f>
        <v>0</v>
      </c>
      <c r="G193" s="4"/>
    </row>
    <row r="194" spans="1:7" x14ac:dyDescent="0.4">
      <c r="A194" s="260" t="str">
        <f ca="1">Start.listina!O72</f>
        <v/>
      </c>
      <c r="B194" s="260" t="str">
        <f ca="1">Start.listina!P72</f>
        <v xml:space="preserve"> </v>
      </c>
      <c r="C194" s="260" t="str">
        <f ca="1">Start.listina!Q72</f>
        <v xml:space="preserve"> </v>
      </c>
      <c r="D194" s="260" t="str">
        <f ca="1">Start.listina!R72</f>
        <v xml:space="preserve"> </v>
      </c>
      <c r="E194" s="260">
        <f ca="1">Start.listina!S72</f>
        <v>9999</v>
      </c>
      <c r="F194" s="260">
        <f ca="1">Start.listina!T72</f>
        <v>0</v>
      </c>
      <c r="G194" s="4"/>
    </row>
    <row r="195" spans="1:7" x14ac:dyDescent="0.4">
      <c r="A195" s="260" t="str">
        <f ca="1">Start.listina!O73</f>
        <v/>
      </c>
      <c r="B195" s="260" t="str">
        <f ca="1">Start.listina!P73</f>
        <v xml:space="preserve"> </v>
      </c>
      <c r="C195" s="260" t="str">
        <f ca="1">Start.listina!Q73</f>
        <v xml:space="preserve"> </v>
      </c>
      <c r="D195" s="260" t="str">
        <f ca="1">Start.listina!R73</f>
        <v xml:space="preserve"> </v>
      </c>
      <c r="E195" s="260">
        <f ca="1">Start.listina!S73</f>
        <v>9999</v>
      </c>
      <c r="F195" s="260">
        <f ca="1">Start.listina!T73</f>
        <v>0</v>
      </c>
      <c r="G195" s="4"/>
    </row>
    <row r="196" spans="1:7" x14ac:dyDescent="0.4">
      <c r="A196" s="260" t="str">
        <f ca="1">Start.listina!O74</f>
        <v/>
      </c>
      <c r="B196" s="260" t="str">
        <f ca="1">Start.listina!P74</f>
        <v xml:space="preserve"> </v>
      </c>
      <c r="C196" s="260" t="str">
        <f ca="1">Start.listina!Q74</f>
        <v xml:space="preserve"> </v>
      </c>
      <c r="D196" s="260" t="str">
        <f ca="1">Start.listina!R74</f>
        <v xml:space="preserve"> </v>
      </c>
      <c r="E196" s="260">
        <f ca="1">Start.listina!S74</f>
        <v>9999</v>
      </c>
      <c r="F196" s="260">
        <f ca="1">Start.listina!T74</f>
        <v>0</v>
      </c>
      <c r="G196" s="4"/>
    </row>
    <row r="197" spans="1:7" x14ac:dyDescent="0.4">
      <c r="A197" s="260" t="str">
        <f ca="1">Start.listina!O75</f>
        <v/>
      </c>
      <c r="B197" s="260" t="str">
        <f ca="1">Start.listina!P75</f>
        <v xml:space="preserve"> </v>
      </c>
      <c r="C197" s="260" t="str">
        <f ca="1">Start.listina!Q75</f>
        <v xml:space="preserve"> </v>
      </c>
      <c r="D197" s="260" t="str">
        <f ca="1">Start.listina!R75</f>
        <v xml:space="preserve"> </v>
      </c>
      <c r="E197" s="260">
        <f ca="1">Start.listina!S75</f>
        <v>9999</v>
      </c>
      <c r="F197" s="260">
        <f ca="1">Start.listina!T75</f>
        <v>0</v>
      </c>
      <c r="G197" s="4"/>
    </row>
    <row r="198" spans="1:7" x14ac:dyDescent="0.4">
      <c r="A198" s="260" t="str">
        <f ca="1">Start.listina!O76</f>
        <v/>
      </c>
      <c r="B198" s="260" t="str">
        <f ca="1">Start.listina!P76</f>
        <v xml:space="preserve"> </v>
      </c>
      <c r="C198" s="260" t="str">
        <f ca="1">Start.listina!Q76</f>
        <v xml:space="preserve"> </v>
      </c>
      <c r="D198" s="260" t="str">
        <f ca="1">Start.listina!R76</f>
        <v xml:space="preserve"> </v>
      </c>
      <c r="E198" s="260">
        <f ca="1">Start.listina!S76</f>
        <v>9999</v>
      </c>
      <c r="F198" s="260">
        <f ca="1">Start.listina!T76</f>
        <v>0</v>
      </c>
      <c r="G198" s="4"/>
    </row>
    <row r="199" spans="1:7" x14ac:dyDescent="0.4">
      <c r="A199" s="260" t="str">
        <f ca="1">Start.listina!O77</f>
        <v/>
      </c>
      <c r="B199" s="260" t="str">
        <f ca="1">Start.listina!P77</f>
        <v xml:space="preserve"> </v>
      </c>
      <c r="C199" s="260" t="str">
        <f ca="1">Start.listina!Q77</f>
        <v xml:space="preserve"> </v>
      </c>
      <c r="D199" s="260" t="str">
        <f ca="1">Start.listina!R77</f>
        <v xml:space="preserve"> </v>
      </c>
      <c r="E199" s="260">
        <f ca="1">Start.listina!S77</f>
        <v>9999</v>
      </c>
      <c r="F199" s="260">
        <f ca="1">Start.listina!T77</f>
        <v>0</v>
      </c>
      <c r="G199" s="4"/>
    </row>
    <row r="200" spans="1:7" x14ac:dyDescent="0.4">
      <c r="A200" s="260" t="str">
        <f ca="1">Start.listina!O78</f>
        <v/>
      </c>
      <c r="B200" s="260" t="str">
        <f ca="1">Start.listina!P78</f>
        <v xml:space="preserve"> </v>
      </c>
      <c r="C200" s="260" t="str">
        <f ca="1">Start.listina!Q78</f>
        <v xml:space="preserve"> </v>
      </c>
      <c r="D200" s="260" t="str">
        <f ca="1">Start.listina!R78</f>
        <v xml:space="preserve"> </v>
      </c>
      <c r="E200" s="260">
        <f ca="1">Start.listina!S78</f>
        <v>9999</v>
      </c>
      <c r="F200" s="260">
        <f ca="1">Start.listina!T78</f>
        <v>0</v>
      </c>
      <c r="G200" s="4"/>
    </row>
    <row r="201" spans="1:7" x14ac:dyDescent="0.4">
      <c r="A201" s="260" t="str">
        <f ca="1">Start.listina!O79</f>
        <v/>
      </c>
      <c r="B201" s="260" t="str">
        <f ca="1">Start.listina!P79</f>
        <v xml:space="preserve"> </v>
      </c>
      <c r="C201" s="260" t="str">
        <f ca="1">Start.listina!Q79</f>
        <v xml:space="preserve"> </v>
      </c>
      <c r="D201" s="260" t="str">
        <f ca="1">Start.listina!R79</f>
        <v xml:space="preserve"> </v>
      </c>
      <c r="E201" s="260">
        <f ca="1">Start.listina!S79</f>
        <v>9999</v>
      </c>
      <c r="F201" s="260">
        <f ca="1">Start.listina!T79</f>
        <v>0</v>
      </c>
      <c r="G201" s="4"/>
    </row>
    <row r="202" spans="1:7" x14ac:dyDescent="0.4">
      <c r="A202" s="260" t="str">
        <f ca="1">Start.listina!O80</f>
        <v/>
      </c>
      <c r="B202" s="260" t="str">
        <f ca="1">Start.listina!P80</f>
        <v xml:space="preserve"> </v>
      </c>
      <c r="C202" s="260" t="str">
        <f ca="1">Start.listina!Q80</f>
        <v xml:space="preserve"> </v>
      </c>
      <c r="D202" s="260" t="str">
        <f ca="1">Start.listina!R80</f>
        <v xml:space="preserve"> </v>
      </c>
      <c r="E202" s="260">
        <f ca="1">Start.listina!S80</f>
        <v>9999</v>
      </c>
      <c r="F202" s="260">
        <f ca="1">Start.listina!T80</f>
        <v>0</v>
      </c>
      <c r="G202" s="4"/>
    </row>
    <row r="203" spans="1:7" x14ac:dyDescent="0.4">
      <c r="A203" s="260" t="str">
        <f ca="1">Start.listina!O81</f>
        <v/>
      </c>
      <c r="B203" s="260" t="str">
        <f ca="1">Start.listina!P81</f>
        <v xml:space="preserve"> </v>
      </c>
      <c r="C203" s="260" t="str">
        <f ca="1">Start.listina!Q81</f>
        <v xml:space="preserve"> </v>
      </c>
      <c r="D203" s="260" t="str">
        <f ca="1">Start.listina!R81</f>
        <v xml:space="preserve"> </v>
      </c>
      <c r="E203" s="260">
        <f ca="1">Start.listina!S81</f>
        <v>9999</v>
      </c>
      <c r="F203" s="260">
        <f ca="1">Start.listina!T81</f>
        <v>0</v>
      </c>
      <c r="G203" s="4"/>
    </row>
    <row r="204" spans="1:7" x14ac:dyDescent="0.4">
      <c r="A204" s="260" t="str">
        <f ca="1">Start.listina!O82</f>
        <v/>
      </c>
      <c r="B204" s="260" t="str">
        <f ca="1">Start.listina!P82</f>
        <v xml:space="preserve"> </v>
      </c>
      <c r="C204" s="260" t="str">
        <f ca="1">Start.listina!Q82</f>
        <v xml:space="preserve"> </v>
      </c>
      <c r="D204" s="260" t="str">
        <f ca="1">Start.listina!R82</f>
        <v xml:space="preserve"> </v>
      </c>
      <c r="E204" s="260">
        <f ca="1">Start.listina!S82</f>
        <v>9999</v>
      </c>
      <c r="F204" s="260">
        <f ca="1">Start.listina!T82</f>
        <v>0</v>
      </c>
      <c r="G204" s="4"/>
    </row>
    <row r="205" spans="1:7" x14ac:dyDescent="0.4">
      <c r="A205" s="260" t="str">
        <f ca="1">Start.listina!O83</f>
        <v/>
      </c>
      <c r="B205" s="260" t="str">
        <f ca="1">Start.listina!P83</f>
        <v xml:space="preserve"> </v>
      </c>
      <c r="C205" s="260" t="str">
        <f ca="1">Start.listina!Q83</f>
        <v xml:space="preserve"> </v>
      </c>
      <c r="D205" s="260" t="str">
        <f ca="1">Start.listina!R83</f>
        <v xml:space="preserve"> </v>
      </c>
      <c r="E205" s="260">
        <f ca="1">Start.listina!S83</f>
        <v>9999</v>
      </c>
      <c r="F205" s="260">
        <f ca="1">Start.listina!T83</f>
        <v>0</v>
      </c>
      <c r="G205" s="4"/>
    </row>
    <row r="206" spans="1:7" x14ac:dyDescent="0.4">
      <c r="A206" s="260" t="str">
        <f ca="1">Start.listina!O84</f>
        <v/>
      </c>
      <c r="B206" s="260" t="str">
        <f ca="1">Start.listina!P84</f>
        <v xml:space="preserve"> </v>
      </c>
      <c r="C206" s="260" t="str">
        <f ca="1">Start.listina!Q84</f>
        <v xml:space="preserve"> </v>
      </c>
      <c r="D206" s="260" t="str">
        <f ca="1">Start.listina!R84</f>
        <v xml:space="preserve"> </v>
      </c>
      <c r="E206" s="260">
        <f ca="1">Start.listina!S84</f>
        <v>9999</v>
      </c>
      <c r="F206" s="260">
        <f ca="1">Start.listina!T84</f>
        <v>0</v>
      </c>
      <c r="G206" s="4"/>
    </row>
    <row r="207" spans="1:7" x14ac:dyDescent="0.4">
      <c r="A207" s="260" t="str">
        <f ca="1">Start.listina!O85</f>
        <v/>
      </c>
      <c r="B207" s="260" t="str">
        <f ca="1">Start.listina!P85</f>
        <v xml:space="preserve"> </v>
      </c>
      <c r="C207" s="260" t="str">
        <f ca="1">Start.listina!Q85</f>
        <v xml:space="preserve"> </v>
      </c>
      <c r="D207" s="260" t="str">
        <f ca="1">Start.listina!R85</f>
        <v xml:space="preserve"> </v>
      </c>
      <c r="E207" s="260">
        <f ca="1">Start.listina!S85</f>
        <v>9999</v>
      </c>
      <c r="F207" s="260">
        <f ca="1">Start.listina!T85</f>
        <v>0</v>
      </c>
      <c r="G207" s="4"/>
    </row>
    <row r="208" spans="1:7" x14ac:dyDescent="0.4">
      <c r="A208" s="260" t="str">
        <f ca="1">Start.listina!O86</f>
        <v/>
      </c>
      <c r="B208" s="260" t="str">
        <f ca="1">Start.listina!P86</f>
        <v xml:space="preserve"> </v>
      </c>
      <c r="C208" s="260" t="str">
        <f ca="1">Start.listina!Q86</f>
        <v xml:space="preserve"> </v>
      </c>
      <c r="D208" s="260" t="str">
        <f ca="1">Start.listina!R86</f>
        <v xml:space="preserve"> </v>
      </c>
      <c r="E208" s="260">
        <f ca="1">Start.listina!S86</f>
        <v>9999</v>
      </c>
      <c r="F208" s="260">
        <f ca="1">Start.listina!T86</f>
        <v>0</v>
      </c>
      <c r="G208" s="4"/>
    </row>
    <row r="209" spans="1:7" x14ac:dyDescent="0.4">
      <c r="A209" s="260" t="str">
        <f ca="1">Start.listina!O87</f>
        <v/>
      </c>
      <c r="B209" s="260" t="str">
        <f ca="1">Start.listina!P87</f>
        <v xml:space="preserve"> </v>
      </c>
      <c r="C209" s="260" t="str">
        <f ca="1">Start.listina!Q87</f>
        <v xml:space="preserve"> </v>
      </c>
      <c r="D209" s="260" t="str">
        <f ca="1">Start.listina!R87</f>
        <v xml:space="preserve"> </v>
      </c>
      <c r="E209" s="260">
        <f ca="1">Start.listina!S87</f>
        <v>9999</v>
      </c>
      <c r="F209" s="260">
        <f ca="1">Start.listina!T87</f>
        <v>0</v>
      </c>
      <c r="G209" s="4"/>
    </row>
    <row r="210" spans="1:7" x14ac:dyDescent="0.4">
      <c r="A210" s="260" t="str">
        <f ca="1">Start.listina!O88</f>
        <v/>
      </c>
      <c r="B210" s="260" t="str">
        <f ca="1">Start.listina!P88</f>
        <v xml:space="preserve"> </v>
      </c>
      <c r="C210" s="260" t="str">
        <f ca="1">Start.listina!Q88</f>
        <v xml:space="preserve"> </v>
      </c>
      <c r="D210" s="260" t="str">
        <f ca="1">Start.listina!R88</f>
        <v xml:space="preserve"> </v>
      </c>
      <c r="E210" s="260">
        <f ca="1">Start.listina!S88</f>
        <v>9999</v>
      </c>
      <c r="F210" s="260">
        <f ca="1">Start.listina!T88</f>
        <v>0</v>
      </c>
      <c r="G210" s="4"/>
    </row>
    <row r="211" spans="1:7" x14ac:dyDescent="0.4">
      <c r="A211" s="260" t="str">
        <f ca="1">Start.listina!O89</f>
        <v/>
      </c>
      <c r="B211" s="260" t="str">
        <f ca="1">Start.listina!P89</f>
        <v xml:space="preserve"> </v>
      </c>
      <c r="C211" s="260" t="str">
        <f ca="1">Start.listina!Q89</f>
        <v xml:space="preserve"> </v>
      </c>
      <c r="D211" s="260" t="str">
        <f ca="1">Start.listina!R89</f>
        <v xml:space="preserve"> </v>
      </c>
      <c r="E211" s="260">
        <f ca="1">Start.listina!S89</f>
        <v>9999</v>
      </c>
      <c r="F211" s="260">
        <f ca="1">Start.listina!T89</f>
        <v>0</v>
      </c>
      <c r="G211" s="4"/>
    </row>
    <row r="212" spans="1:7" x14ac:dyDescent="0.4">
      <c r="A212" s="260" t="str">
        <f ca="1">Start.listina!O90</f>
        <v/>
      </c>
      <c r="B212" s="260" t="str">
        <f ca="1">Start.listina!P90</f>
        <v xml:space="preserve"> </v>
      </c>
      <c r="C212" s="260" t="str">
        <f ca="1">Start.listina!Q90</f>
        <v xml:space="preserve"> </v>
      </c>
      <c r="D212" s="260" t="str">
        <f ca="1">Start.listina!R90</f>
        <v xml:space="preserve"> </v>
      </c>
      <c r="E212" s="260">
        <f ca="1">Start.listina!S90</f>
        <v>9999</v>
      </c>
      <c r="F212" s="260">
        <f ca="1">Start.listina!T90</f>
        <v>0</v>
      </c>
      <c r="G212" s="4"/>
    </row>
    <row r="213" spans="1:7" x14ac:dyDescent="0.4">
      <c r="A213" s="260" t="str">
        <f ca="1">Start.listina!O91</f>
        <v/>
      </c>
      <c r="B213" s="260" t="str">
        <f ca="1">Start.listina!P91</f>
        <v xml:space="preserve"> </v>
      </c>
      <c r="C213" s="260" t="str">
        <f ca="1">Start.listina!Q91</f>
        <v xml:space="preserve"> </v>
      </c>
      <c r="D213" s="260" t="str">
        <f ca="1">Start.listina!R91</f>
        <v xml:space="preserve"> </v>
      </c>
      <c r="E213" s="260">
        <f ca="1">Start.listina!S91</f>
        <v>9999</v>
      </c>
      <c r="F213" s="260">
        <f ca="1">Start.listina!T91</f>
        <v>0</v>
      </c>
      <c r="G213" s="4"/>
    </row>
    <row r="214" spans="1:7" x14ac:dyDescent="0.4">
      <c r="A214" s="260" t="str">
        <f ca="1">Start.listina!O92</f>
        <v/>
      </c>
      <c r="B214" s="260" t="str">
        <f ca="1">Start.listina!P92</f>
        <v xml:space="preserve"> </v>
      </c>
      <c r="C214" s="260" t="str">
        <f ca="1">Start.listina!Q92</f>
        <v xml:space="preserve"> </v>
      </c>
      <c r="D214" s="260" t="str">
        <f ca="1">Start.listina!R92</f>
        <v xml:space="preserve"> </v>
      </c>
      <c r="E214" s="260">
        <f ca="1">Start.listina!S92</f>
        <v>9999</v>
      </c>
      <c r="F214" s="260">
        <f ca="1">Start.listina!T92</f>
        <v>0</v>
      </c>
      <c r="G214" s="4"/>
    </row>
    <row r="215" spans="1:7" x14ac:dyDescent="0.4">
      <c r="A215" s="260" t="str">
        <f ca="1">Start.listina!O93</f>
        <v/>
      </c>
      <c r="B215" s="260" t="str">
        <f ca="1">Start.listina!P93</f>
        <v xml:space="preserve"> </v>
      </c>
      <c r="C215" s="260" t="str">
        <f ca="1">Start.listina!Q93</f>
        <v xml:space="preserve"> </v>
      </c>
      <c r="D215" s="260" t="str">
        <f ca="1">Start.listina!R93</f>
        <v xml:space="preserve"> </v>
      </c>
      <c r="E215" s="260">
        <f ca="1">Start.listina!S93</f>
        <v>9999</v>
      </c>
      <c r="F215" s="260">
        <f ca="1">Start.listina!T93</f>
        <v>0</v>
      </c>
      <c r="G215" s="4"/>
    </row>
    <row r="216" spans="1:7" x14ac:dyDescent="0.4">
      <c r="A216" s="260" t="str">
        <f ca="1">Start.listina!O94</f>
        <v/>
      </c>
      <c r="B216" s="260" t="str">
        <f ca="1">Start.listina!P94</f>
        <v xml:space="preserve"> </v>
      </c>
      <c r="C216" s="260" t="str">
        <f ca="1">Start.listina!Q94</f>
        <v xml:space="preserve"> </v>
      </c>
      <c r="D216" s="260" t="str">
        <f ca="1">Start.listina!R94</f>
        <v xml:space="preserve"> </v>
      </c>
      <c r="E216" s="260">
        <f ca="1">Start.listina!S94</f>
        <v>9999</v>
      </c>
      <c r="F216" s="260">
        <f ca="1">Start.listina!T94</f>
        <v>0</v>
      </c>
      <c r="G216" s="4"/>
    </row>
    <row r="217" spans="1:7" x14ac:dyDescent="0.4">
      <c r="A217" s="260" t="str">
        <f ca="1">Start.listina!O95</f>
        <v/>
      </c>
      <c r="B217" s="260" t="str">
        <f ca="1">Start.listina!P95</f>
        <v xml:space="preserve"> </v>
      </c>
      <c r="C217" s="260" t="str">
        <f ca="1">Start.listina!Q95</f>
        <v xml:space="preserve"> </v>
      </c>
      <c r="D217" s="260" t="str">
        <f ca="1">Start.listina!R95</f>
        <v xml:space="preserve"> </v>
      </c>
      <c r="E217" s="260">
        <f ca="1">Start.listina!S95</f>
        <v>9999</v>
      </c>
      <c r="F217" s="260">
        <f ca="1">Start.listina!T95</f>
        <v>0</v>
      </c>
      <c r="G217" s="4"/>
    </row>
    <row r="218" spans="1:7" x14ac:dyDescent="0.4">
      <c r="A218" s="260" t="str">
        <f ca="1">Start.listina!O96</f>
        <v/>
      </c>
      <c r="B218" s="260" t="str">
        <f ca="1">Start.listina!P96</f>
        <v xml:space="preserve"> </v>
      </c>
      <c r="C218" s="260" t="str">
        <f ca="1">Start.listina!Q96</f>
        <v xml:space="preserve"> </v>
      </c>
      <c r="D218" s="260" t="str">
        <f ca="1">Start.listina!R96</f>
        <v xml:space="preserve"> </v>
      </c>
      <c r="E218" s="260">
        <f ca="1">Start.listina!S96</f>
        <v>9999</v>
      </c>
      <c r="F218" s="260">
        <f ca="1">Start.listina!T96</f>
        <v>0</v>
      </c>
      <c r="G218" s="4"/>
    </row>
    <row r="219" spans="1:7" x14ac:dyDescent="0.4">
      <c r="A219" s="260" t="str">
        <f ca="1">Start.listina!O97</f>
        <v/>
      </c>
      <c r="B219" s="260" t="str">
        <f ca="1">Start.listina!P97</f>
        <v xml:space="preserve"> </v>
      </c>
      <c r="C219" s="260" t="str">
        <f ca="1">Start.listina!Q97</f>
        <v xml:space="preserve"> </v>
      </c>
      <c r="D219" s="260" t="str">
        <f ca="1">Start.listina!R97</f>
        <v xml:space="preserve"> </v>
      </c>
      <c r="E219" s="260">
        <f ca="1">Start.listina!S97</f>
        <v>9999</v>
      </c>
      <c r="F219" s="260">
        <f ca="1">Start.listina!T97</f>
        <v>0</v>
      </c>
      <c r="G219" s="4"/>
    </row>
    <row r="220" spans="1:7" x14ac:dyDescent="0.4">
      <c r="A220" s="260" t="str">
        <f ca="1">Start.listina!O98</f>
        <v/>
      </c>
      <c r="B220" s="260" t="str">
        <f ca="1">Start.listina!P98</f>
        <v xml:space="preserve"> </v>
      </c>
      <c r="C220" s="260" t="str">
        <f ca="1">Start.listina!Q98</f>
        <v xml:space="preserve"> </v>
      </c>
      <c r="D220" s="260" t="str">
        <f ca="1">Start.listina!R98</f>
        <v xml:space="preserve"> </v>
      </c>
      <c r="E220" s="260">
        <f ca="1">Start.listina!S98</f>
        <v>9999</v>
      </c>
      <c r="F220" s="260">
        <f ca="1">Start.listina!T98</f>
        <v>0</v>
      </c>
      <c r="G220" s="4"/>
    </row>
    <row r="221" spans="1:7" x14ac:dyDescent="0.4">
      <c r="A221" s="260" t="str">
        <f ca="1">Start.listina!O99</f>
        <v/>
      </c>
      <c r="B221" s="260" t="str">
        <f ca="1">Start.listina!P99</f>
        <v xml:space="preserve"> </v>
      </c>
      <c r="C221" s="260" t="str">
        <f ca="1">Start.listina!Q99</f>
        <v xml:space="preserve"> </v>
      </c>
      <c r="D221" s="260" t="str">
        <f ca="1">Start.listina!R99</f>
        <v xml:space="preserve"> </v>
      </c>
      <c r="E221" s="260">
        <f ca="1">Start.listina!S99</f>
        <v>9999</v>
      </c>
      <c r="F221" s="260">
        <f ca="1">Start.listina!T99</f>
        <v>0</v>
      </c>
      <c r="G221" s="4"/>
    </row>
    <row r="222" spans="1:7" x14ac:dyDescent="0.4">
      <c r="A222" s="260" t="str">
        <f ca="1">Start.listina!O100</f>
        <v/>
      </c>
      <c r="B222" s="260" t="str">
        <f ca="1">Start.listina!P100</f>
        <v xml:space="preserve"> </v>
      </c>
      <c r="C222" s="260" t="str">
        <f ca="1">Start.listina!Q100</f>
        <v xml:space="preserve"> </v>
      </c>
      <c r="D222" s="260" t="str">
        <f ca="1">Start.listina!R100</f>
        <v xml:space="preserve"> </v>
      </c>
      <c r="E222" s="260">
        <f ca="1">Start.listina!S100</f>
        <v>9999</v>
      </c>
      <c r="F222" s="260">
        <f ca="1">Start.listina!T100</f>
        <v>0</v>
      </c>
      <c r="G222" s="4"/>
    </row>
    <row r="223" spans="1:7" x14ac:dyDescent="0.4">
      <c r="A223" s="260" t="str">
        <f ca="1">Start.listina!O101</f>
        <v/>
      </c>
      <c r="B223" s="260" t="str">
        <f ca="1">Start.listina!P101</f>
        <v xml:space="preserve"> </v>
      </c>
      <c r="C223" s="260" t="str">
        <f ca="1">Start.listina!Q101</f>
        <v xml:space="preserve"> </v>
      </c>
      <c r="D223" s="260" t="str">
        <f ca="1">Start.listina!R101</f>
        <v xml:space="preserve"> </v>
      </c>
      <c r="E223" s="260">
        <f ca="1">Start.listina!S101</f>
        <v>9999</v>
      </c>
      <c r="F223" s="260">
        <f ca="1">Start.listina!T101</f>
        <v>0</v>
      </c>
      <c r="G223" s="4"/>
    </row>
    <row r="224" spans="1:7" x14ac:dyDescent="0.4">
      <c r="A224" s="260" t="str">
        <f ca="1">Start.listina!O102</f>
        <v/>
      </c>
      <c r="B224" s="260" t="str">
        <f ca="1">Start.listina!P102</f>
        <v xml:space="preserve"> </v>
      </c>
      <c r="C224" s="260" t="str">
        <f ca="1">Start.listina!Q102</f>
        <v xml:space="preserve"> </v>
      </c>
      <c r="D224" s="260" t="str">
        <f ca="1">Start.listina!R102</f>
        <v xml:space="preserve"> </v>
      </c>
      <c r="E224" s="260">
        <f ca="1">Start.listina!S102</f>
        <v>9999</v>
      </c>
      <c r="F224" s="260">
        <f ca="1">Start.listina!T102</f>
        <v>0</v>
      </c>
      <c r="G224" s="4"/>
    </row>
    <row r="225" spans="1:7" x14ac:dyDescent="0.4">
      <c r="A225" s="260" t="str">
        <f ca="1">Start.listina!O103</f>
        <v/>
      </c>
      <c r="B225" s="260" t="str">
        <f ca="1">Start.listina!P103</f>
        <v xml:space="preserve"> </v>
      </c>
      <c r="C225" s="260" t="str">
        <f ca="1">Start.listina!Q103</f>
        <v xml:space="preserve"> </v>
      </c>
      <c r="D225" s="260" t="str">
        <f ca="1">Start.listina!R103</f>
        <v xml:space="preserve"> </v>
      </c>
      <c r="E225" s="260">
        <f ca="1">Start.listina!S103</f>
        <v>9999</v>
      </c>
      <c r="F225" s="260">
        <f ca="1">Start.listina!T103</f>
        <v>0</v>
      </c>
      <c r="G225" s="4"/>
    </row>
    <row r="226" spans="1:7" x14ac:dyDescent="0.4">
      <c r="A226" s="260" t="str">
        <f ca="1">Start.listina!O104</f>
        <v/>
      </c>
      <c r="B226" s="260" t="str">
        <f ca="1">Start.listina!P104</f>
        <v xml:space="preserve"> </v>
      </c>
      <c r="C226" s="260" t="str">
        <f ca="1">Start.listina!Q104</f>
        <v xml:space="preserve"> </v>
      </c>
      <c r="D226" s="260" t="str">
        <f ca="1">Start.listina!R104</f>
        <v xml:space="preserve"> </v>
      </c>
      <c r="E226" s="260">
        <f ca="1">Start.listina!S104</f>
        <v>9999</v>
      </c>
      <c r="F226" s="260">
        <f ca="1">Start.listina!T104</f>
        <v>0</v>
      </c>
      <c r="G226" s="4"/>
    </row>
    <row r="227" spans="1:7" x14ac:dyDescent="0.4">
      <c r="A227" s="260" t="str">
        <f ca="1">Start.listina!O105</f>
        <v/>
      </c>
      <c r="B227" s="260" t="str">
        <f ca="1">Start.listina!P105</f>
        <v xml:space="preserve"> </v>
      </c>
      <c r="C227" s="260" t="str">
        <f ca="1">Start.listina!Q105</f>
        <v xml:space="preserve"> </v>
      </c>
      <c r="D227" s="260" t="str">
        <f ca="1">Start.listina!R105</f>
        <v xml:space="preserve"> </v>
      </c>
      <c r="E227" s="260">
        <f ca="1">Start.listina!S105</f>
        <v>9999</v>
      </c>
      <c r="F227" s="260">
        <f ca="1">Start.listina!T105</f>
        <v>0</v>
      </c>
      <c r="G227" s="4"/>
    </row>
    <row r="228" spans="1:7" x14ac:dyDescent="0.4">
      <c r="A228" s="260" t="str">
        <f ca="1">Start.listina!O106</f>
        <v/>
      </c>
      <c r="B228" s="260" t="str">
        <f ca="1">Start.listina!P106</f>
        <v xml:space="preserve"> </v>
      </c>
      <c r="C228" s="260" t="str">
        <f ca="1">Start.listina!Q106</f>
        <v xml:space="preserve"> </v>
      </c>
      <c r="D228" s="260" t="str">
        <f ca="1">Start.listina!R106</f>
        <v xml:space="preserve"> </v>
      </c>
      <c r="E228" s="260">
        <f ca="1">Start.listina!S106</f>
        <v>9999</v>
      </c>
      <c r="F228" s="260">
        <f ca="1">Start.listina!T106</f>
        <v>0</v>
      </c>
      <c r="G228" s="4"/>
    </row>
    <row r="229" spans="1:7" x14ac:dyDescent="0.4">
      <c r="A229" s="260" t="str">
        <f ca="1">Start.listina!O107</f>
        <v/>
      </c>
      <c r="B229" s="260" t="str">
        <f ca="1">Start.listina!P107</f>
        <v xml:space="preserve"> </v>
      </c>
      <c r="C229" s="260" t="str">
        <f ca="1">Start.listina!Q107</f>
        <v xml:space="preserve"> </v>
      </c>
      <c r="D229" s="260" t="str">
        <f ca="1">Start.listina!R107</f>
        <v xml:space="preserve"> </v>
      </c>
      <c r="E229" s="260">
        <f ca="1">Start.listina!S107</f>
        <v>9999</v>
      </c>
      <c r="F229" s="260">
        <f ca="1">Start.listina!T107</f>
        <v>0</v>
      </c>
      <c r="G229" s="4"/>
    </row>
    <row r="230" spans="1:7" x14ac:dyDescent="0.4">
      <c r="A230" s="260" t="str">
        <f ca="1">Start.listina!O108</f>
        <v/>
      </c>
      <c r="B230" s="260" t="str">
        <f ca="1">Start.listina!P108</f>
        <v xml:space="preserve"> </v>
      </c>
      <c r="C230" s="260" t="str">
        <f ca="1">Start.listina!Q108</f>
        <v xml:space="preserve"> </v>
      </c>
      <c r="D230" s="260" t="str">
        <f ca="1">Start.listina!R108</f>
        <v xml:space="preserve"> </v>
      </c>
      <c r="E230" s="260">
        <f ca="1">Start.listina!S108</f>
        <v>9999</v>
      </c>
      <c r="F230" s="260">
        <f ca="1">Start.listina!T108</f>
        <v>0</v>
      </c>
      <c r="G230" s="4"/>
    </row>
    <row r="231" spans="1:7" x14ac:dyDescent="0.4">
      <c r="A231" s="260" t="str">
        <f ca="1">Start.listina!O109</f>
        <v/>
      </c>
      <c r="B231" s="260" t="str">
        <f ca="1">Start.listina!P109</f>
        <v xml:space="preserve"> </v>
      </c>
      <c r="C231" s="260" t="str">
        <f ca="1">Start.listina!Q109</f>
        <v xml:space="preserve"> </v>
      </c>
      <c r="D231" s="260" t="str">
        <f ca="1">Start.listina!R109</f>
        <v xml:space="preserve"> </v>
      </c>
      <c r="E231" s="260">
        <f ca="1">Start.listina!S109</f>
        <v>9999</v>
      </c>
      <c r="F231" s="260">
        <f ca="1">Start.listina!T109</f>
        <v>0</v>
      </c>
      <c r="G231" s="4"/>
    </row>
    <row r="232" spans="1:7" x14ac:dyDescent="0.4">
      <c r="A232" s="260" t="str">
        <f ca="1">Start.listina!O110</f>
        <v/>
      </c>
      <c r="B232" s="260" t="str">
        <f ca="1">Start.listina!P110</f>
        <v xml:space="preserve"> </v>
      </c>
      <c r="C232" s="260" t="str">
        <f ca="1">Start.listina!Q110</f>
        <v xml:space="preserve"> </v>
      </c>
      <c r="D232" s="260" t="str">
        <f ca="1">Start.listina!R110</f>
        <v xml:space="preserve"> </v>
      </c>
      <c r="E232" s="260">
        <f ca="1">Start.listina!S110</f>
        <v>9999</v>
      </c>
      <c r="F232" s="260">
        <f ca="1">Start.listina!T110</f>
        <v>0</v>
      </c>
      <c r="G232" s="4"/>
    </row>
    <row r="233" spans="1:7" x14ac:dyDescent="0.4">
      <c r="A233" s="260" t="str">
        <f ca="1">Start.listina!O111</f>
        <v/>
      </c>
      <c r="B233" s="260" t="str">
        <f ca="1">Start.listina!P111</f>
        <v xml:space="preserve"> </v>
      </c>
      <c r="C233" s="260" t="str">
        <f ca="1">Start.listina!Q111</f>
        <v xml:space="preserve"> </v>
      </c>
      <c r="D233" s="260" t="str">
        <f ca="1">Start.listina!R111</f>
        <v xml:space="preserve"> </v>
      </c>
      <c r="E233" s="260">
        <f ca="1">Start.listina!S111</f>
        <v>9999</v>
      </c>
      <c r="F233" s="260">
        <f ca="1">Start.listina!T111</f>
        <v>0</v>
      </c>
      <c r="G233" s="4"/>
    </row>
    <row r="234" spans="1:7" x14ac:dyDescent="0.4">
      <c r="A234" s="260" t="str">
        <f ca="1">Start.listina!O112</f>
        <v/>
      </c>
      <c r="B234" s="260" t="str">
        <f ca="1">Start.listina!P112</f>
        <v xml:space="preserve"> </v>
      </c>
      <c r="C234" s="260" t="str">
        <f ca="1">Start.listina!Q112</f>
        <v xml:space="preserve"> </v>
      </c>
      <c r="D234" s="260" t="str">
        <f ca="1">Start.listina!R112</f>
        <v xml:space="preserve"> </v>
      </c>
      <c r="E234" s="260">
        <f ca="1">Start.listina!S112</f>
        <v>9999</v>
      </c>
      <c r="F234" s="260">
        <f ca="1">Start.listina!T112</f>
        <v>0</v>
      </c>
      <c r="G234" s="4"/>
    </row>
    <row r="235" spans="1:7" x14ac:dyDescent="0.4">
      <c r="A235" s="260" t="str">
        <f ca="1">Start.listina!O113</f>
        <v/>
      </c>
      <c r="B235" s="260" t="str">
        <f ca="1">Start.listina!P113</f>
        <v xml:space="preserve"> </v>
      </c>
      <c r="C235" s="260" t="str">
        <f ca="1">Start.listina!Q113</f>
        <v xml:space="preserve"> </v>
      </c>
      <c r="D235" s="260" t="str">
        <f ca="1">Start.listina!R113</f>
        <v xml:space="preserve"> </v>
      </c>
      <c r="E235" s="260">
        <f ca="1">Start.listina!S113</f>
        <v>9999</v>
      </c>
      <c r="F235" s="260">
        <f ca="1">Start.listina!T113</f>
        <v>0</v>
      </c>
      <c r="G235" s="4"/>
    </row>
    <row r="236" spans="1:7" x14ac:dyDescent="0.4">
      <c r="A236" s="260" t="str">
        <f ca="1">Start.listina!O114</f>
        <v/>
      </c>
      <c r="B236" s="260" t="str">
        <f ca="1">Start.listina!P114</f>
        <v xml:space="preserve"> </v>
      </c>
      <c r="C236" s="260" t="str">
        <f ca="1">Start.listina!Q114</f>
        <v xml:space="preserve"> </v>
      </c>
      <c r="D236" s="260" t="str">
        <f ca="1">Start.listina!R114</f>
        <v xml:space="preserve"> </v>
      </c>
      <c r="E236" s="260">
        <f ca="1">Start.listina!S114</f>
        <v>9999</v>
      </c>
      <c r="F236" s="260">
        <f ca="1">Start.listina!T114</f>
        <v>0</v>
      </c>
      <c r="G236" s="4"/>
    </row>
    <row r="237" spans="1:7" x14ac:dyDescent="0.4">
      <c r="A237" s="260" t="str">
        <f ca="1">Start.listina!O115</f>
        <v/>
      </c>
      <c r="B237" s="260" t="str">
        <f ca="1">Start.listina!P115</f>
        <v xml:space="preserve"> </v>
      </c>
      <c r="C237" s="260" t="str">
        <f ca="1">Start.listina!Q115</f>
        <v xml:space="preserve"> </v>
      </c>
      <c r="D237" s="260" t="str">
        <f ca="1">Start.listina!R115</f>
        <v xml:space="preserve"> </v>
      </c>
      <c r="E237" s="260">
        <f ca="1">Start.listina!S115</f>
        <v>9999</v>
      </c>
      <c r="F237" s="260">
        <f ca="1">Start.listina!T115</f>
        <v>0</v>
      </c>
      <c r="G237" s="4"/>
    </row>
    <row r="238" spans="1:7" x14ac:dyDescent="0.4">
      <c r="A238" s="260" t="str">
        <f ca="1">Start.listina!O116</f>
        <v/>
      </c>
      <c r="B238" s="260" t="str">
        <f ca="1">Start.listina!P116</f>
        <v xml:space="preserve"> </v>
      </c>
      <c r="C238" s="260" t="str">
        <f ca="1">Start.listina!Q116</f>
        <v xml:space="preserve"> </v>
      </c>
      <c r="D238" s="260" t="str">
        <f ca="1">Start.listina!R116</f>
        <v xml:space="preserve"> </v>
      </c>
      <c r="E238" s="260">
        <f ca="1">Start.listina!S116</f>
        <v>9999</v>
      </c>
      <c r="F238" s="260">
        <f ca="1">Start.listina!T116</f>
        <v>0</v>
      </c>
      <c r="G238" s="4"/>
    </row>
    <row r="239" spans="1:7" x14ac:dyDescent="0.4">
      <c r="A239" s="260" t="str">
        <f ca="1">Start.listina!O117</f>
        <v/>
      </c>
      <c r="B239" s="260" t="str">
        <f ca="1">Start.listina!P117</f>
        <v xml:space="preserve"> </v>
      </c>
      <c r="C239" s="260" t="str">
        <f ca="1">Start.listina!Q117</f>
        <v xml:space="preserve"> </v>
      </c>
      <c r="D239" s="260" t="str">
        <f ca="1">Start.listina!R117</f>
        <v xml:space="preserve"> </v>
      </c>
      <c r="E239" s="260">
        <f ca="1">Start.listina!S117</f>
        <v>9999</v>
      </c>
      <c r="F239" s="260">
        <f ca="1">Start.listina!T117</f>
        <v>0</v>
      </c>
      <c r="G239" s="4"/>
    </row>
    <row r="240" spans="1:7" x14ac:dyDescent="0.4">
      <c r="A240" s="260" t="str">
        <f ca="1">Start.listina!O118</f>
        <v/>
      </c>
      <c r="B240" s="260" t="str">
        <f ca="1">Start.listina!P118</f>
        <v xml:space="preserve"> </v>
      </c>
      <c r="C240" s="260" t="str">
        <f ca="1">Start.listina!Q118</f>
        <v xml:space="preserve"> </v>
      </c>
      <c r="D240" s="260" t="str">
        <f ca="1">Start.listina!R118</f>
        <v xml:space="preserve"> </v>
      </c>
      <c r="E240" s="260">
        <f ca="1">Start.listina!S118</f>
        <v>9999</v>
      </c>
      <c r="F240" s="260">
        <f ca="1">Start.listina!T118</f>
        <v>0</v>
      </c>
      <c r="G240" s="4"/>
    </row>
    <row r="241" spans="1:7" x14ac:dyDescent="0.4">
      <c r="A241" s="260" t="str">
        <f ca="1">Start.listina!O119</f>
        <v/>
      </c>
      <c r="B241" s="260" t="str">
        <f ca="1">Start.listina!P119</f>
        <v xml:space="preserve"> </v>
      </c>
      <c r="C241" s="260" t="str">
        <f ca="1">Start.listina!Q119</f>
        <v xml:space="preserve"> </v>
      </c>
      <c r="D241" s="260" t="str">
        <f ca="1">Start.listina!R119</f>
        <v xml:space="preserve"> </v>
      </c>
      <c r="E241" s="260">
        <f ca="1">Start.listina!S119</f>
        <v>9999</v>
      </c>
      <c r="F241" s="260">
        <f ca="1">Start.listina!T119</f>
        <v>0</v>
      </c>
      <c r="G241" s="4"/>
    </row>
    <row r="242" spans="1:7" x14ac:dyDescent="0.4">
      <c r="A242" s="260" t="str">
        <f ca="1">Start.listina!O120</f>
        <v/>
      </c>
      <c r="B242" s="260" t="str">
        <f ca="1">Start.listina!P120</f>
        <v xml:space="preserve"> </v>
      </c>
      <c r="C242" s="260" t="str">
        <f ca="1">Start.listina!Q120</f>
        <v xml:space="preserve"> </v>
      </c>
      <c r="D242" s="260" t="str">
        <f ca="1">Start.listina!R120</f>
        <v xml:space="preserve"> </v>
      </c>
      <c r="E242" s="260">
        <f ca="1">Start.listina!S120</f>
        <v>9999</v>
      </c>
      <c r="F242" s="260">
        <f ca="1">Start.listina!T120</f>
        <v>0</v>
      </c>
      <c r="G242" s="4"/>
    </row>
    <row r="243" spans="1:7" x14ac:dyDescent="0.4">
      <c r="A243" s="260" t="str">
        <f ca="1">Start.listina!O121</f>
        <v/>
      </c>
      <c r="B243" s="260" t="str">
        <f ca="1">Start.listina!P121</f>
        <v xml:space="preserve"> </v>
      </c>
      <c r="C243" s="260" t="str">
        <f ca="1">Start.listina!Q121</f>
        <v xml:space="preserve"> </v>
      </c>
      <c r="D243" s="260" t="str">
        <f ca="1">Start.listina!R121</f>
        <v xml:space="preserve"> </v>
      </c>
      <c r="E243" s="260">
        <f ca="1">Start.listina!S121</f>
        <v>9999</v>
      </c>
      <c r="F243" s="260">
        <f ca="1">Start.listina!T121</f>
        <v>0</v>
      </c>
      <c r="G243" s="4"/>
    </row>
    <row r="244" spans="1:7" x14ac:dyDescent="0.4">
      <c r="A244" s="260" t="str">
        <f ca="1">Start.listina!O122</f>
        <v/>
      </c>
      <c r="B244" s="260" t="str">
        <f ca="1">Start.listina!P122</f>
        <v xml:space="preserve"> </v>
      </c>
      <c r="C244" s="260" t="str">
        <f ca="1">Start.listina!Q122</f>
        <v xml:space="preserve"> </v>
      </c>
      <c r="D244" s="260" t="str">
        <f ca="1">Start.listina!R122</f>
        <v xml:space="preserve"> </v>
      </c>
      <c r="E244" s="260">
        <f ca="1">Start.listina!S122</f>
        <v>9999</v>
      </c>
      <c r="F244" s="260">
        <f ca="1">Start.listina!T122</f>
        <v>0</v>
      </c>
      <c r="G244" s="4"/>
    </row>
    <row r="245" spans="1:7" x14ac:dyDescent="0.4">
      <c r="A245" s="260" t="str">
        <f ca="1">Start.listina!O123</f>
        <v/>
      </c>
      <c r="B245" s="260" t="str">
        <f ca="1">Start.listina!P123</f>
        <v xml:space="preserve"> </v>
      </c>
      <c r="C245" s="260" t="str">
        <f ca="1">Start.listina!Q123</f>
        <v xml:space="preserve"> </v>
      </c>
      <c r="D245" s="260" t="str">
        <f ca="1">Start.listina!R123</f>
        <v xml:space="preserve"> </v>
      </c>
      <c r="E245" s="260">
        <f ca="1">Start.listina!S123</f>
        <v>9999</v>
      </c>
      <c r="F245" s="260">
        <f ca="1">Start.listina!T123</f>
        <v>0</v>
      </c>
      <c r="G245" s="4"/>
    </row>
    <row r="246" spans="1:7" x14ac:dyDescent="0.4">
      <c r="A246" s="260" t="str">
        <f ca="1">Start.listina!O124</f>
        <v/>
      </c>
      <c r="B246" s="260" t="str">
        <f ca="1">Start.listina!P124</f>
        <v xml:space="preserve"> </v>
      </c>
      <c r="C246" s="260" t="str">
        <f ca="1">Start.listina!Q124</f>
        <v xml:space="preserve"> </v>
      </c>
      <c r="D246" s="260" t="str">
        <f ca="1">Start.listina!R124</f>
        <v xml:space="preserve"> </v>
      </c>
      <c r="E246" s="260">
        <f ca="1">Start.listina!S124</f>
        <v>9999</v>
      </c>
      <c r="F246" s="260">
        <f ca="1">Start.listina!T124</f>
        <v>0</v>
      </c>
      <c r="G246" s="4"/>
    </row>
    <row r="247" spans="1:7" x14ac:dyDescent="0.4">
      <c r="A247" s="260" t="str">
        <f ca="1">Start.listina!O125</f>
        <v/>
      </c>
      <c r="B247" s="260" t="str">
        <f ca="1">Start.listina!P125</f>
        <v xml:space="preserve"> </v>
      </c>
      <c r="C247" s="260" t="str">
        <f ca="1">Start.listina!Q125</f>
        <v xml:space="preserve"> </v>
      </c>
      <c r="D247" s="260" t="str">
        <f ca="1">Start.listina!R125</f>
        <v xml:space="preserve"> </v>
      </c>
      <c r="E247" s="260">
        <f ca="1">Start.listina!S125</f>
        <v>9999</v>
      </c>
      <c r="F247" s="260">
        <f ca="1">Start.listina!T125</f>
        <v>0</v>
      </c>
      <c r="G247" s="4"/>
    </row>
    <row r="248" spans="1:7" x14ac:dyDescent="0.4">
      <c r="A248" s="260" t="str">
        <f ca="1">Start.listina!O126</f>
        <v/>
      </c>
      <c r="B248" s="260" t="str">
        <f ca="1">Start.listina!P126</f>
        <v xml:space="preserve"> </v>
      </c>
      <c r="C248" s="260" t="str">
        <f ca="1">Start.listina!Q126</f>
        <v xml:space="preserve"> </v>
      </c>
      <c r="D248" s="260" t="str">
        <f ca="1">Start.listina!R126</f>
        <v xml:space="preserve"> </v>
      </c>
      <c r="E248" s="260">
        <f ca="1">Start.listina!S126</f>
        <v>9999</v>
      </c>
      <c r="F248" s="260">
        <f ca="1">Start.listina!T126</f>
        <v>0</v>
      </c>
      <c r="G248" s="4"/>
    </row>
    <row r="249" spans="1:7" x14ac:dyDescent="0.4">
      <c r="A249" s="260" t="str">
        <f ca="1">Start.listina!O127</f>
        <v/>
      </c>
      <c r="B249" s="260" t="str">
        <f ca="1">Start.listina!P127</f>
        <v xml:space="preserve"> </v>
      </c>
      <c r="C249" s="260" t="str">
        <f ca="1">Start.listina!Q127</f>
        <v xml:space="preserve"> </v>
      </c>
      <c r="D249" s="260" t="str">
        <f ca="1">Start.listina!R127</f>
        <v xml:space="preserve"> </v>
      </c>
      <c r="E249" s="260">
        <f ca="1">Start.listina!S127</f>
        <v>9999</v>
      </c>
      <c r="F249" s="260">
        <f ca="1">Start.listina!T127</f>
        <v>0</v>
      </c>
      <c r="G249" s="4"/>
    </row>
    <row r="250" spans="1:7" x14ac:dyDescent="0.4">
      <c r="A250" s="260" t="str">
        <f ca="1">Start.listina!O128</f>
        <v/>
      </c>
      <c r="B250" s="260" t="str">
        <f ca="1">Start.listina!P128</f>
        <v xml:space="preserve"> </v>
      </c>
      <c r="C250" s="260" t="str">
        <f ca="1">Start.listina!Q128</f>
        <v xml:space="preserve"> </v>
      </c>
      <c r="D250" s="260" t="str">
        <f ca="1">Start.listina!R128</f>
        <v xml:space="preserve"> </v>
      </c>
      <c r="E250" s="260">
        <f ca="1">Start.listina!S128</f>
        <v>9999</v>
      </c>
      <c r="F250" s="260">
        <f ca="1">Start.listina!T128</f>
        <v>0</v>
      </c>
      <c r="G250" s="4"/>
    </row>
    <row r="251" spans="1:7" x14ac:dyDescent="0.4">
      <c r="A251" s="260" t="str">
        <f ca="1">Start.listina!O129</f>
        <v/>
      </c>
      <c r="B251" s="260" t="str">
        <f ca="1">Start.listina!P129</f>
        <v xml:space="preserve"> </v>
      </c>
      <c r="C251" s="260" t="str">
        <f ca="1">Start.listina!Q129</f>
        <v xml:space="preserve"> </v>
      </c>
      <c r="D251" s="260" t="str">
        <f ca="1">Start.listina!R129</f>
        <v xml:space="preserve"> </v>
      </c>
      <c r="E251" s="260">
        <f ca="1">Start.listina!S129</f>
        <v>9999</v>
      </c>
      <c r="F251" s="260">
        <f ca="1">Start.listina!T129</f>
        <v>0</v>
      </c>
      <c r="G251" s="4"/>
    </row>
    <row r="252" spans="1:7" x14ac:dyDescent="0.4">
      <c r="A252" s="260" t="str">
        <f ca="1">Start.listina!O130</f>
        <v/>
      </c>
      <c r="B252" s="260" t="str">
        <f ca="1">Start.listina!P130</f>
        <v xml:space="preserve"> </v>
      </c>
      <c r="C252" s="260" t="str">
        <f ca="1">Start.listina!Q130</f>
        <v xml:space="preserve"> </v>
      </c>
      <c r="D252" s="260" t="str">
        <f ca="1">Start.listina!R130</f>
        <v xml:space="preserve"> </v>
      </c>
      <c r="E252" s="260">
        <f ca="1">Start.listina!S130</f>
        <v>9999</v>
      </c>
      <c r="F252" s="260">
        <f ca="1">Start.listina!T130</f>
        <v>0</v>
      </c>
      <c r="G252" s="4"/>
    </row>
    <row r="253" spans="1:7" x14ac:dyDescent="0.4">
      <c r="A253" s="260" t="str">
        <f ca="1">Start.listina!O131</f>
        <v/>
      </c>
      <c r="B253" s="260" t="str">
        <f ca="1">Start.listina!P131</f>
        <v xml:space="preserve"> </v>
      </c>
      <c r="C253" s="260" t="str">
        <f ca="1">Start.listina!Q131</f>
        <v xml:space="preserve"> </v>
      </c>
      <c r="D253" s="260" t="str">
        <f ca="1">Start.listina!R131</f>
        <v xml:space="preserve"> </v>
      </c>
      <c r="E253" s="260">
        <f ca="1">Start.listina!S131</f>
        <v>9999</v>
      </c>
      <c r="F253" s="260">
        <f ca="1">Start.listina!T131</f>
        <v>0</v>
      </c>
      <c r="G253" s="4"/>
    </row>
    <row r="254" spans="1:7" x14ac:dyDescent="0.4">
      <c r="A254" s="260" t="str">
        <f ca="1">Start.listina!O132</f>
        <v/>
      </c>
      <c r="B254" s="260" t="str">
        <f ca="1">Start.listina!P132</f>
        <v xml:space="preserve"> </v>
      </c>
      <c r="C254" s="260" t="str">
        <f ca="1">Start.listina!Q132</f>
        <v xml:space="preserve"> </v>
      </c>
      <c r="D254" s="260" t="str">
        <f ca="1">Start.listina!R132</f>
        <v xml:space="preserve"> </v>
      </c>
      <c r="E254" s="260">
        <f ca="1">Start.listina!S132</f>
        <v>9999</v>
      </c>
      <c r="F254" s="260">
        <f ca="1">Start.listina!T132</f>
        <v>0</v>
      </c>
      <c r="G254" s="4"/>
    </row>
    <row r="255" spans="1:7" x14ac:dyDescent="0.4">
      <c r="A255" s="260" t="str">
        <f ca="1">Start.listina!O133</f>
        <v/>
      </c>
      <c r="B255" s="260" t="str">
        <f ca="1">Start.listina!P133</f>
        <v xml:space="preserve"> </v>
      </c>
      <c r="C255" s="260" t="str">
        <f ca="1">Start.listina!Q133</f>
        <v xml:space="preserve"> </v>
      </c>
      <c r="D255" s="260" t="str">
        <f ca="1">Start.listina!R133</f>
        <v xml:space="preserve"> </v>
      </c>
      <c r="E255" s="260">
        <f ca="1">Start.listina!S133</f>
        <v>9999</v>
      </c>
      <c r="F255" s="260">
        <f ca="1">Start.listina!T133</f>
        <v>0</v>
      </c>
      <c r="G255" s="4"/>
    </row>
    <row r="256" spans="1:7" x14ac:dyDescent="0.4">
      <c r="A256" s="260" t="str">
        <f ca="1">Start.listina!O134</f>
        <v/>
      </c>
      <c r="B256" s="260" t="str">
        <f ca="1">Start.listina!P134</f>
        <v xml:space="preserve"> </v>
      </c>
      <c r="C256" s="260" t="str">
        <f ca="1">Start.listina!Q134</f>
        <v xml:space="preserve"> </v>
      </c>
      <c r="D256" s="260" t="str">
        <f ca="1">Start.listina!R134</f>
        <v xml:space="preserve"> </v>
      </c>
      <c r="E256" s="260">
        <f ca="1">Start.listina!S134</f>
        <v>9999</v>
      </c>
      <c r="F256" s="260">
        <f ca="1">Start.listina!T134</f>
        <v>0</v>
      </c>
      <c r="G256" s="4"/>
    </row>
    <row r="257" spans="1:7" x14ac:dyDescent="0.4">
      <c r="A257" s="260" t="str">
        <f ca="1">Start.listina!O135</f>
        <v/>
      </c>
      <c r="B257" s="260" t="str">
        <f ca="1">Start.listina!P135</f>
        <v xml:space="preserve"> </v>
      </c>
      <c r="C257" s="260" t="str">
        <f ca="1">Start.listina!Q135</f>
        <v xml:space="preserve"> </v>
      </c>
      <c r="D257" s="260" t="str">
        <f ca="1">Start.listina!R135</f>
        <v xml:space="preserve"> </v>
      </c>
      <c r="E257" s="260">
        <f ca="1">Start.listina!S135</f>
        <v>9999</v>
      </c>
      <c r="F257" s="260">
        <f ca="1">Start.listina!T135</f>
        <v>0</v>
      </c>
      <c r="G257" s="4"/>
    </row>
    <row r="258" spans="1:7" x14ac:dyDescent="0.4">
      <c r="A258" s="260" t="str">
        <f ca="1">Start.listina!O136</f>
        <v/>
      </c>
      <c r="B258" s="260" t="str">
        <f ca="1">Start.listina!P136</f>
        <v xml:space="preserve"> </v>
      </c>
      <c r="C258" s="260" t="str">
        <f ca="1">Start.listina!Q136</f>
        <v xml:space="preserve"> </v>
      </c>
      <c r="D258" s="260" t="str">
        <f ca="1">Start.listina!R136</f>
        <v xml:space="preserve"> </v>
      </c>
      <c r="E258" s="260">
        <f ca="1">Start.listina!S136</f>
        <v>9999</v>
      </c>
      <c r="F258" s="260">
        <f ca="1">Start.listina!T136</f>
        <v>0</v>
      </c>
      <c r="G258" s="4"/>
    </row>
    <row r="259" spans="1:7" x14ac:dyDescent="0.4">
      <c r="A259" s="260" t="str">
        <f ca="1">Start.listina!O137</f>
        <v/>
      </c>
      <c r="B259" s="260" t="str">
        <f ca="1">Start.listina!P137</f>
        <v xml:space="preserve"> </v>
      </c>
      <c r="C259" s="260" t="str">
        <f ca="1">Start.listina!Q137</f>
        <v xml:space="preserve"> </v>
      </c>
      <c r="D259" s="260" t="str">
        <f ca="1">Start.listina!R137</f>
        <v xml:space="preserve"> </v>
      </c>
      <c r="E259" s="260">
        <f ca="1">Start.listina!S137</f>
        <v>9999</v>
      </c>
      <c r="F259" s="260">
        <f ca="1">Start.listina!T137</f>
        <v>0</v>
      </c>
      <c r="G259" s="4"/>
    </row>
    <row r="260" spans="1:7" x14ac:dyDescent="0.4">
      <c r="A260" s="260" t="str">
        <f ca="1">Start.listina!O138</f>
        <v/>
      </c>
      <c r="B260" s="260" t="str">
        <f ca="1">Start.listina!P138</f>
        <v xml:space="preserve"> </v>
      </c>
      <c r="C260" s="260" t="str">
        <f ca="1">Start.listina!Q138</f>
        <v xml:space="preserve"> </v>
      </c>
      <c r="D260" s="260" t="str">
        <f ca="1">Start.listina!R138</f>
        <v xml:space="preserve"> </v>
      </c>
      <c r="E260" s="260">
        <f ca="1">Start.listina!S138</f>
        <v>9999</v>
      </c>
      <c r="F260" s="260">
        <f ca="1">Start.listina!T138</f>
        <v>0</v>
      </c>
      <c r="G260" s="4"/>
    </row>
    <row r="261" spans="1:7" x14ac:dyDescent="0.4">
      <c r="A261" s="13" t="str">
        <f ca="1">Start.listina!U11</f>
        <v/>
      </c>
      <c r="B261" s="13" t="str">
        <f ca="1">Start.listina!V11</f>
        <v xml:space="preserve"> </v>
      </c>
      <c r="C261" s="13" t="str">
        <f ca="1">Start.listina!W11</f>
        <v xml:space="preserve"> </v>
      </c>
      <c r="D261" s="13" t="str">
        <f ca="1">Start.listina!X11</f>
        <v xml:space="preserve"> </v>
      </c>
      <c r="E261" s="13">
        <f ca="1">Start.listina!Y11</f>
        <v>9999</v>
      </c>
      <c r="F261" s="13">
        <f ca="1">Start.listina!Z11</f>
        <v>0</v>
      </c>
      <c r="G261" s="4"/>
    </row>
    <row r="262" spans="1:7" x14ac:dyDescent="0.4">
      <c r="A262" s="13" t="str">
        <f ca="1">Start.listina!U12</f>
        <v/>
      </c>
      <c r="B262" s="13" t="str">
        <f ca="1">Start.listina!V12</f>
        <v xml:space="preserve"> </v>
      </c>
      <c r="C262" s="13" t="str">
        <f ca="1">Start.listina!W12</f>
        <v xml:space="preserve"> </v>
      </c>
      <c r="D262" s="13" t="str">
        <f ca="1">Start.listina!X12</f>
        <v xml:space="preserve"> </v>
      </c>
      <c r="E262" s="13">
        <f ca="1">Start.listina!Y12</f>
        <v>9999</v>
      </c>
      <c r="F262" s="13">
        <f ca="1">Start.listina!Z12</f>
        <v>0</v>
      </c>
      <c r="G262" s="4"/>
    </row>
    <row r="263" spans="1:7" x14ac:dyDescent="0.4">
      <c r="A263" s="13" t="str">
        <f ca="1">Start.listina!U13</f>
        <v/>
      </c>
      <c r="B263" s="13" t="str">
        <f ca="1">Start.listina!V13</f>
        <v xml:space="preserve"> </v>
      </c>
      <c r="C263" s="13" t="str">
        <f ca="1">Start.listina!W13</f>
        <v xml:space="preserve"> </v>
      </c>
      <c r="D263" s="13" t="str">
        <f ca="1">Start.listina!X13</f>
        <v xml:space="preserve"> </v>
      </c>
      <c r="E263" s="13">
        <f ca="1">Start.listina!Y13</f>
        <v>9999</v>
      </c>
      <c r="F263" s="13">
        <f ca="1">Start.listina!Z13</f>
        <v>0</v>
      </c>
      <c r="G263" s="4"/>
    </row>
    <row r="264" spans="1:7" x14ac:dyDescent="0.4">
      <c r="A264" s="13" t="str">
        <f ca="1">Start.listina!U14</f>
        <v/>
      </c>
      <c r="B264" s="13" t="str">
        <f ca="1">Start.listina!V14</f>
        <v xml:space="preserve"> </v>
      </c>
      <c r="C264" s="13" t="str">
        <f ca="1">Start.listina!W14</f>
        <v xml:space="preserve"> </v>
      </c>
      <c r="D264" s="13" t="str">
        <f ca="1">Start.listina!X14</f>
        <v xml:space="preserve"> </v>
      </c>
      <c r="E264" s="13">
        <f ca="1">Start.listina!Y14</f>
        <v>9999</v>
      </c>
      <c r="F264" s="13">
        <f ca="1">Start.listina!Z14</f>
        <v>0</v>
      </c>
      <c r="G264" s="4"/>
    </row>
    <row r="265" spans="1:7" x14ac:dyDescent="0.4">
      <c r="A265" s="13" t="str">
        <f ca="1">Start.listina!U15</f>
        <v/>
      </c>
      <c r="B265" s="13" t="str">
        <f ca="1">Start.listina!V15</f>
        <v xml:space="preserve"> </v>
      </c>
      <c r="C265" s="13" t="str">
        <f ca="1">Start.listina!W15</f>
        <v xml:space="preserve"> </v>
      </c>
      <c r="D265" s="13" t="str">
        <f ca="1">Start.listina!X15</f>
        <v xml:space="preserve"> </v>
      </c>
      <c r="E265" s="13">
        <f ca="1">Start.listina!Y15</f>
        <v>9999</v>
      </c>
      <c r="F265" s="13">
        <f ca="1">Start.listina!Z15</f>
        <v>0</v>
      </c>
      <c r="G265" s="4"/>
    </row>
    <row r="266" spans="1:7" x14ac:dyDescent="0.4">
      <c r="A266" s="13" t="str">
        <f ca="1">Start.listina!U16</f>
        <v/>
      </c>
      <c r="B266" s="13" t="str">
        <f ca="1">Start.listina!V16</f>
        <v xml:space="preserve"> </v>
      </c>
      <c r="C266" s="13" t="str">
        <f ca="1">Start.listina!W16</f>
        <v xml:space="preserve"> </v>
      </c>
      <c r="D266" s="13" t="str">
        <f ca="1">Start.listina!X16</f>
        <v xml:space="preserve"> </v>
      </c>
      <c r="E266" s="13">
        <f ca="1">Start.listina!Y16</f>
        <v>9999</v>
      </c>
      <c r="F266" s="13">
        <f ca="1">Start.listina!Z16</f>
        <v>0</v>
      </c>
      <c r="G266" s="4"/>
    </row>
    <row r="267" spans="1:7" x14ac:dyDescent="0.4">
      <c r="A267" s="13" t="str">
        <f ca="1">Start.listina!U17</f>
        <v/>
      </c>
      <c r="B267" s="13" t="str">
        <f ca="1">Start.listina!V17</f>
        <v xml:space="preserve"> </v>
      </c>
      <c r="C267" s="13" t="str">
        <f ca="1">Start.listina!W17</f>
        <v xml:space="preserve"> </v>
      </c>
      <c r="D267" s="13" t="str">
        <f ca="1">Start.listina!X17</f>
        <v xml:space="preserve"> </v>
      </c>
      <c r="E267" s="13">
        <f ca="1">Start.listina!Y17</f>
        <v>9999</v>
      </c>
      <c r="F267" s="13">
        <f ca="1">Start.listina!Z17</f>
        <v>0</v>
      </c>
      <c r="G267" s="4"/>
    </row>
    <row r="268" spans="1:7" x14ac:dyDescent="0.4">
      <c r="A268" s="13" t="str">
        <f ca="1">Start.listina!U18</f>
        <v/>
      </c>
      <c r="B268" s="13" t="str">
        <f ca="1">Start.listina!V18</f>
        <v xml:space="preserve"> </v>
      </c>
      <c r="C268" s="13" t="str">
        <f ca="1">Start.listina!W18</f>
        <v xml:space="preserve"> </v>
      </c>
      <c r="D268" s="13" t="str">
        <f ca="1">Start.listina!X18</f>
        <v xml:space="preserve"> </v>
      </c>
      <c r="E268" s="13">
        <f ca="1">Start.listina!Y18</f>
        <v>9999</v>
      </c>
      <c r="F268" s="13">
        <f ca="1">Start.listina!Z18</f>
        <v>0</v>
      </c>
      <c r="G268" s="4"/>
    </row>
    <row r="269" spans="1:7" x14ac:dyDescent="0.4">
      <c r="A269" s="13" t="str">
        <f ca="1">Start.listina!U19</f>
        <v/>
      </c>
      <c r="B269" s="13" t="str">
        <f ca="1">Start.listina!V19</f>
        <v xml:space="preserve"> </v>
      </c>
      <c r="C269" s="13" t="str">
        <f ca="1">Start.listina!W19</f>
        <v xml:space="preserve"> </v>
      </c>
      <c r="D269" s="13" t="str">
        <f ca="1">Start.listina!X19</f>
        <v xml:space="preserve"> </v>
      </c>
      <c r="E269" s="13">
        <f ca="1">Start.listina!Y19</f>
        <v>9999</v>
      </c>
      <c r="F269" s="13">
        <f ca="1">Start.listina!Z19</f>
        <v>0</v>
      </c>
      <c r="G269" s="4"/>
    </row>
    <row r="270" spans="1:7" x14ac:dyDescent="0.4">
      <c r="A270" s="13" t="str">
        <f ca="1">Start.listina!U20</f>
        <v/>
      </c>
      <c r="B270" s="13" t="str">
        <f ca="1">Start.listina!V20</f>
        <v xml:space="preserve"> </v>
      </c>
      <c r="C270" s="13" t="str">
        <f ca="1">Start.listina!W20</f>
        <v xml:space="preserve"> </v>
      </c>
      <c r="D270" s="13" t="str">
        <f ca="1">Start.listina!X20</f>
        <v xml:space="preserve"> </v>
      </c>
      <c r="E270" s="13">
        <f ca="1">Start.listina!Y20</f>
        <v>9999</v>
      </c>
      <c r="F270" s="13">
        <f ca="1">Start.listina!Z20</f>
        <v>0</v>
      </c>
      <c r="G270" s="4"/>
    </row>
    <row r="271" spans="1:7" x14ac:dyDescent="0.4">
      <c r="A271" s="13" t="str">
        <f ca="1">Start.listina!U21</f>
        <v/>
      </c>
      <c r="B271" s="13" t="str">
        <f ca="1">Start.listina!V21</f>
        <v xml:space="preserve"> </v>
      </c>
      <c r="C271" s="13" t="str">
        <f ca="1">Start.listina!W21</f>
        <v xml:space="preserve"> </v>
      </c>
      <c r="D271" s="13" t="str">
        <f ca="1">Start.listina!X21</f>
        <v xml:space="preserve"> </v>
      </c>
      <c r="E271" s="13">
        <f ca="1">Start.listina!Y21</f>
        <v>9999</v>
      </c>
      <c r="F271" s="13">
        <f ca="1">Start.listina!Z21</f>
        <v>0</v>
      </c>
      <c r="G271" s="4"/>
    </row>
    <row r="272" spans="1:7" x14ac:dyDescent="0.4">
      <c r="A272" s="13" t="str">
        <f ca="1">Start.listina!U22</f>
        <v/>
      </c>
      <c r="B272" s="13" t="str">
        <f ca="1">Start.listina!V22</f>
        <v xml:space="preserve"> </v>
      </c>
      <c r="C272" s="13" t="str">
        <f ca="1">Start.listina!W22</f>
        <v xml:space="preserve"> </v>
      </c>
      <c r="D272" s="13" t="str">
        <f ca="1">Start.listina!X22</f>
        <v xml:space="preserve"> </v>
      </c>
      <c r="E272" s="13">
        <f ca="1">Start.listina!Y22</f>
        <v>9999</v>
      </c>
      <c r="F272" s="13">
        <f ca="1">Start.listina!Z22</f>
        <v>0</v>
      </c>
      <c r="G272" s="4"/>
    </row>
    <row r="273" spans="1:7" x14ac:dyDescent="0.4">
      <c r="A273" s="13" t="str">
        <f ca="1">Start.listina!U23</f>
        <v/>
      </c>
      <c r="B273" s="13" t="str">
        <f ca="1">Start.listina!V23</f>
        <v xml:space="preserve"> </v>
      </c>
      <c r="C273" s="13" t="str">
        <f ca="1">Start.listina!W23</f>
        <v xml:space="preserve"> </v>
      </c>
      <c r="D273" s="13" t="str">
        <f ca="1">Start.listina!X23</f>
        <v xml:space="preserve"> </v>
      </c>
      <c r="E273" s="13">
        <f ca="1">Start.listina!Y23</f>
        <v>9999</v>
      </c>
      <c r="F273" s="13">
        <f ca="1">Start.listina!Z23</f>
        <v>0</v>
      </c>
      <c r="G273" s="4"/>
    </row>
    <row r="274" spans="1:7" x14ac:dyDescent="0.4">
      <c r="A274" s="13" t="str">
        <f ca="1">Start.listina!U24</f>
        <v/>
      </c>
      <c r="B274" s="13" t="str">
        <f ca="1">Start.listina!V24</f>
        <v xml:space="preserve"> </v>
      </c>
      <c r="C274" s="13" t="str">
        <f ca="1">Start.listina!W24</f>
        <v xml:space="preserve"> </v>
      </c>
      <c r="D274" s="13" t="str">
        <f ca="1">Start.listina!X24</f>
        <v xml:space="preserve"> </v>
      </c>
      <c r="E274" s="13">
        <f ca="1">Start.listina!Y24</f>
        <v>9999</v>
      </c>
      <c r="F274" s="13">
        <f ca="1">Start.listina!Z24</f>
        <v>0</v>
      </c>
      <c r="G274" s="4"/>
    </row>
    <row r="275" spans="1:7" x14ac:dyDescent="0.4">
      <c r="A275" s="13" t="str">
        <f ca="1">Start.listina!U25</f>
        <v/>
      </c>
      <c r="B275" s="13" t="str">
        <f ca="1">Start.listina!V25</f>
        <v xml:space="preserve"> </v>
      </c>
      <c r="C275" s="13" t="str">
        <f ca="1">Start.listina!W25</f>
        <v xml:space="preserve"> </v>
      </c>
      <c r="D275" s="13" t="str">
        <f ca="1">Start.listina!X25</f>
        <v xml:space="preserve"> </v>
      </c>
      <c r="E275" s="13">
        <f ca="1">Start.listina!Y25</f>
        <v>9999</v>
      </c>
      <c r="F275" s="13">
        <f ca="1">Start.listina!Z25</f>
        <v>0</v>
      </c>
      <c r="G275" s="4"/>
    </row>
    <row r="276" spans="1:7" x14ac:dyDescent="0.4">
      <c r="A276" s="13" t="str">
        <f ca="1">Start.listina!U26</f>
        <v/>
      </c>
      <c r="B276" s="13" t="str">
        <f ca="1">Start.listina!V26</f>
        <v xml:space="preserve"> </v>
      </c>
      <c r="C276" s="13" t="str">
        <f ca="1">Start.listina!W26</f>
        <v xml:space="preserve"> </v>
      </c>
      <c r="D276" s="13" t="str">
        <f ca="1">Start.listina!X26</f>
        <v xml:space="preserve"> </v>
      </c>
      <c r="E276" s="13">
        <f ca="1">Start.listina!Y26</f>
        <v>9999</v>
      </c>
      <c r="F276" s="13">
        <f ca="1">Start.listina!Z26</f>
        <v>0</v>
      </c>
      <c r="G276" s="4"/>
    </row>
    <row r="277" spans="1:7" x14ac:dyDescent="0.4">
      <c r="A277" s="13" t="str">
        <f ca="1">Start.listina!U27</f>
        <v/>
      </c>
      <c r="B277" s="13" t="str">
        <f ca="1">Start.listina!V27</f>
        <v xml:space="preserve"> </v>
      </c>
      <c r="C277" s="13" t="str">
        <f ca="1">Start.listina!W27</f>
        <v xml:space="preserve"> </v>
      </c>
      <c r="D277" s="13" t="str">
        <f ca="1">Start.listina!X27</f>
        <v xml:space="preserve"> </v>
      </c>
      <c r="E277" s="13">
        <f ca="1">Start.listina!Y27</f>
        <v>9999</v>
      </c>
      <c r="F277" s="13">
        <f ca="1">Start.listina!Z27</f>
        <v>0</v>
      </c>
      <c r="G277" s="4"/>
    </row>
    <row r="278" spans="1:7" x14ac:dyDescent="0.4">
      <c r="A278" s="13" t="str">
        <f ca="1">Start.listina!U28</f>
        <v/>
      </c>
      <c r="B278" s="13" t="str">
        <f ca="1">Start.listina!V28</f>
        <v xml:space="preserve"> </v>
      </c>
      <c r="C278" s="13" t="str">
        <f ca="1">Start.listina!W28</f>
        <v xml:space="preserve"> </v>
      </c>
      <c r="D278" s="13" t="str">
        <f ca="1">Start.listina!X28</f>
        <v xml:space="preserve"> </v>
      </c>
      <c r="E278" s="13">
        <f ca="1">Start.listina!Y28</f>
        <v>9999</v>
      </c>
      <c r="F278" s="13">
        <f ca="1">Start.listina!Z28</f>
        <v>0</v>
      </c>
      <c r="G278" s="4"/>
    </row>
    <row r="279" spans="1:7" x14ac:dyDescent="0.4">
      <c r="A279" s="13" t="str">
        <f ca="1">Start.listina!U29</f>
        <v/>
      </c>
      <c r="B279" s="13" t="str">
        <f ca="1">Start.listina!V29</f>
        <v xml:space="preserve"> </v>
      </c>
      <c r="C279" s="13" t="str">
        <f ca="1">Start.listina!W29</f>
        <v xml:space="preserve"> </v>
      </c>
      <c r="D279" s="13" t="str">
        <f ca="1">Start.listina!X29</f>
        <v xml:space="preserve"> </v>
      </c>
      <c r="E279" s="13">
        <f ca="1">Start.listina!Y29</f>
        <v>9999</v>
      </c>
      <c r="F279" s="13">
        <f ca="1">Start.listina!Z29</f>
        <v>0</v>
      </c>
      <c r="G279" s="4"/>
    </row>
    <row r="280" spans="1:7" x14ac:dyDescent="0.4">
      <c r="A280" s="13" t="str">
        <f ca="1">Start.listina!U30</f>
        <v/>
      </c>
      <c r="B280" s="13" t="str">
        <f ca="1">Start.listina!V30</f>
        <v xml:space="preserve"> </v>
      </c>
      <c r="C280" s="13" t="str">
        <f ca="1">Start.listina!W30</f>
        <v xml:space="preserve"> </v>
      </c>
      <c r="D280" s="13" t="str">
        <f ca="1">Start.listina!X30</f>
        <v xml:space="preserve"> </v>
      </c>
      <c r="E280" s="13">
        <f ca="1">Start.listina!Y30</f>
        <v>9999</v>
      </c>
      <c r="F280" s="13">
        <f ca="1">Start.listina!Z30</f>
        <v>0</v>
      </c>
      <c r="G280" s="4"/>
    </row>
    <row r="281" spans="1:7" x14ac:dyDescent="0.4">
      <c r="A281" s="13" t="str">
        <f ca="1">Start.listina!U31</f>
        <v/>
      </c>
      <c r="B281" s="13" t="str">
        <f ca="1">Start.listina!V31</f>
        <v xml:space="preserve"> </v>
      </c>
      <c r="C281" s="13" t="str">
        <f ca="1">Start.listina!W31</f>
        <v xml:space="preserve"> </v>
      </c>
      <c r="D281" s="13" t="str">
        <f ca="1">Start.listina!X31</f>
        <v xml:space="preserve"> </v>
      </c>
      <c r="E281" s="13">
        <f ca="1">Start.listina!Y31</f>
        <v>9999</v>
      </c>
      <c r="F281" s="13">
        <f ca="1">Start.listina!Z31</f>
        <v>0</v>
      </c>
      <c r="G281" s="4"/>
    </row>
    <row r="282" spans="1:7" x14ac:dyDescent="0.4">
      <c r="A282" s="13" t="str">
        <f ca="1">Start.listina!U32</f>
        <v/>
      </c>
      <c r="B282" s="13" t="str">
        <f ca="1">Start.listina!V32</f>
        <v xml:space="preserve"> </v>
      </c>
      <c r="C282" s="13" t="str">
        <f ca="1">Start.listina!W32</f>
        <v xml:space="preserve"> </v>
      </c>
      <c r="D282" s="13" t="str">
        <f ca="1">Start.listina!X32</f>
        <v xml:space="preserve"> </v>
      </c>
      <c r="E282" s="13">
        <f ca="1">Start.listina!Y32</f>
        <v>9999</v>
      </c>
      <c r="F282" s="13">
        <f ca="1">Start.listina!Z32</f>
        <v>0</v>
      </c>
      <c r="G282" s="4"/>
    </row>
    <row r="283" spans="1:7" x14ac:dyDescent="0.4">
      <c r="A283" s="13" t="str">
        <f ca="1">Start.listina!U33</f>
        <v/>
      </c>
      <c r="B283" s="13" t="str">
        <f ca="1">Start.listina!V33</f>
        <v xml:space="preserve"> </v>
      </c>
      <c r="C283" s="13" t="str">
        <f ca="1">Start.listina!W33</f>
        <v xml:space="preserve"> </v>
      </c>
      <c r="D283" s="13" t="str">
        <f ca="1">Start.listina!X33</f>
        <v xml:space="preserve"> </v>
      </c>
      <c r="E283" s="13">
        <f ca="1">Start.listina!Y33</f>
        <v>9999</v>
      </c>
      <c r="F283" s="13">
        <f ca="1">Start.listina!Z33</f>
        <v>0</v>
      </c>
      <c r="G283" s="4"/>
    </row>
    <row r="284" spans="1:7" x14ac:dyDescent="0.4">
      <c r="A284" s="13" t="str">
        <f ca="1">Start.listina!U34</f>
        <v/>
      </c>
      <c r="B284" s="13" t="str">
        <f ca="1">Start.listina!V34</f>
        <v xml:space="preserve"> </v>
      </c>
      <c r="C284" s="13" t="str">
        <f ca="1">Start.listina!W34</f>
        <v xml:space="preserve"> </v>
      </c>
      <c r="D284" s="13" t="str">
        <f ca="1">Start.listina!X34</f>
        <v xml:space="preserve"> </v>
      </c>
      <c r="E284" s="13">
        <f ca="1">Start.listina!Y34</f>
        <v>9999</v>
      </c>
      <c r="F284" s="13">
        <f ca="1">Start.listina!Z34</f>
        <v>0</v>
      </c>
      <c r="G284" s="4"/>
    </row>
    <row r="285" spans="1:7" x14ac:dyDescent="0.4">
      <c r="A285" s="13" t="str">
        <f ca="1">Start.listina!U35</f>
        <v/>
      </c>
      <c r="B285" s="13" t="str">
        <f ca="1">Start.listina!V35</f>
        <v xml:space="preserve"> </v>
      </c>
      <c r="C285" s="13" t="str">
        <f ca="1">Start.listina!W35</f>
        <v xml:space="preserve"> </v>
      </c>
      <c r="D285" s="13" t="str">
        <f ca="1">Start.listina!X35</f>
        <v xml:space="preserve"> </v>
      </c>
      <c r="E285" s="13">
        <f ca="1">Start.listina!Y35</f>
        <v>9999</v>
      </c>
      <c r="F285" s="13">
        <f ca="1">Start.listina!Z35</f>
        <v>0</v>
      </c>
      <c r="G285" s="4"/>
    </row>
    <row r="286" spans="1:7" x14ac:dyDescent="0.4">
      <c r="A286" s="13" t="str">
        <f ca="1">Start.listina!U36</f>
        <v/>
      </c>
      <c r="B286" s="13" t="str">
        <f ca="1">Start.listina!V36</f>
        <v xml:space="preserve"> </v>
      </c>
      <c r="C286" s="13" t="str">
        <f ca="1">Start.listina!W36</f>
        <v xml:space="preserve"> </v>
      </c>
      <c r="D286" s="13" t="str">
        <f ca="1">Start.listina!X36</f>
        <v xml:space="preserve"> </v>
      </c>
      <c r="E286" s="13">
        <f ca="1">Start.listina!Y36</f>
        <v>9999</v>
      </c>
      <c r="F286" s="13">
        <f ca="1">Start.listina!Z36</f>
        <v>0</v>
      </c>
      <c r="G286" s="4"/>
    </row>
    <row r="287" spans="1:7" x14ac:dyDescent="0.4">
      <c r="A287" s="13" t="str">
        <f ca="1">Start.listina!U37</f>
        <v/>
      </c>
      <c r="B287" s="13" t="str">
        <f ca="1">Start.listina!V37</f>
        <v xml:space="preserve"> </v>
      </c>
      <c r="C287" s="13" t="str">
        <f ca="1">Start.listina!W37</f>
        <v xml:space="preserve"> </v>
      </c>
      <c r="D287" s="13" t="str">
        <f ca="1">Start.listina!X37</f>
        <v xml:space="preserve"> </v>
      </c>
      <c r="E287" s="13">
        <f ca="1">Start.listina!Y37</f>
        <v>9999</v>
      </c>
      <c r="F287" s="13">
        <f ca="1">Start.listina!Z37</f>
        <v>0</v>
      </c>
      <c r="G287" s="4"/>
    </row>
    <row r="288" spans="1:7" x14ac:dyDescent="0.4">
      <c r="A288" s="13" t="str">
        <f ca="1">Start.listina!U38</f>
        <v/>
      </c>
      <c r="B288" s="13" t="str">
        <f ca="1">Start.listina!V38</f>
        <v xml:space="preserve"> </v>
      </c>
      <c r="C288" s="13" t="str">
        <f ca="1">Start.listina!W38</f>
        <v xml:space="preserve"> </v>
      </c>
      <c r="D288" s="13" t="str">
        <f ca="1">Start.listina!X38</f>
        <v xml:space="preserve"> </v>
      </c>
      <c r="E288" s="13">
        <f ca="1">Start.listina!Y38</f>
        <v>9999</v>
      </c>
      <c r="F288" s="13">
        <f ca="1">Start.listina!Z38</f>
        <v>0</v>
      </c>
      <c r="G288" s="4"/>
    </row>
    <row r="289" spans="1:7" x14ac:dyDescent="0.4">
      <c r="A289" s="13" t="str">
        <f ca="1">Start.listina!U39</f>
        <v/>
      </c>
      <c r="B289" s="13" t="str">
        <f ca="1">Start.listina!V39</f>
        <v xml:space="preserve"> </v>
      </c>
      <c r="C289" s="13" t="str">
        <f ca="1">Start.listina!W39</f>
        <v xml:space="preserve"> </v>
      </c>
      <c r="D289" s="13" t="str">
        <f ca="1">Start.listina!X39</f>
        <v xml:space="preserve"> </v>
      </c>
      <c r="E289" s="13">
        <f ca="1">Start.listina!Y39</f>
        <v>9999</v>
      </c>
      <c r="F289" s="13">
        <f ca="1">Start.listina!Z39</f>
        <v>0</v>
      </c>
      <c r="G289" s="4"/>
    </row>
    <row r="290" spans="1:7" x14ac:dyDescent="0.4">
      <c r="A290" s="13" t="str">
        <f ca="1">Start.listina!U40</f>
        <v/>
      </c>
      <c r="B290" s="13" t="str">
        <f ca="1">Start.listina!V40</f>
        <v xml:space="preserve"> </v>
      </c>
      <c r="C290" s="13" t="str">
        <f ca="1">Start.listina!W40</f>
        <v xml:space="preserve"> </v>
      </c>
      <c r="D290" s="13" t="str">
        <f ca="1">Start.listina!X40</f>
        <v xml:space="preserve"> </v>
      </c>
      <c r="E290" s="13">
        <f ca="1">Start.listina!Y40</f>
        <v>9999</v>
      </c>
      <c r="F290" s="13">
        <f ca="1">Start.listina!Z40</f>
        <v>0</v>
      </c>
      <c r="G290" s="4"/>
    </row>
    <row r="291" spans="1:7" x14ac:dyDescent="0.4">
      <c r="A291" s="13" t="str">
        <f ca="1">Start.listina!U41</f>
        <v/>
      </c>
      <c r="B291" s="13" t="str">
        <f ca="1">Start.listina!V41</f>
        <v xml:space="preserve"> </v>
      </c>
      <c r="C291" s="13" t="str">
        <f ca="1">Start.listina!W41</f>
        <v xml:space="preserve"> </v>
      </c>
      <c r="D291" s="13" t="str">
        <f ca="1">Start.listina!X41</f>
        <v xml:space="preserve"> </v>
      </c>
      <c r="E291" s="13">
        <f ca="1">Start.listina!Y41</f>
        <v>9999</v>
      </c>
      <c r="F291" s="13">
        <f ca="1">Start.listina!Z41</f>
        <v>0</v>
      </c>
      <c r="G291" s="4"/>
    </row>
    <row r="292" spans="1:7" x14ac:dyDescent="0.4">
      <c r="A292" s="13" t="str">
        <f ca="1">Start.listina!U42</f>
        <v/>
      </c>
      <c r="B292" s="13" t="str">
        <f ca="1">Start.listina!V42</f>
        <v xml:space="preserve"> </v>
      </c>
      <c r="C292" s="13" t="str">
        <f ca="1">Start.listina!W42</f>
        <v xml:space="preserve"> </v>
      </c>
      <c r="D292" s="13" t="str">
        <f ca="1">Start.listina!X42</f>
        <v xml:space="preserve"> </v>
      </c>
      <c r="E292" s="13">
        <f ca="1">Start.listina!Y42</f>
        <v>9999</v>
      </c>
      <c r="F292" s="13">
        <f ca="1">Start.listina!Z42</f>
        <v>0</v>
      </c>
      <c r="G292" s="4"/>
    </row>
    <row r="293" spans="1:7" x14ac:dyDescent="0.4">
      <c r="A293" s="13" t="str">
        <f ca="1">Start.listina!U43</f>
        <v/>
      </c>
      <c r="B293" s="13" t="str">
        <f ca="1">Start.listina!V43</f>
        <v xml:space="preserve"> </v>
      </c>
      <c r="C293" s="13" t="str">
        <f ca="1">Start.listina!W43</f>
        <v xml:space="preserve"> </v>
      </c>
      <c r="D293" s="13" t="str">
        <f ca="1">Start.listina!X43</f>
        <v xml:space="preserve"> </v>
      </c>
      <c r="E293" s="13">
        <f ca="1">Start.listina!Y43</f>
        <v>9999</v>
      </c>
      <c r="F293" s="13">
        <f ca="1">Start.listina!Z43</f>
        <v>0</v>
      </c>
      <c r="G293" s="4"/>
    </row>
    <row r="294" spans="1:7" x14ac:dyDescent="0.4">
      <c r="A294" s="13" t="str">
        <f ca="1">Start.listina!U44</f>
        <v/>
      </c>
      <c r="B294" s="13" t="str">
        <f ca="1">Start.listina!V44</f>
        <v xml:space="preserve"> </v>
      </c>
      <c r="C294" s="13" t="str">
        <f ca="1">Start.listina!W44</f>
        <v xml:space="preserve"> </v>
      </c>
      <c r="D294" s="13" t="str">
        <f ca="1">Start.listina!X44</f>
        <v xml:space="preserve"> </v>
      </c>
      <c r="E294" s="13">
        <f ca="1">Start.listina!Y44</f>
        <v>9999</v>
      </c>
      <c r="F294" s="13">
        <f ca="1">Start.listina!Z44</f>
        <v>0</v>
      </c>
      <c r="G294" s="4"/>
    </row>
    <row r="295" spans="1:7" x14ac:dyDescent="0.4">
      <c r="A295" s="13" t="str">
        <f ca="1">Start.listina!U45</f>
        <v/>
      </c>
      <c r="B295" s="13" t="str">
        <f ca="1">Start.listina!V45</f>
        <v xml:space="preserve"> </v>
      </c>
      <c r="C295" s="13" t="str">
        <f ca="1">Start.listina!W45</f>
        <v xml:space="preserve"> </v>
      </c>
      <c r="D295" s="13" t="str">
        <f ca="1">Start.listina!X45</f>
        <v xml:space="preserve"> </v>
      </c>
      <c r="E295" s="13">
        <f ca="1">Start.listina!Y45</f>
        <v>9999</v>
      </c>
      <c r="F295" s="13">
        <f ca="1">Start.listina!Z45</f>
        <v>0</v>
      </c>
      <c r="G295" s="4"/>
    </row>
    <row r="296" spans="1:7" x14ac:dyDescent="0.4">
      <c r="A296" s="13" t="str">
        <f ca="1">Start.listina!U46</f>
        <v/>
      </c>
      <c r="B296" s="13" t="str">
        <f ca="1">Start.listina!V46</f>
        <v xml:space="preserve"> </v>
      </c>
      <c r="C296" s="13" t="str">
        <f ca="1">Start.listina!W46</f>
        <v xml:space="preserve"> </v>
      </c>
      <c r="D296" s="13" t="str">
        <f ca="1">Start.listina!X46</f>
        <v xml:space="preserve"> </v>
      </c>
      <c r="E296" s="13">
        <f ca="1">Start.listina!Y46</f>
        <v>9999</v>
      </c>
      <c r="F296" s="13">
        <f ca="1">Start.listina!Z46</f>
        <v>0</v>
      </c>
      <c r="G296" s="4"/>
    </row>
    <row r="297" spans="1:7" x14ac:dyDescent="0.4">
      <c r="A297" s="13" t="str">
        <f ca="1">Start.listina!U47</f>
        <v/>
      </c>
      <c r="B297" s="13" t="str">
        <f ca="1">Start.listina!V47</f>
        <v xml:space="preserve"> </v>
      </c>
      <c r="C297" s="13" t="str">
        <f ca="1">Start.listina!W47</f>
        <v xml:space="preserve"> </v>
      </c>
      <c r="D297" s="13" t="str">
        <f ca="1">Start.listina!X47</f>
        <v xml:space="preserve"> </v>
      </c>
      <c r="E297" s="13">
        <f ca="1">Start.listina!Y47</f>
        <v>9999</v>
      </c>
      <c r="F297" s="13">
        <f ca="1">Start.listina!Z47</f>
        <v>0</v>
      </c>
      <c r="G297" s="4"/>
    </row>
    <row r="298" spans="1:7" x14ac:dyDescent="0.4">
      <c r="A298" s="13" t="str">
        <f ca="1">Start.listina!U48</f>
        <v/>
      </c>
      <c r="B298" s="13" t="str">
        <f ca="1">Start.listina!V48</f>
        <v xml:space="preserve"> </v>
      </c>
      <c r="C298" s="13" t="str">
        <f ca="1">Start.listina!W48</f>
        <v xml:space="preserve"> </v>
      </c>
      <c r="D298" s="13" t="str">
        <f ca="1">Start.listina!X48</f>
        <v xml:space="preserve"> </v>
      </c>
      <c r="E298" s="13">
        <f ca="1">Start.listina!Y48</f>
        <v>9999</v>
      </c>
      <c r="F298" s="13">
        <f ca="1">Start.listina!Z48</f>
        <v>0</v>
      </c>
      <c r="G298" s="4"/>
    </row>
    <row r="299" spans="1:7" x14ac:dyDescent="0.4">
      <c r="A299" s="13" t="str">
        <f ca="1">Start.listina!U49</f>
        <v/>
      </c>
      <c r="B299" s="13" t="str">
        <f ca="1">Start.listina!V49</f>
        <v xml:space="preserve"> </v>
      </c>
      <c r="C299" s="13" t="str">
        <f ca="1">Start.listina!W49</f>
        <v xml:space="preserve"> </v>
      </c>
      <c r="D299" s="13" t="str">
        <f ca="1">Start.listina!X49</f>
        <v xml:space="preserve"> </v>
      </c>
      <c r="E299" s="13">
        <f ca="1">Start.listina!Y49</f>
        <v>9999</v>
      </c>
      <c r="F299" s="13">
        <f ca="1">Start.listina!Z49</f>
        <v>0</v>
      </c>
      <c r="G299" s="4"/>
    </row>
    <row r="300" spans="1:7" x14ac:dyDescent="0.4">
      <c r="A300" s="13" t="str">
        <f ca="1">Start.listina!U50</f>
        <v/>
      </c>
      <c r="B300" s="13" t="str">
        <f ca="1">Start.listina!V50</f>
        <v xml:space="preserve"> </v>
      </c>
      <c r="C300" s="13" t="str">
        <f ca="1">Start.listina!W50</f>
        <v xml:space="preserve"> </v>
      </c>
      <c r="D300" s="13" t="str">
        <f ca="1">Start.listina!X50</f>
        <v xml:space="preserve"> </v>
      </c>
      <c r="E300" s="13">
        <f ca="1">Start.listina!Y50</f>
        <v>9999</v>
      </c>
      <c r="F300" s="13">
        <f ca="1">Start.listina!Z50</f>
        <v>0</v>
      </c>
      <c r="G300" s="4"/>
    </row>
    <row r="301" spans="1:7" x14ac:dyDescent="0.4">
      <c r="A301" s="13" t="str">
        <f ca="1">Start.listina!U51</f>
        <v/>
      </c>
      <c r="B301" s="13" t="str">
        <f ca="1">Start.listina!V51</f>
        <v xml:space="preserve"> </v>
      </c>
      <c r="C301" s="13" t="str">
        <f ca="1">Start.listina!W51</f>
        <v xml:space="preserve"> </v>
      </c>
      <c r="D301" s="13" t="str">
        <f ca="1">Start.listina!X51</f>
        <v xml:space="preserve"> </v>
      </c>
      <c r="E301" s="13">
        <f ca="1">Start.listina!Y51</f>
        <v>9999</v>
      </c>
      <c r="F301" s="13">
        <f ca="1">Start.listina!Z51</f>
        <v>0</v>
      </c>
      <c r="G301" s="4"/>
    </row>
    <row r="302" spans="1:7" x14ac:dyDescent="0.4">
      <c r="A302" s="13" t="str">
        <f ca="1">Start.listina!U52</f>
        <v/>
      </c>
      <c r="B302" s="13" t="str">
        <f ca="1">Start.listina!V52</f>
        <v xml:space="preserve"> </v>
      </c>
      <c r="C302" s="13" t="str">
        <f ca="1">Start.listina!W52</f>
        <v xml:space="preserve"> </v>
      </c>
      <c r="D302" s="13" t="str">
        <f ca="1">Start.listina!X52</f>
        <v xml:space="preserve"> </v>
      </c>
      <c r="E302" s="13">
        <f ca="1">Start.listina!Y52</f>
        <v>9999</v>
      </c>
      <c r="F302" s="13">
        <f ca="1">Start.listina!Z52</f>
        <v>0</v>
      </c>
      <c r="G302" s="4"/>
    </row>
    <row r="303" spans="1:7" x14ac:dyDescent="0.4">
      <c r="A303" s="13" t="str">
        <f ca="1">Start.listina!U53</f>
        <v/>
      </c>
      <c r="B303" s="13" t="str">
        <f ca="1">Start.listina!V53</f>
        <v xml:space="preserve"> </v>
      </c>
      <c r="C303" s="13" t="str">
        <f ca="1">Start.listina!W53</f>
        <v xml:space="preserve"> </v>
      </c>
      <c r="D303" s="13" t="str">
        <f ca="1">Start.listina!X53</f>
        <v xml:space="preserve"> </v>
      </c>
      <c r="E303" s="13">
        <f ca="1">Start.listina!Y53</f>
        <v>9999</v>
      </c>
      <c r="F303" s="13">
        <f ca="1">Start.listina!Z53</f>
        <v>0</v>
      </c>
      <c r="G303" s="4"/>
    </row>
    <row r="304" spans="1:7" x14ac:dyDescent="0.4">
      <c r="A304" s="13" t="str">
        <f ca="1">Start.listina!U54</f>
        <v/>
      </c>
      <c r="B304" s="13" t="str">
        <f ca="1">Start.listina!V54</f>
        <v xml:space="preserve"> </v>
      </c>
      <c r="C304" s="13" t="str">
        <f ca="1">Start.listina!W54</f>
        <v xml:space="preserve"> </v>
      </c>
      <c r="D304" s="13" t="str">
        <f ca="1">Start.listina!X54</f>
        <v xml:space="preserve"> </v>
      </c>
      <c r="E304" s="13">
        <f ca="1">Start.listina!Y54</f>
        <v>9999</v>
      </c>
      <c r="F304" s="13">
        <f ca="1">Start.listina!Z54</f>
        <v>0</v>
      </c>
      <c r="G304" s="4"/>
    </row>
    <row r="305" spans="1:7" x14ac:dyDescent="0.4">
      <c r="A305" s="13" t="str">
        <f ca="1">Start.listina!U55</f>
        <v/>
      </c>
      <c r="B305" s="13" t="str">
        <f ca="1">Start.listina!V55</f>
        <v xml:space="preserve"> </v>
      </c>
      <c r="C305" s="13" t="str">
        <f ca="1">Start.listina!W55</f>
        <v xml:space="preserve"> </v>
      </c>
      <c r="D305" s="13" t="str">
        <f ca="1">Start.listina!X55</f>
        <v xml:space="preserve"> </v>
      </c>
      <c r="E305" s="13">
        <f ca="1">Start.listina!Y55</f>
        <v>9999</v>
      </c>
      <c r="F305" s="13">
        <f ca="1">Start.listina!Z55</f>
        <v>0</v>
      </c>
      <c r="G305" s="4"/>
    </row>
    <row r="306" spans="1:7" x14ac:dyDescent="0.4">
      <c r="A306" s="13" t="str">
        <f ca="1">Start.listina!U56</f>
        <v/>
      </c>
      <c r="B306" s="13" t="str">
        <f ca="1">Start.listina!V56</f>
        <v xml:space="preserve"> </v>
      </c>
      <c r="C306" s="13" t="str">
        <f ca="1">Start.listina!W56</f>
        <v xml:space="preserve"> </v>
      </c>
      <c r="D306" s="13" t="str">
        <f ca="1">Start.listina!X56</f>
        <v xml:space="preserve"> </v>
      </c>
      <c r="E306" s="13">
        <f ca="1">Start.listina!Y56</f>
        <v>9999</v>
      </c>
      <c r="F306" s="13">
        <f ca="1">Start.listina!Z56</f>
        <v>0</v>
      </c>
      <c r="G306" s="4"/>
    </row>
    <row r="307" spans="1:7" x14ac:dyDescent="0.4">
      <c r="A307" s="13" t="str">
        <f ca="1">Start.listina!U57</f>
        <v/>
      </c>
      <c r="B307" s="13" t="str">
        <f ca="1">Start.listina!V57</f>
        <v xml:space="preserve"> </v>
      </c>
      <c r="C307" s="13" t="str">
        <f ca="1">Start.listina!W57</f>
        <v xml:space="preserve"> </v>
      </c>
      <c r="D307" s="13" t="str">
        <f ca="1">Start.listina!X57</f>
        <v xml:space="preserve"> </v>
      </c>
      <c r="E307" s="13">
        <f ca="1">Start.listina!Y57</f>
        <v>9999</v>
      </c>
      <c r="F307" s="13">
        <f ca="1">Start.listina!Z57</f>
        <v>0</v>
      </c>
      <c r="G307" s="4"/>
    </row>
    <row r="308" spans="1:7" x14ac:dyDescent="0.4">
      <c r="A308" s="13" t="str">
        <f ca="1">Start.listina!U58</f>
        <v/>
      </c>
      <c r="B308" s="13" t="str">
        <f ca="1">Start.listina!V58</f>
        <v xml:space="preserve"> </v>
      </c>
      <c r="C308" s="13" t="str">
        <f ca="1">Start.listina!W58</f>
        <v xml:space="preserve"> </v>
      </c>
      <c r="D308" s="13" t="str">
        <f ca="1">Start.listina!X58</f>
        <v xml:space="preserve"> </v>
      </c>
      <c r="E308" s="13">
        <f ca="1">Start.listina!Y58</f>
        <v>9999</v>
      </c>
      <c r="F308" s="13">
        <f ca="1">Start.listina!Z58</f>
        <v>0</v>
      </c>
      <c r="G308" s="4"/>
    </row>
    <row r="309" spans="1:7" x14ac:dyDescent="0.4">
      <c r="A309" s="13" t="str">
        <f ca="1">Start.listina!U59</f>
        <v/>
      </c>
      <c r="B309" s="13" t="str">
        <f ca="1">Start.listina!V59</f>
        <v xml:space="preserve"> </v>
      </c>
      <c r="C309" s="13" t="str">
        <f ca="1">Start.listina!W59</f>
        <v xml:space="preserve"> </v>
      </c>
      <c r="D309" s="13" t="str">
        <f ca="1">Start.listina!X59</f>
        <v xml:space="preserve"> </v>
      </c>
      <c r="E309" s="13">
        <f ca="1">Start.listina!Y59</f>
        <v>9999</v>
      </c>
      <c r="F309" s="13">
        <f ca="1">Start.listina!Z59</f>
        <v>0</v>
      </c>
      <c r="G309" s="4"/>
    </row>
    <row r="310" spans="1:7" x14ac:dyDescent="0.4">
      <c r="A310" s="13" t="str">
        <f ca="1">Start.listina!U60</f>
        <v/>
      </c>
      <c r="B310" s="13" t="str">
        <f ca="1">Start.listina!V60</f>
        <v xml:space="preserve"> </v>
      </c>
      <c r="C310" s="13" t="str">
        <f ca="1">Start.listina!W60</f>
        <v xml:space="preserve"> </v>
      </c>
      <c r="D310" s="13" t="str">
        <f ca="1">Start.listina!X60</f>
        <v xml:space="preserve"> </v>
      </c>
      <c r="E310" s="13">
        <f ca="1">Start.listina!Y60</f>
        <v>9999</v>
      </c>
      <c r="F310" s="13">
        <f ca="1">Start.listina!Z60</f>
        <v>0</v>
      </c>
      <c r="G310" s="4"/>
    </row>
    <row r="311" spans="1:7" x14ac:dyDescent="0.4">
      <c r="A311" s="13" t="str">
        <f ca="1">Start.listina!U61</f>
        <v/>
      </c>
      <c r="B311" s="13" t="str">
        <f ca="1">Start.listina!V61</f>
        <v xml:space="preserve"> </v>
      </c>
      <c r="C311" s="13" t="str">
        <f ca="1">Start.listina!W61</f>
        <v xml:space="preserve"> </v>
      </c>
      <c r="D311" s="13" t="str">
        <f ca="1">Start.listina!X61</f>
        <v xml:space="preserve"> </v>
      </c>
      <c r="E311" s="13">
        <f ca="1">Start.listina!Y61</f>
        <v>9999</v>
      </c>
      <c r="F311" s="13">
        <f ca="1">Start.listina!Z61</f>
        <v>0</v>
      </c>
      <c r="G311" s="4"/>
    </row>
    <row r="312" spans="1:7" x14ac:dyDescent="0.4">
      <c r="A312" s="13" t="str">
        <f ca="1">Start.listina!U62</f>
        <v/>
      </c>
      <c r="B312" s="13" t="str">
        <f ca="1">Start.listina!V62</f>
        <v xml:space="preserve"> </v>
      </c>
      <c r="C312" s="13" t="str">
        <f ca="1">Start.listina!W62</f>
        <v xml:space="preserve"> </v>
      </c>
      <c r="D312" s="13" t="str">
        <f ca="1">Start.listina!X62</f>
        <v xml:space="preserve"> </v>
      </c>
      <c r="E312" s="13">
        <f ca="1">Start.listina!Y62</f>
        <v>9999</v>
      </c>
      <c r="F312" s="13">
        <f ca="1">Start.listina!Z62</f>
        <v>0</v>
      </c>
      <c r="G312" s="4"/>
    </row>
    <row r="313" spans="1:7" x14ac:dyDescent="0.4">
      <c r="A313" s="13" t="str">
        <f ca="1">Start.listina!U63</f>
        <v/>
      </c>
      <c r="B313" s="13" t="str">
        <f ca="1">Start.listina!V63</f>
        <v xml:space="preserve"> </v>
      </c>
      <c r="C313" s="13" t="str">
        <f ca="1">Start.listina!W63</f>
        <v xml:space="preserve"> </v>
      </c>
      <c r="D313" s="13" t="str">
        <f ca="1">Start.listina!X63</f>
        <v xml:space="preserve"> </v>
      </c>
      <c r="E313" s="13">
        <f ca="1">Start.listina!Y63</f>
        <v>9999</v>
      </c>
      <c r="F313" s="13">
        <f ca="1">Start.listina!Z63</f>
        <v>0</v>
      </c>
      <c r="G313" s="4"/>
    </row>
    <row r="314" spans="1:7" x14ac:dyDescent="0.4">
      <c r="A314" s="13" t="str">
        <f ca="1">Start.listina!U64</f>
        <v/>
      </c>
      <c r="B314" s="13" t="str">
        <f ca="1">Start.listina!V64</f>
        <v xml:space="preserve"> </v>
      </c>
      <c r="C314" s="13" t="str">
        <f ca="1">Start.listina!W64</f>
        <v xml:space="preserve"> </v>
      </c>
      <c r="D314" s="13" t="str">
        <f ca="1">Start.listina!X64</f>
        <v xml:space="preserve"> </v>
      </c>
      <c r="E314" s="13">
        <f ca="1">Start.listina!Y64</f>
        <v>9999</v>
      </c>
      <c r="F314" s="13">
        <f ca="1">Start.listina!Z64</f>
        <v>0</v>
      </c>
      <c r="G314" s="4"/>
    </row>
    <row r="315" spans="1:7" x14ac:dyDescent="0.4">
      <c r="A315" s="13" t="str">
        <f ca="1">Start.listina!U65</f>
        <v/>
      </c>
      <c r="B315" s="13" t="str">
        <f ca="1">Start.listina!V65</f>
        <v xml:space="preserve"> </v>
      </c>
      <c r="C315" s="13" t="str">
        <f ca="1">Start.listina!W65</f>
        <v xml:space="preserve"> </v>
      </c>
      <c r="D315" s="13" t="str">
        <f ca="1">Start.listina!X65</f>
        <v xml:space="preserve"> </v>
      </c>
      <c r="E315" s="13">
        <f ca="1">Start.listina!Y65</f>
        <v>9999</v>
      </c>
      <c r="F315" s="13">
        <f ca="1">Start.listina!Z65</f>
        <v>0</v>
      </c>
      <c r="G315" s="4"/>
    </row>
    <row r="316" spans="1:7" x14ac:dyDescent="0.4">
      <c r="A316" s="13" t="str">
        <f ca="1">Start.listina!U66</f>
        <v/>
      </c>
      <c r="B316" s="13" t="str">
        <f ca="1">Start.listina!V66</f>
        <v xml:space="preserve"> </v>
      </c>
      <c r="C316" s="13" t="str">
        <f ca="1">Start.listina!W66</f>
        <v xml:space="preserve"> </v>
      </c>
      <c r="D316" s="13" t="str">
        <f ca="1">Start.listina!X66</f>
        <v xml:space="preserve"> </v>
      </c>
      <c r="E316" s="13">
        <f ca="1">Start.listina!Y66</f>
        <v>9999</v>
      </c>
      <c r="F316" s="13">
        <f ca="1">Start.listina!Z66</f>
        <v>0</v>
      </c>
      <c r="G316" s="4"/>
    </row>
    <row r="317" spans="1:7" x14ac:dyDescent="0.4">
      <c r="A317" s="13" t="str">
        <f ca="1">Start.listina!U67</f>
        <v/>
      </c>
      <c r="B317" s="13" t="str">
        <f ca="1">Start.listina!V67</f>
        <v xml:space="preserve"> </v>
      </c>
      <c r="C317" s="13" t="str">
        <f ca="1">Start.listina!W67</f>
        <v xml:space="preserve"> </v>
      </c>
      <c r="D317" s="13" t="str">
        <f ca="1">Start.listina!X67</f>
        <v xml:space="preserve"> </v>
      </c>
      <c r="E317" s="13">
        <f ca="1">Start.listina!Y67</f>
        <v>9999</v>
      </c>
      <c r="F317" s="13">
        <f ca="1">Start.listina!Z67</f>
        <v>0</v>
      </c>
      <c r="G317" s="4"/>
    </row>
    <row r="318" spans="1:7" x14ac:dyDescent="0.4">
      <c r="A318" s="13" t="str">
        <f ca="1">Start.listina!U68</f>
        <v/>
      </c>
      <c r="B318" s="13" t="str">
        <f ca="1">Start.listina!V68</f>
        <v xml:space="preserve"> </v>
      </c>
      <c r="C318" s="13" t="str">
        <f ca="1">Start.listina!W68</f>
        <v xml:space="preserve"> </v>
      </c>
      <c r="D318" s="13" t="str">
        <f ca="1">Start.listina!X68</f>
        <v xml:space="preserve"> </v>
      </c>
      <c r="E318" s="13">
        <f ca="1">Start.listina!Y68</f>
        <v>9999</v>
      </c>
      <c r="F318" s="13">
        <f ca="1">Start.listina!Z68</f>
        <v>0</v>
      </c>
      <c r="G318" s="4"/>
    </row>
    <row r="319" spans="1:7" x14ac:dyDescent="0.4">
      <c r="A319" s="13" t="str">
        <f ca="1">Start.listina!U69</f>
        <v/>
      </c>
      <c r="B319" s="13" t="str">
        <f ca="1">Start.listina!V69</f>
        <v xml:space="preserve"> </v>
      </c>
      <c r="C319" s="13" t="str">
        <f ca="1">Start.listina!W69</f>
        <v xml:space="preserve"> </v>
      </c>
      <c r="D319" s="13" t="str">
        <f ca="1">Start.listina!X69</f>
        <v xml:space="preserve"> </v>
      </c>
      <c r="E319" s="13">
        <f ca="1">Start.listina!Y69</f>
        <v>9999</v>
      </c>
      <c r="F319" s="13">
        <f ca="1">Start.listina!Z69</f>
        <v>0</v>
      </c>
      <c r="G319" s="4"/>
    </row>
    <row r="320" spans="1:7" x14ac:dyDescent="0.4">
      <c r="A320" s="13" t="str">
        <f ca="1">Start.listina!U70</f>
        <v/>
      </c>
      <c r="B320" s="13" t="str">
        <f ca="1">Start.listina!V70</f>
        <v xml:space="preserve"> </v>
      </c>
      <c r="C320" s="13" t="str">
        <f ca="1">Start.listina!W70</f>
        <v xml:space="preserve"> </v>
      </c>
      <c r="D320" s="13" t="str">
        <f ca="1">Start.listina!X70</f>
        <v xml:space="preserve"> </v>
      </c>
      <c r="E320" s="13">
        <f ca="1">Start.listina!Y70</f>
        <v>9999</v>
      </c>
      <c r="F320" s="13">
        <f ca="1">Start.listina!Z70</f>
        <v>0</v>
      </c>
      <c r="G320" s="4"/>
    </row>
    <row r="321" spans="1:7" x14ac:dyDescent="0.4">
      <c r="A321" s="13" t="str">
        <f ca="1">Start.listina!U71</f>
        <v/>
      </c>
      <c r="B321" s="13" t="str">
        <f ca="1">Start.listina!V71</f>
        <v xml:space="preserve"> </v>
      </c>
      <c r="C321" s="13" t="str">
        <f ca="1">Start.listina!W71</f>
        <v xml:space="preserve"> </v>
      </c>
      <c r="D321" s="13" t="str">
        <f ca="1">Start.listina!X71</f>
        <v xml:space="preserve"> </v>
      </c>
      <c r="E321" s="13">
        <f ca="1">Start.listina!Y71</f>
        <v>9999</v>
      </c>
      <c r="F321" s="13">
        <f ca="1">Start.listina!Z71</f>
        <v>0</v>
      </c>
      <c r="G321" s="4"/>
    </row>
    <row r="322" spans="1:7" x14ac:dyDescent="0.4">
      <c r="A322" s="13" t="str">
        <f ca="1">Start.listina!U72</f>
        <v/>
      </c>
      <c r="B322" s="13" t="str">
        <f ca="1">Start.listina!V72</f>
        <v xml:space="preserve"> </v>
      </c>
      <c r="C322" s="13" t="str">
        <f ca="1">Start.listina!W72</f>
        <v xml:space="preserve"> </v>
      </c>
      <c r="D322" s="13" t="str">
        <f ca="1">Start.listina!X72</f>
        <v xml:space="preserve"> </v>
      </c>
      <c r="E322" s="13">
        <f ca="1">Start.listina!Y72</f>
        <v>9999</v>
      </c>
      <c r="F322" s="13">
        <f ca="1">Start.listina!Z72</f>
        <v>0</v>
      </c>
      <c r="G322" s="4"/>
    </row>
    <row r="323" spans="1:7" x14ac:dyDescent="0.4">
      <c r="A323" s="13" t="str">
        <f ca="1">Start.listina!U73</f>
        <v/>
      </c>
      <c r="B323" s="13" t="str">
        <f ca="1">Start.listina!V73</f>
        <v xml:space="preserve"> </v>
      </c>
      <c r="C323" s="13" t="str">
        <f ca="1">Start.listina!W73</f>
        <v xml:space="preserve"> </v>
      </c>
      <c r="D323" s="13" t="str">
        <f ca="1">Start.listina!X73</f>
        <v xml:space="preserve"> </v>
      </c>
      <c r="E323" s="13">
        <f ca="1">Start.listina!Y73</f>
        <v>9999</v>
      </c>
      <c r="F323" s="13">
        <f ca="1">Start.listina!Z73</f>
        <v>0</v>
      </c>
      <c r="G323" s="4"/>
    </row>
    <row r="324" spans="1:7" x14ac:dyDescent="0.4">
      <c r="A324" s="13" t="str">
        <f ca="1">Start.listina!U74</f>
        <v/>
      </c>
      <c r="B324" s="13" t="str">
        <f ca="1">Start.listina!V74</f>
        <v xml:space="preserve"> </v>
      </c>
      <c r="C324" s="13" t="str">
        <f ca="1">Start.listina!W74</f>
        <v xml:space="preserve"> </v>
      </c>
      <c r="D324" s="13" t="str">
        <f ca="1">Start.listina!X74</f>
        <v xml:space="preserve"> </v>
      </c>
      <c r="E324" s="13">
        <f ca="1">Start.listina!Y74</f>
        <v>9999</v>
      </c>
      <c r="F324" s="13">
        <f ca="1">Start.listina!Z74</f>
        <v>0</v>
      </c>
      <c r="G324" s="4"/>
    </row>
    <row r="325" spans="1:7" x14ac:dyDescent="0.4">
      <c r="A325" s="13" t="str">
        <f ca="1">Start.listina!U75</f>
        <v/>
      </c>
      <c r="B325" s="13" t="str">
        <f ca="1">Start.listina!V75</f>
        <v xml:space="preserve"> </v>
      </c>
      <c r="C325" s="13" t="str">
        <f ca="1">Start.listina!W75</f>
        <v xml:space="preserve"> </v>
      </c>
      <c r="D325" s="13" t="str">
        <f ca="1">Start.listina!X75</f>
        <v xml:space="preserve"> </v>
      </c>
      <c r="E325" s="13">
        <f ca="1">Start.listina!Y75</f>
        <v>9999</v>
      </c>
      <c r="F325" s="13">
        <f ca="1">Start.listina!Z75</f>
        <v>0</v>
      </c>
      <c r="G325" s="4"/>
    </row>
    <row r="326" spans="1:7" x14ac:dyDescent="0.4">
      <c r="A326" s="13" t="str">
        <f ca="1">Start.listina!U76</f>
        <v/>
      </c>
      <c r="B326" s="13" t="str">
        <f ca="1">Start.listina!V76</f>
        <v xml:space="preserve"> </v>
      </c>
      <c r="C326" s="13" t="str">
        <f ca="1">Start.listina!W76</f>
        <v xml:space="preserve"> </v>
      </c>
      <c r="D326" s="13" t="str">
        <f ca="1">Start.listina!X76</f>
        <v xml:space="preserve"> </v>
      </c>
      <c r="E326" s="13">
        <f ca="1">Start.listina!Y76</f>
        <v>9999</v>
      </c>
      <c r="F326" s="13">
        <f ca="1">Start.listina!Z76</f>
        <v>0</v>
      </c>
      <c r="G326" s="4"/>
    </row>
    <row r="327" spans="1:7" x14ac:dyDescent="0.4">
      <c r="A327" s="13" t="str">
        <f ca="1">Start.listina!U77</f>
        <v/>
      </c>
      <c r="B327" s="13" t="str">
        <f ca="1">Start.listina!V77</f>
        <v xml:space="preserve"> </v>
      </c>
      <c r="C327" s="13" t="str">
        <f ca="1">Start.listina!W77</f>
        <v xml:space="preserve"> </v>
      </c>
      <c r="D327" s="13" t="str">
        <f ca="1">Start.listina!X77</f>
        <v xml:space="preserve"> </v>
      </c>
      <c r="E327" s="13">
        <f ca="1">Start.listina!Y77</f>
        <v>9999</v>
      </c>
      <c r="F327" s="13">
        <f ca="1">Start.listina!Z77</f>
        <v>0</v>
      </c>
      <c r="G327" s="4"/>
    </row>
    <row r="328" spans="1:7" x14ac:dyDescent="0.4">
      <c r="A328" s="13" t="str">
        <f ca="1">Start.listina!U78</f>
        <v/>
      </c>
      <c r="B328" s="13" t="str">
        <f ca="1">Start.listina!V78</f>
        <v xml:space="preserve"> </v>
      </c>
      <c r="C328" s="13" t="str">
        <f ca="1">Start.listina!W78</f>
        <v xml:space="preserve"> </v>
      </c>
      <c r="D328" s="13" t="str">
        <f ca="1">Start.listina!X78</f>
        <v xml:space="preserve"> </v>
      </c>
      <c r="E328" s="13">
        <f ca="1">Start.listina!Y78</f>
        <v>9999</v>
      </c>
      <c r="F328" s="13">
        <f ca="1">Start.listina!Z78</f>
        <v>0</v>
      </c>
      <c r="G328" s="4"/>
    </row>
    <row r="329" spans="1:7" x14ac:dyDescent="0.4">
      <c r="A329" s="13" t="str">
        <f ca="1">Start.listina!U79</f>
        <v/>
      </c>
      <c r="B329" s="13" t="str">
        <f ca="1">Start.listina!V79</f>
        <v xml:space="preserve"> </v>
      </c>
      <c r="C329" s="13" t="str">
        <f ca="1">Start.listina!W79</f>
        <v xml:space="preserve"> </v>
      </c>
      <c r="D329" s="13" t="str">
        <f ca="1">Start.listina!X79</f>
        <v xml:space="preserve"> </v>
      </c>
      <c r="E329" s="13">
        <f ca="1">Start.listina!Y79</f>
        <v>9999</v>
      </c>
      <c r="F329" s="13">
        <f ca="1">Start.listina!Z79</f>
        <v>0</v>
      </c>
      <c r="G329" s="4"/>
    </row>
    <row r="330" spans="1:7" x14ac:dyDescent="0.4">
      <c r="A330" s="13" t="str">
        <f ca="1">Start.listina!U80</f>
        <v/>
      </c>
      <c r="B330" s="13" t="str">
        <f ca="1">Start.listina!V80</f>
        <v xml:space="preserve"> </v>
      </c>
      <c r="C330" s="13" t="str">
        <f ca="1">Start.listina!W80</f>
        <v xml:space="preserve"> </v>
      </c>
      <c r="D330" s="13" t="str">
        <f ca="1">Start.listina!X80</f>
        <v xml:space="preserve"> </v>
      </c>
      <c r="E330" s="13">
        <f ca="1">Start.listina!Y80</f>
        <v>9999</v>
      </c>
      <c r="F330" s="13">
        <f ca="1">Start.listina!Z80</f>
        <v>0</v>
      </c>
      <c r="G330" s="4"/>
    </row>
    <row r="331" spans="1:7" x14ac:dyDescent="0.4">
      <c r="A331" s="13" t="str">
        <f ca="1">Start.listina!U81</f>
        <v/>
      </c>
      <c r="B331" s="13" t="str">
        <f ca="1">Start.listina!V81</f>
        <v xml:space="preserve"> </v>
      </c>
      <c r="C331" s="13" t="str">
        <f ca="1">Start.listina!W81</f>
        <v xml:space="preserve"> </v>
      </c>
      <c r="D331" s="13" t="str">
        <f ca="1">Start.listina!X81</f>
        <v xml:space="preserve"> </v>
      </c>
      <c r="E331" s="13">
        <f ca="1">Start.listina!Y81</f>
        <v>9999</v>
      </c>
      <c r="F331" s="13">
        <f ca="1">Start.listina!Z81</f>
        <v>0</v>
      </c>
      <c r="G331" s="4"/>
    </row>
    <row r="332" spans="1:7" x14ac:dyDescent="0.4">
      <c r="A332" s="13" t="str">
        <f ca="1">Start.listina!U82</f>
        <v/>
      </c>
      <c r="B332" s="13" t="str">
        <f ca="1">Start.listina!V82</f>
        <v xml:space="preserve"> </v>
      </c>
      <c r="C332" s="13" t="str">
        <f ca="1">Start.listina!W82</f>
        <v xml:space="preserve"> </v>
      </c>
      <c r="D332" s="13" t="str">
        <f ca="1">Start.listina!X82</f>
        <v xml:space="preserve"> </v>
      </c>
      <c r="E332" s="13">
        <f ca="1">Start.listina!Y82</f>
        <v>9999</v>
      </c>
      <c r="F332" s="13">
        <f ca="1">Start.listina!Z82</f>
        <v>0</v>
      </c>
      <c r="G332" s="4"/>
    </row>
    <row r="333" spans="1:7" x14ac:dyDescent="0.4">
      <c r="A333" s="13" t="str">
        <f ca="1">Start.listina!U83</f>
        <v/>
      </c>
      <c r="B333" s="13" t="str">
        <f ca="1">Start.listina!V83</f>
        <v xml:space="preserve"> </v>
      </c>
      <c r="C333" s="13" t="str">
        <f ca="1">Start.listina!W83</f>
        <v xml:space="preserve"> </v>
      </c>
      <c r="D333" s="13" t="str">
        <f ca="1">Start.listina!X83</f>
        <v xml:space="preserve"> </v>
      </c>
      <c r="E333" s="13">
        <f ca="1">Start.listina!Y83</f>
        <v>9999</v>
      </c>
      <c r="F333" s="13">
        <f ca="1">Start.listina!Z83</f>
        <v>0</v>
      </c>
      <c r="G333" s="4"/>
    </row>
    <row r="334" spans="1:7" x14ac:dyDescent="0.4">
      <c r="A334" s="13" t="str">
        <f ca="1">Start.listina!U84</f>
        <v/>
      </c>
      <c r="B334" s="13" t="str">
        <f ca="1">Start.listina!V84</f>
        <v xml:space="preserve"> </v>
      </c>
      <c r="C334" s="13" t="str">
        <f ca="1">Start.listina!W84</f>
        <v xml:space="preserve"> </v>
      </c>
      <c r="D334" s="13" t="str">
        <f ca="1">Start.listina!X84</f>
        <v xml:space="preserve"> </v>
      </c>
      <c r="E334" s="13">
        <f ca="1">Start.listina!Y84</f>
        <v>9999</v>
      </c>
      <c r="F334" s="13">
        <f ca="1">Start.listina!Z84</f>
        <v>0</v>
      </c>
      <c r="G334" s="4"/>
    </row>
    <row r="335" spans="1:7" x14ac:dyDescent="0.4">
      <c r="A335" s="13" t="str">
        <f ca="1">Start.listina!U85</f>
        <v/>
      </c>
      <c r="B335" s="13" t="str">
        <f ca="1">Start.listina!V85</f>
        <v xml:space="preserve"> </v>
      </c>
      <c r="C335" s="13" t="str">
        <f ca="1">Start.listina!W85</f>
        <v xml:space="preserve"> </v>
      </c>
      <c r="D335" s="13" t="str">
        <f ca="1">Start.listina!X85</f>
        <v xml:space="preserve"> </v>
      </c>
      <c r="E335" s="13">
        <f ca="1">Start.listina!Y85</f>
        <v>9999</v>
      </c>
      <c r="F335" s="13">
        <f ca="1">Start.listina!Z85</f>
        <v>0</v>
      </c>
      <c r="G335" s="4"/>
    </row>
    <row r="336" spans="1:7" x14ac:dyDescent="0.4">
      <c r="A336" s="13" t="str">
        <f ca="1">Start.listina!U86</f>
        <v/>
      </c>
      <c r="B336" s="13" t="str">
        <f ca="1">Start.listina!V86</f>
        <v xml:space="preserve"> </v>
      </c>
      <c r="C336" s="13" t="str">
        <f ca="1">Start.listina!W86</f>
        <v xml:space="preserve"> </v>
      </c>
      <c r="D336" s="13" t="str">
        <f ca="1">Start.listina!X86</f>
        <v xml:space="preserve"> </v>
      </c>
      <c r="E336" s="13">
        <f ca="1">Start.listina!Y86</f>
        <v>9999</v>
      </c>
      <c r="F336" s="13">
        <f ca="1">Start.listina!Z86</f>
        <v>0</v>
      </c>
      <c r="G336" s="4"/>
    </row>
    <row r="337" spans="1:7" x14ac:dyDescent="0.4">
      <c r="A337" s="13" t="str">
        <f ca="1">Start.listina!U87</f>
        <v/>
      </c>
      <c r="B337" s="13" t="str">
        <f ca="1">Start.listina!V87</f>
        <v xml:space="preserve"> </v>
      </c>
      <c r="C337" s="13" t="str">
        <f ca="1">Start.listina!W87</f>
        <v xml:space="preserve"> </v>
      </c>
      <c r="D337" s="13" t="str">
        <f ca="1">Start.listina!X87</f>
        <v xml:space="preserve"> </v>
      </c>
      <c r="E337" s="13">
        <f ca="1">Start.listina!Y87</f>
        <v>9999</v>
      </c>
      <c r="F337" s="13">
        <f ca="1">Start.listina!Z87</f>
        <v>0</v>
      </c>
      <c r="G337" s="4"/>
    </row>
    <row r="338" spans="1:7" x14ac:dyDescent="0.4">
      <c r="A338" s="13" t="str">
        <f ca="1">Start.listina!U88</f>
        <v/>
      </c>
      <c r="B338" s="13" t="str">
        <f ca="1">Start.listina!V88</f>
        <v xml:space="preserve"> </v>
      </c>
      <c r="C338" s="13" t="str">
        <f ca="1">Start.listina!W88</f>
        <v xml:space="preserve"> </v>
      </c>
      <c r="D338" s="13" t="str">
        <f ca="1">Start.listina!X88</f>
        <v xml:space="preserve"> </v>
      </c>
      <c r="E338" s="13">
        <f ca="1">Start.listina!Y88</f>
        <v>9999</v>
      </c>
      <c r="F338" s="13">
        <f ca="1">Start.listina!Z88</f>
        <v>0</v>
      </c>
      <c r="G338" s="4"/>
    </row>
    <row r="339" spans="1:7" x14ac:dyDescent="0.4">
      <c r="A339" s="13" t="str">
        <f ca="1">Start.listina!U89</f>
        <v/>
      </c>
      <c r="B339" s="13" t="str">
        <f ca="1">Start.listina!V89</f>
        <v xml:space="preserve"> </v>
      </c>
      <c r="C339" s="13" t="str">
        <f ca="1">Start.listina!W89</f>
        <v xml:space="preserve"> </v>
      </c>
      <c r="D339" s="13" t="str">
        <f ca="1">Start.listina!X89</f>
        <v xml:space="preserve"> </v>
      </c>
      <c r="E339" s="13">
        <f ca="1">Start.listina!Y89</f>
        <v>9999</v>
      </c>
      <c r="F339" s="13">
        <f ca="1">Start.listina!Z89</f>
        <v>0</v>
      </c>
      <c r="G339" s="4"/>
    </row>
    <row r="340" spans="1:7" x14ac:dyDescent="0.4">
      <c r="A340" s="13" t="str">
        <f ca="1">Start.listina!U90</f>
        <v/>
      </c>
      <c r="B340" s="13" t="str">
        <f ca="1">Start.listina!V90</f>
        <v xml:space="preserve"> </v>
      </c>
      <c r="C340" s="13" t="str">
        <f ca="1">Start.listina!W90</f>
        <v xml:space="preserve"> </v>
      </c>
      <c r="D340" s="13" t="str">
        <f ca="1">Start.listina!X90</f>
        <v xml:space="preserve"> </v>
      </c>
      <c r="E340" s="13">
        <f ca="1">Start.listina!Y90</f>
        <v>9999</v>
      </c>
      <c r="F340" s="13">
        <f ca="1">Start.listina!Z90</f>
        <v>0</v>
      </c>
      <c r="G340" s="4"/>
    </row>
    <row r="341" spans="1:7" x14ac:dyDescent="0.4">
      <c r="A341" s="13" t="str">
        <f ca="1">Start.listina!U91</f>
        <v/>
      </c>
      <c r="B341" s="13" t="str">
        <f ca="1">Start.listina!V91</f>
        <v xml:space="preserve"> </v>
      </c>
      <c r="C341" s="13" t="str">
        <f ca="1">Start.listina!W91</f>
        <v xml:space="preserve"> </v>
      </c>
      <c r="D341" s="13" t="str">
        <f ca="1">Start.listina!X91</f>
        <v xml:space="preserve"> </v>
      </c>
      <c r="E341" s="13">
        <f ca="1">Start.listina!Y91</f>
        <v>9999</v>
      </c>
      <c r="F341" s="13">
        <f ca="1">Start.listina!Z91</f>
        <v>0</v>
      </c>
      <c r="G341" s="4"/>
    </row>
    <row r="342" spans="1:7" x14ac:dyDescent="0.4">
      <c r="A342" s="13" t="str">
        <f ca="1">Start.listina!U92</f>
        <v/>
      </c>
      <c r="B342" s="13" t="str">
        <f ca="1">Start.listina!V92</f>
        <v xml:space="preserve"> </v>
      </c>
      <c r="C342" s="13" t="str">
        <f ca="1">Start.listina!W92</f>
        <v xml:space="preserve"> </v>
      </c>
      <c r="D342" s="13" t="str">
        <f ca="1">Start.listina!X92</f>
        <v xml:space="preserve"> </v>
      </c>
      <c r="E342" s="13">
        <f ca="1">Start.listina!Y92</f>
        <v>9999</v>
      </c>
      <c r="F342" s="13">
        <f ca="1">Start.listina!Z92</f>
        <v>0</v>
      </c>
      <c r="G342" s="4"/>
    </row>
    <row r="343" spans="1:7" x14ac:dyDescent="0.4">
      <c r="A343" s="13" t="str">
        <f ca="1">Start.listina!U93</f>
        <v/>
      </c>
      <c r="B343" s="13" t="str">
        <f ca="1">Start.listina!V93</f>
        <v xml:space="preserve"> </v>
      </c>
      <c r="C343" s="13" t="str">
        <f ca="1">Start.listina!W93</f>
        <v xml:space="preserve"> </v>
      </c>
      <c r="D343" s="13" t="str">
        <f ca="1">Start.listina!X93</f>
        <v xml:space="preserve"> </v>
      </c>
      <c r="E343" s="13">
        <f ca="1">Start.listina!Y93</f>
        <v>9999</v>
      </c>
      <c r="F343" s="13">
        <f ca="1">Start.listina!Z93</f>
        <v>0</v>
      </c>
      <c r="G343" s="4"/>
    </row>
    <row r="344" spans="1:7" x14ac:dyDescent="0.4">
      <c r="A344" s="13" t="str">
        <f ca="1">Start.listina!U94</f>
        <v/>
      </c>
      <c r="B344" s="13" t="str">
        <f ca="1">Start.listina!V94</f>
        <v xml:space="preserve"> </v>
      </c>
      <c r="C344" s="13" t="str">
        <f ca="1">Start.listina!W94</f>
        <v xml:space="preserve"> </v>
      </c>
      <c r="D344" s="13" t="str">
        <f ca="1">Start.listina!X94</f>
        <v xml:space="preserve"> </v>
      </c>
      <c r="E344" s="13">
        <f ca="1">Start.listina!Y94</f>
        <v>9999</v>
      </c>
      <c r="F344" s="13">
        <f ca="1">Start.listina!Z94</f>
        <v>0</v>
      </c>
      <c r="G344" s="4"/>
    </row>
    <row r="345" spans="1:7" x14ac:dyDescent="0.4">
      <c r="A345" s="13" t="str">
        <f ca="1">Start.listina!U95</f>
        <v/>
      </c>
      <c r="B345" s="13" t="str">
        <f ca="1">Start.listina!V95</f>
        <v xml:space="preserve"> </v>
      </c>
      <c r="C345" s="13" t="str">
        <f ca="1">Start.listina!W95</f>
        <v xml:space="preserve"> </v>
      </c>
      <c r="D345" s="13" t="str">
        <f ca="1">Start.listina!X95</f>
        <v xml:space="preserve"> </v>
      </c>
      <c r="E345" s="13">
        <f ca="1">Start.listina!Y95</f>
        <v>9999</v>
      </c>
      <c r="F345" s="13">
        <f ca="1">Start.listina!Z95</f>
        <v>0</v>
      </c>
      <c r="G345" s="4"/>
    </row>
    <row r="346" spans="1:7" x14ac:dyDescent="0.4">
      <c r="A346" s="13" t="str">
        <f ca="1">Start.listina!U96</f>
        <v/>
      </c>
      <c r="B346" s="13" t="str">
        <f ca="1">Start.listina!V96</f>
        <v xml:space="preserve"> </v>
      </c>
      <c r="C346" s="13" t="str">
        <f ca="1">Start.listina!W96</f>
        <v xml:space="preserve"> </v>
      </c>
      <c r="D346" s="13" t="str">
        <f ca="1">Start.listina!X96</f>
        <v xml:space="preserve"> </v>
      </c>
      <c r="E346" s="13">
        <f ca="1">Start.listina!Y96</f>
        <v>9999</v>
      </c>
      <c r="F346" s="13">
        <f ca="1">Start.listina!Z96</f>
        <v>0</v>
      </c>
      <c r="G346" s="4"/>
    </row>
    <row r="347" spans="1:7" x14ac:dyDescent="0.4">
      <c r="A347" s="13" t="str">
        <f ca="1">Start.listina!U97</f>
        <v/>
      </c>
      <c r="B347" s="13" t="str">
        <f ca="1">Start.listina!V97</f>
        <v xml:space="preserve"> </v>
      </c>
      <c r="C347" s="13" t="str">
        <f ca="1">Start.listina!W97</f>
        <v xml:space="preserve"> </v>
      </c>
      <c r="D347" s="13" t="str">
        <f ca="1">Start.listina!X97</f>
        <v xml:space="preserve"> </v>
      </c>
      <c r="E347" s="13">
        <f ca="1">Start.listina!Y97</f>
        <v>9999</v>
      </c>
      <c r="F347" s="13">
        <f ca="1">Start.listina!Z97</f>
        <v>0</v>
      </c>
      <c r="G347" s="4"/>
    </row>
    <row r="348" spans="1:7" x14ac:dyDescent="0.4">
      <c r="A348" s="13" t="str">
        <f ca="1">Start.listina!U98</f>
        <v/>
      </c>
      <c r="B348" s="13" t="str">
        <f ca="1">Start.listina!V98</f>
        <v xml:space="preserve"> </v>
      </c>
      <c r="C348" s="13" t="str">
        <f ca="1">Start.listina!W98</f>
        <v xml:space="preserve"> </v>
      </c>
      <c r="D348" s="13" t="str">
        <f ca="1">Start.listina!X98</f>
        <v xml:space="preserve"> </v>
      </c>
      <c r="E348" s="13">
        <f ca="1">Start.listina!Y98</f>
        <v>9999</v>
      </c>
      <c r="F348" s="13">
        <f ca="1">Start.listina!Z98</f>
        <v>0</v>
      </c>
      <c r="G348" s="4"/>
    </row>
    <row r="349" spans="1:7" x14ac:dyDescent="0.4">
      <c r="A349" s="13" t="str">
        <f ca="1">Start.listina!U99</f>
        <v/>
      </c>
      <c r="B349" s="13" t="str">
        <f ca="1">Start.listina!V99</f>
        <v xml:space="preserve"> </v>
      </c>
      <c r="C349" s="13" t="str">
        <f ca="1">Start.listina!W99</f>
        <v xml:space="preserve"> </v>
      </c>
      <c r="D349" s="13" t="str">
        <f ca="1">Start.listina!X99</f>
        <v xml:space="preserve"> </v>
      </c>
      <c r="E349" s="13">
        <f ca="1">Start.listina!Y99</f>
        <v>9999</v>
      </c>
      <c r="F349" s="13">
        <f ca="1">Start.listina!Z99</f>
        <v>0</v>
      </c>
      <c r="G349" s="4"/>
    </row>
    <row r="350" spans="1:7" x14ac:dyDescent="0.4">
      <c r="A350" s="13" t="str">
        <f ca="1">Start.listina!U100</f>
        <v/>
      </c>
      <c r="B350" s="13" t="str">
        <f ca="1">Start.listina!V100</f>
        <v xml:space="preserve"> </v>
      </c>
      <c r="C350" s="13" t="str">
        <f ca="1">Start.listina!W100</f>
        <v xml:space="preserve"> </v>
      </c>
      <c r="D350" s="13" t="str">
        <f ca="1">Start.listina!X100</f>
        <v xml:space="preserve"> </v>
      </c>
      <c r="E350" s="13">
        <f ca="1">Start.listina!Y100</f>
        <v>9999</v>
      </c>
      <c r="F350" s="13">
        <f ca="1">Start.listina!Z100</f>
        <v>0</v>
      </c>
      <c r="G350" s="4"/>
    </row>
    <row r="351" spans="1:7" x14ac:dyDescent="0.4">
      <c r="A351" s="13" t="str">
        <f ca="1">Start.listina!U101</f>
        <v/>
      </c>
      <c r="B351" s="13" t="str">
        <f ca="1">Start.listina!V101</f>
        <v xml:space="preserve"> </v>
      </c>
      <c r="C351" s="13" t="str">
        <f ca="1">Start.listina!W101</f>
        <v xml:space="preserve"> </v>
      </c>
      <c r="D351" s="13" t="str">
        <f ca="1">Start.listina!X101</f>
        <v xml:space="preserve"> </v>
      </c>
      <c r="E351" s="13">
        <f ca="1">Start.listina!Y101</f>
        <v>9999</v>
      </c>
      <c r="F351" s="13">
        <f ca="1">Start.listina!Z101</f>
        <v>0</v>
      </c>
      <c r="G351" s="4"/>
    </row>
    <row r="352" spans="1:7" x14ac:dyDescent="0.4">
      <c r="A352" s="13" t="str">
        <f ca="1">Start.listina!U102</f>
        <v/>
      </c>
      <c r="B352" s="13" t="str">
        <f ca="1">Start.listina!V102</f>
        <v xml:space="preserve"> </v>
      </c>
      <c r="C352" s="13" t="str">
        <f ca="1">Start.listina!W102</f>
        <v xml:space="preserve"> </v>
      </c>
      <c r="D352" s="13" t="str">
        <f ca="1">Start.listina!X102</f>
        <v xml:space="preserve"> </v>
      </c>
      <c r="E352" s="13">
        <f ca="1">Start.listina!Y102</f>
        <v>9999</v>
      </c>
      <c r="F352" s="13">
        <f ca="1">Start.listina!Z102</f>
        <v>0</v>
      </c>
      <c r="G352" s="4"/>
    </row>
    <row r="353" spans="1:7" x14ac:dyDescent="0.4">
      <c r="A353" s="13" t="str">
        <f ca="1">Start.listina!U103</f>
        <v/>
      </c>
      <c r="B353" s="13" t="str">
        <f ca="1">Start.listina!V103</f>
        <v xml:space="preserve"> </v>
      </c>
      <c r="C353" s="13" t="str">
        <f ca="1">Start.listina!W103</f>
        <v xml:space="preserve"> </v>
      </c>
      <c r="D353" s="13" t="str">
        <f ca="1">Start.listina!X103</f>
        <v xml:space="preserve"> </v>
      </c>
      <c r="E353" s="13">
        <f ca="1">Start.listina!Y103</f>
        <v>9999</v>
      </c>
      <c r="F353" s="13">
        <f ca="1">Start.listina!Z103</f>
        <v>0</v>
      </c>
      <c r="G353" s="4"/>
    </row>
    <row r="354" spans="1:7" x14ac:dyDescent="0.4">
      <c r="A354" s="13" t="str">
        <f ca="1">Start.listina!U104</f>
        <v/>
      </c>
      <c r="B354" s="13" t="str">
        <f ca="1">Start.listina!V104</f>
        <v xml:space="preserve"> </v>
      </c>
      <c r="C354" s="13" t="str">
        <f ca="1">Start.listina!W104</f>
        <v xml:space="preserve"> </v>
      </c>
      <c r="D354" s="13" t="str">
        <f ca="1">Start.listina!X104</f>
        <v xml:space="preserve"> </v>
      </c>
      <c r="E354" s="13">
        <f ca="1">Start.listina!Y104</f>
        <v>9999</v>
      </c>
      <c r="F354" s="13">
        <f ca="1">Start.listina!Z104</f>
        <v>0</v>
      </c>
      <c r="G354" s="4"/>
    </row>
    <row r="355" spans="1:7" x14ac:dyDescent="0.4">
      <c r="A355" s="13" t="str">
        <f ca="1">Start.listina!U105</f>
        <v/>
      </c>
      <c r="B355" s="13" t="str">
        <f ca="1">Start.listina!V105</f>
        <v xml:space="preserve"> </v>
      </c>
      <c r="C355" s="13" t="str">
        <f ca="1">Start.listina!W105</f>
        <v xml:space="preserve"> </v>
      </c>
      <c r="D355" s="13" t="str">
        <f ca="1">Start.listina!X105</f>
        <v xml:space="preserve"> </v>
      </c>
      <c r="E355" s="13">
        <f ca="1">Start.listina!Y105</f>
        <v>9999</v>
      </c>
      <c r="F355" s="13">
        <f ca="1">Start.listina!Z105</f>
        <v>0</v>
      </c>
      <c r="G355" s="4"/>
    </row>
    <row r="356" spans="1:7" x14ac:dyDescent="0.4">
      <c r="A356" s="13" t="str">
        <f ca="1">Start.listina!U106</f>
        <v/>
      </c>
      <c r="B356" s="13" t="str">
        <f ca="1">Start.listina!V106</f>
        <v xml:space="preserve"> </v>
      </c>
      <c r="C356" s="13" t="str">
        <f ca="1">Start.listina!W106</f>
        <v xml:space="preserve"> </v>
      </c>
      <c r="D356" s="13" t="str">
        <f ca="1">Start.listina!X106</f>
        <v xml:space="preserve"> </v>
      </c>
      <c r="E356" s="13">
        <f ca="1">Start.listina!Y106</f>
        <v>9999</v>
      </c>
      <c r="F356" s="13">
        <f ca="1">Start.listina!Z106</f>
        <v>0</v>
      </c>
      <c r="G356" s="4"/>
    </row>
    <row r="357" spans="1:7" x14ac:dyDescent="0.4">
      <c r="A357" s="13" t="str">
        <f ca="1">Start.listina!U107</f>
        <v/>
      </c>
      <c r="B357" s="13" t="str">
        <f ca="1">Start.listina!V107</f>
        <v xml:space="preserve"> </v>
      </c>
      <c r="C357" s="13" t="str">
        <f ca="1">Start.listina!W107</f>
        <v xml:space="preserve"> </v>
      </c>
      <c r="D357" s="13" t="str">
        <f ca="1">Start.listina!X107</f>
        <v xml:space="preserve"> </v>
      </c>
      <c r="E357" s="13">
        <f ca="1">Start.listina!Y107</f>
        <v>9999</v>
      </c>
      <c r="F357" s="13">
        <f ca="1">Start.listina!Z107</f>
        <v>0</v>
      </c>
      <c r="G357" s="4"/>
    </row>
    <row r="358" spans="1:7" x14ac:dyDescent="0.4">
      <c r="A358" s="13" t="str">
        <f ca="1">Start.listina!U108</f>
        <v/>
      </c>
      <c r="B358" s="13" t="str">
        <f ca="1">Start.listina!V108</f>
        <v xml:space="preserve"> </v>
      </c>
      <c r="C358" s="13" t="str">
        <f ca="1">Start.listina!W108</f>
        <v xml:space="preserve"> </v>
      </c>
      <c r="D358" s="13" t="str">
        <f ca="1">Start.listina!X108</f>
        <v xml:space="preserve"> </v>
      </c>
      <c r="E358" s="13">
        <f ca="1">Start.listina!Y108</f>
        <v>9999</v>
      </c>
      <c r="F358" s="13">
        <f ca="1">Start.listina!Z108</f>
        <v>0</v>
      </c>
      <c r="G358" s="4"/>
    </row>
    <row r="359" spans="1:7" x14ac:dyDescent="0.4">
      <c r="A359" s="13" t="str">
        <f ca="1">Start.listina!U109</f>
        <v/>
      </c>
      <c r="B359" s="13" t="str">
        <f ca="1">Start.listina!V109</f>
        <v xml:space="preserve"> </v>
      </c>
      <c r="C359" s="13" t="str">
        <f ca="1">Start.listina!W109</f>
        <v xml:space="preserve"> </v>
      </c>
      <c r="D359" s="13" t="str">
        <f ca="1">Start.listina!X109</f>
        <v xml:space="preserve"> </v>
      </c>
      <c r="E359" s="13">
        <f ca="1">Start.listina!Y109</f>
        <v>9999</v>
      </c>
      <c r="F359" s="13">
        <f ca="1">Start.listina!Z109</f>
        <v>0</v>
      </c>
      <c r="G359" s="4"/>
    </row>
    <row r="360" spans="1:7" x14ac:dyDescent="0.4">
      <c r="A360" s="13" t="str">
        <f ca="1">Start.listina!U110</f>
        <v/>
      </c>
      <c r="B360" s="13" t="str">
        <f ca="1">Start.listina!V110</f>
        <v xml:space="preserve"> </v>
      </c>
      <c r="C360" s="13" t="str">
        <f ca="1">Start.listina!W110</f>
        <v xml:space="preserve"> </v>
      </c>
      <c r="D360" s="13" t="str">
        <f ca="1">Start.listina!X110</f>
        <v xml:space="preserve"> </v>
      </c>
      <c r="E360" s="13">
        <f ca="1">Start.listina!Y110</f>
        <v>9999</v>
      </c>
      <c r="F360" s="13">
        <f ca="1">Start.listina!Z110</f>
        <v>0</v>
      </c>
      <c r="G360" s="4"/>
    </row>
    <row r="361" spans="1:7" x14ac:dyDescent="0.4">
      <c r="A361" s="13" t="str">
        <f ca="1">Start.listina!U111</f>
        <v/>
      </c>
      <c r="B361" s="13" t="str">
        <f ca="1">Start.listina!V111</f>
        <v xml:space="preserve"> </v>
      </c>
      <c r="C361" s="13" t="str">
        <f ca="1">Start.listina!W111</f>
        <v xml:space="preserve"> </v>
      </c>
      <c r="D361" s="13" t="str">
        <f ca="1">Start.listina!X111</f>
        <v xml:space="preserve"> </v>
      </c>
      <c r="E361" s="13">
        <f ca="1">Start.listina!Y111</f>
        <v>9999</v>
      </c>
      <c r="F361" s="13">
        <f ca="1">Start.listina!Z111</f>
        <v>0</v>
      </c>
      <c r="G361" s="4"/>
    </row>
    <row r="362" spans="1:7" x14ac:dyDescent="0.4">
      <c r="A362" s="13" t="str">
        <f ca="1">Start.listina!U112</f>
        <v/>
      </c>
      <c r="B362" s="13" t="str">
        <f ca="1">Start.listina!V112</f>
        <v xml:space="preserve"> </v>
      </c>
      <c r="C362" s="13" t="str">
        <f ca="1">Start.listina!W112</f>
        <v xml:space="preserve"> </v>
      </c>
      <c r="D362" s="13" t="str">
        <f ca="1">Start.listina!X112</f>
        <v xml:space="preserve"> </v>
      </c>
      <c r="E362" s="13">
        <f ca="1">Start.listina!Y112</f>
        <v>9999</v>
      </c>
      <c r="F362" s="13">
        <f ca="1">Start.listina!Z112</f>
        <v>0</v>
      </c>
      <c r="G362" s="4"/>
    </row>
    <row r="363" spans="1:7" x14ac:dyDescent="0.4">
      <c r="A363" s="13" t="str">
        <f ca="1">Start.listina!U113</f>
        <v/>
      </c>
      <c r="B363" s="13" t="str">
        <f ca="1">Start.listina!V113</f>
        <v xml:space="preserve"> </v>
      </c>
      <c r="C363" s="13" t="str">
        <f ca="1">Start.listina!W113</f>
        <v xml:space="preserve"> </v>
      </c>
      <c r="D363" s="13" t="str">
        <f ca="1">Start.listina!X113</f>
        <v xml:space="preserve"> </v>
      </c>
      <c r="E363" s="13">
        <f ca="1">Start.listina!Y113</f>
        <v>9999</v>
      </c>
      <c r="F363" s="13">
        <f ca="1">Start.listina!Z113</f>
        <v>0</v>
      </c>
      <c r="G363" s="4"/>
    </row>
    <row r="364" spans="1:7" x14ac:dyDescent="0.4">
      <c r="A364" s="13" t="str">
        <f ca="1">Start.listina!U114</f>
        <v/>
      </c>
      <c r="B364" s="13" t="str">
        <f ca="1">Start.listina!V114</f>
        <v xml:space="preserve"> </v>
      </c>
      <c r="C364" s="13" t="str">
        <f ca="1">Start.listina!W114</f>
        <v xml:space="preserve"> </v>
      </c>
      <c r="D364" s="13" t="str">
        <f ca="1">Start.listina!X114</f>
        <v xml:space="preserve"> </v>
      </c>
      <c r="E364" s="13">
        <f ca="1">Start.listina!Y114</f>
        <v>9999</v>
      </c>
      <c r="F364" s="13">
        <f ca="1">Start.listina!Z114</f>
        <v>0</v>
      </c>
      <c r="G364" s="4"/>
    </row>
    <row r="365" spans="1:7" x14ac:dyDescent="0.4">
      <c r="A365" s="13" t="str">
        <f ca="1">Start.listina!U115</f>
        <v/>
      </c>
      <c r="B365" s="13" t="str">
        <f ca="1">Start.listina!V115</f>
        <v xml:space="preserve"> </v>
      </c>
      <c r="C365" s="13" t="str">
        <f ca="1">Start.listina!W115</f>
        <v xml:space="preserve"> </v>
      </c>
      <c r="D365" s="13" t="str">
        <f ca="1">Start.listina!X115</f>
        <v xml:space="preserve"> </v>
      </c>
      <c r="E365" s="13">
        <f ca="1">Start.listina!Y115</f>
        <v>9999</v>
      </c>
      <c r="F365" s="13">
        <f ca="1">Start.listina!Z115</f>
        <v>0</v>
      </c>
      <c r="G365" s="4"/>
    </row>
    <row r="366" spans="1:7" x14ac:dyDescent="0.4">
      <c r="A366" s="13" t="str">
        <f ca="1">Start.listina!U116</f>
        <v/>
      </c>
      <c r="B366" s="13" t="str">
        <f ca="1">Start.listina!V116</f>
        <v xml:space="preserve"> </v>
      </c>
      <c r="C366" s="13" t="str">
        <f ca="1">Start.listina!W116</f>
        <v xml:space="preserve"> </v>
      </c>
      <c r="D366" s="13" t="str">
        <f ca="1">Start.listina!X116</f>
        <v xml:space="preserve"> </v>
      </c>
      <c r="E366" s="13">
        <f ca="1">Start.listina!Y116</f>
        <v>9999</v>
      </c>
      <c r="F366" s="13">
        <f ca="1">Start.listina!Z116</f>
        <v>0</v>
      </c>
      <c r="G366" s="4"/>
    </row>
    <row r="367" spans="1:7" x14ac:dyDescent="0.4">
      <c r="A367" s="13" t="str">
        <f ca="1">Start.listina!U117</f>
        <v/>
      </c>
      <c r="B367" s="13" t="str">
        <f ca="1">Start.listina!V117</f>
        <v xml:space="preserve"> </v>
      </c>
      <c r="C367" s="13" t="str">
        <f ca="1">Start.listina!W117</f>
        <v xml:space="preserve"> </v>
      </c>
      <c r="D367" s="13" t="str">
        <f ca="1">Start.listina!X117</f>
        <v xml:space="preserve"> </v>
      </c>
      <c r="E367" s="13">
        <f ca="1">Start.listina!Y117</f>
        <v>9999</v>
      </c>
      <c r="F367" s="13">
        <f ca="1">Start.listina!Z117</f>
        <v>0</v>
      </c>
      <c r="G367" s="4"/>
    </row>
    <row r="368" spans="1:7" x14ac:dyDescent="0.4">
      <c r="A368" s="13" t="str">
        <f ca="1">Start.listina!U118</f>
        <v/>
      </c>
      <c r="B368" s="13" t="str">
        <f ca="1">Start.listina!V118</f>
        <v xml:space="preserve"> </v>
      </c>
      <c r="C368" s="13" t="str">
        <f ca="1">Start.listina!W118</f>
        <v xml:space="preserve"> </v>
      </c>
      <c r="D368" s="13" t="str">
        <f ca="1">Start.listina!X118</f>
        <v xml:space="preserve"> </v>
      </c>
      <c r="E368" s="13">
        <f ca="1">Start.listina!Y118</f>
        <v>9999</v>
      </c>
      <c r="F368" s="13">
        <f ca="1">Start.listina!Z118</f>
        <v>0</v>
      </c>
      <c r="G368" s="4"/>
    </row>
    <row r="369" spans="1:6" x14ac:dyDescent="0.4">
      <c r="A369" s="13" t="str">
        <f ca="1">Start.listina!U119</f>
        <v/>
      </c>
      <c r="B369" s="13" t="str">
        <f ca="1">Start.listina!V119</f>
        <v xml:space="preserve"> </v>
      </c>
      <c r="C369" s="13" t="str">
        <f ca="1">Start.listina!W119</f>
        <v xml:space="preserve"> </v>
      </c>
      <c r="D369" s="13" t="str">
        <f ca="1">Start.listina!X119</f>
        <v xml:space="preserve"> </v>
      </c>
      <c r="E369" s="13">
        <f ca="1">Start.listina!Y119</f>
        <v>9999</v>
      </c>
      <c r="F369" s="13">
        <f ca="1">Start.listina!Z119</f>
        <v>0</v>
      </c>
    </row>
    <row r="370" spans="1:6" x14ac:dyDescent="0.4">
      <c r="A370" s="13" t="str">
        <f ca="1">Start.listina!U120</f>
        <v/>
      </c>
      <c r="B370" s="13" t="str">
        <f ca="1">Start.listina!V120</f>
        <v xml:space="preserve"> </v>
      </c>
      <c r="C370" s="13" t="str">
        <f ca="1">Start.listina!W120</f>
        <v xml:space="preserve"> </v>
      </c>
      <c r="D370" s="13" t="str">
        <f ca="1">Start.listina!X120</f>
        <v xml:space="preserve"> </v>
      </c>
      <c r="E370" s="13">
        <f ca="1">Start.listina!Y120</f>
        <v>9999</v>
      </c>
      <c r="F370" s="13">
        <f ca="1">Start.listina!Z120</f>
        <v>0</v>
      </c>
    </row>
    <row r="371" spans="1:6" x14ac:dyDescent="0.4">
      <c r="A371" s="13" t="str">
        <f ca="1">Start.listina!U121</f>
        <v/>
      </c>
      <c r="B371" s="13" t="str">
        <f ca="1">Start.listina!V121</f>
        <v xml:space="preserve"> </v>
      </c>
      <c r="C371" s="13" t="str">
        <f ca="1">Start.listina!W121</f>
        <v xml:space="preserve"> </v>
      </c>
      <c r="D371" s="13" t="str">
        <f ca="1">Start.listina!X121</f>
        <v xml:space="preserve"> </v>
      </c>
      <c r="E371" s="13">
        <f ca="1">Start.listina!Y121</f>
        <v>9999</v>
      </c>
      <c r="F371" s="13">
        <f ca="1">Start.listina!Z121</f>
        <v>0</v>
      </c>
    </row>
    <row r="372" spans="1:6" x14ac:dyDescent="0.4">
      <c r="A372" s="13" t="str">
        <f ca="1">Start.listina!U122</f>
        <v/>
      </c>
      <c r="B372" s="13" t="str">
        <f ca="1">Start.listina!V122</f>
        <v xml:space="preserve"> </v>
      </c>
      <c r="C372" s="13" t="str">
        <f ca="1">Start.listina!W122</f>
        <v xml:space="preserve"> </v>
      </c>
      <c r="D372" s="13" t="str">
        <f ca="1">Start.listina!X122</f>
        <v xml:space="preserve"> </v>
      </c>
      <c r="E372" s="13">
        <f ca="1">Start.listina!Y122</f>
        <v>9999</v>
      </c>
      <c r="F372" s="13">
        <f ca="1">Start.listina!Z122</f>
        <v>0</v>
      </c>
    </row>
    <row r="373" spans="1:6" x14ac:dyDescent="0.4">
      <c r="A373" s="13" t="str">
        <f ca="1">Start.listina!U123</f>
        <v/>
      </c>
      <c r="B373" s="13" t="str">
        <f ca="1">Start.listina!V123</f>
        <v xml:space="preserve"> </v>
      </c>
      <c r="C373" s="13" t="str">
        <f ca="1">Start.listina!W123</f>
        <v xml:space="preserve"> </v>
      </c>
      <c r="D373" s="13" t="str">
        <f ca="1">Start.listina!X123</f>
        <v xml:space="preserve"> </v>
      </c>
      <c r="E373" s="13">
        <f ca="1">Start.listina!Y123</f>
        <v>9999</v>
      </c>
      <c r="F373" s="13">
        <f ca="1">Start.listina!Z123</f>
        <v>0</v>
      </c>
    </row>
    <row r="374" spans="1:6" x14ac:dyDescent="0.4">
      <c r="A374" s="13" t="str">
        <f ca="1">Start.listina!U124</f>
        <v/>
      </c>
      <c r="B374" s="13" t="str">
        <f ca="1">Start.listina!V124</f>
        <v xml:space="preserve"> </v>
      </c>
      <c r="C374" s="13" t="str">
        <f ca="1">Start.listina!W124</f>
        <v xml:space="preserve"> </v>
      </c>
      <c r="D374" s="13" t="str">
        <f ca="1">Start.listina!X124</f>
        <v xml:space="preserve"> </v>
      </c>
      <c r="E374" s="13">
        <f ca="1">Start.listina!Y124</f>
        <v>9999</v>
      </c>
      <c r="F374" s="13">
        <f ca="1">Start.listina!Z124</f>
        <v>0</v>
      </c>
    </row>
    <row r="375" spans="1:6" x14ac:dyDescent="0.4">
      <c r="A375" s="13" t="str">
        <f ca="1">Start.listina!U125</f>
        <v/>
      </c>
      <c r="B375" s="13" t="str">
        <f ca="1">Start.listina!V125</f>
        <v xml:space="preserve"> </v>
      </c>
      <c r="C375" s="13" t="str">
        <f ca="1">Start.listina!W125</f>
        <v xml:space="preserve"> </v>
      </c>
      <c r="D375" s="13" t="str">
        <f ca="1">Start.listina!X125</f>
        <v xml:space="preserve"> </v>
      </c>
      <c r="E375" s="13">
        <f ca="1">Start.listina!Y125</f>
        <v>9999</v>
      </c>
      <c r="F375" s="13">
        <f ca="1">Start.listina!Z125</f>
        <v>0</v>
      </c>
    </row>
    <row r="376" spans="1:6" x14ac:dyDescent="0.4">
      <c r="A376" s="13" t="str">
        <f ca="1">Start.listina!U126</f>
        <v/>
      </c>
      <c r="B376" s="13" t="str">
        <f ca="1">Start.listina!V126</f>
        <v xml:space="preserve"> </v>
      </c>
      <c r="C376" s="13" t="str">
        <f ca="1">Start.listina!W126</f>
        <v xml:space="preserve"> </v>
      </c>
      <c r="D376" s="13" t="str">
        <f ca="1">Start.listina!X126</f>
        <v xml:space="preserve"> </v>
      </c>
      <c r="E376" s="13">
        <f ca="1">Start.listina!Y126</f>
        <v>9999</v>
      </c>
      <c r="F376" s="13">
        <f ca="1">Start.listina!Z126</f>
        <v>0</v>
      </c>
    </row>
    <row r="377" spans="1:6" x14ac:dyDescent="0.4">
      <c r="A377" s="13" t="str">
        <f ca="1">Start.listina!U127</f>
        <v/>
      </c>
      <c r="B377" s="13" t="str">
        <f ca="1">Start.listina!V127</f>
        <v xml:space="preserve"> </v>
      </c>
      <c r="C377" s="13" t="str">
        <f ca="1">Start.listina!W127</f>
        <v xml:space="preserve"> </v>
      </c>
      <c r="D377" s="13" t="str">
        <f ca="1">Start.listina!X127</f>
        <v xml:space="preserve"> </v>
      </c>
      <c r="E377" s="13">
        <f ca="1">Start.listina!Y127</f>
        <v>9999</v>
      </c>
      <c r="F377" s="13">
        <f ca="1">Start.listina!Z127</f>
        <v>0</v>
      </c>
    </row>
    <row r="378" spans="1:6" x14ac:dyDescent="0.4">
      <c r="A378" s="13" t="str">
        <f ca="1">Start.listina!U128</f>
        <v/>
      </c>
      <c r="B378" s="13" t="str">
        <f ca="1">Start.listina!V128</f>
        <v xml:space="preserve"> </v>
      </c>
      <c r="C378" s="13" t="str">
        <f ca="1">Start.listina!W128</f>
        <v xml:space="preserve"> </v>
      </c>
      <c r="D378" s="13" t="str">
        <f ca="1">Start.listina!X128</f>
        <v xml:space="preserve"> </v>
      </c>
      <c r="E378" s="13">
        <f ca="1">Start.listina!Y128</f>
        <v>9999</v>
      </c>
      <c r="F378" s="13">
        <f ca="1">Start.listina!Z128</f>
        <v>0</v>
      </c>
    </row>
    <row r="379" spans="1:6" x14ac:dyDescent="0.4">
      <c r="A379" s="13" t="str">
        <f ca="1">Start.listina!U129</f>
        <v/>
      </c>
      <c r="B379" s="13" t="str">
        <f ca="1">Start.listina!V129</f>
        <v xml:space="preserve"> </v>
      </c>
      <c r="C379" s="13" t="str">
        <f ca="1">Start.listina!W129</f>
        <v xml:space="preserve"> </v>
      </c>
      <c r="D379" s="13" t="str">
        <f ca="1">Start.listina!X129</f>
        <v xml:space="preserve"> </v>
      </c>
      <c r="E379" s="13">
        <f ca="1">Start.listina!Y129</f>
        <v>9999</v>
      </c>
      <c r="F379" s="13">
        <f ca="1">Start.listina!Z129</f>
        <v>0</v>
      </c>
    </row>
    <row r="380" spans="1:6" x14ac:dyDescent="0.4">
      <c r="A380" s="13" t="str">
        <f ca="1">Start.listina!U130</f>
        <v/>
      </c>
      <c r="B380" s="13" t="str">
        <f ca="1">Start.listina!V130</f>
        <v xml:space="preserve"> </v>
      </c>
      <c r="C380" s="13" t="str">
        <f ca="1">Start.listina!W130</f>
        <v xml:space="preserve"> </v>
      </c>
      <c r="D380" s="13" t="str">
        <f ca="1">Start.listina!X130</f>
        <v xml:space="preserve"> </v>
      </c>
      <c r="E380" s="13">
        <f ca="1">Start.listina!Y130</f>
        <v>9999</v>
      </c>
      <c r="F380" s="13">
        <f ca="1">Start.listina!Z130</f>
        <v>0</v>
      </c>
    </row>
    <row r="381" spans="1:6" x14ac:dyDescent="0.4">
      <c r="A381" s="13" t="str">
        <f ca="1">Start.listina!U131</f>
        <v/>
      </c>
      <c r="B381" s="13" t="str">
        <f ca="1">Start.listina!V131</f>
        <v xml:space="preserve"> </v>
      </c>
      <c r="C381" s="13" t="str">
        <f ca="1">Start.listina!W131</f>
        <v xml:space="preserve"> </v>
      </c>
      <c r="D381" s="13" t="str">
        <f ca="1">Start.listina!X131</f>
        <v xml:space="preserve"> </v>
      </c>
      <c r="E381" s="13">
        <f ca="1">Start.listina!Y131</f>
        <v>9999</v>
      </c>
      <c r="F381" s="13">
        <f ca="1">Start.listina!Z131</f>
        <v>0</v>
      </c>
    </row>
    <row r="382" spans="1:6" x14ac:dyDescent="0.4">
      <c r="A382" s="13" t="str">
        <f ca="1">Start.listina!U132</f>
        <v/>
      </c>
      <c r="B382" s="13" t="str">
        <f ca="1">Start.listina!V132</f>
        <v xml:space="preserve"> </v>
      </c>
      <c r="C382" s="13" t="str">
        <f ca="1">Start.listina!W132</f>
        <v xml:space="preserve"> </v>
      </c>
      <c r="D382" s="13" t="str">
        <f ca="1">Start.listina!X132</f>
        <v xml:space="preserve"> </v>
      </c>
      <c r="E382" s="13">
        <f ca="1">Start.listina!Y132</f>
        <v>9999</v>
      </c>
      <c r="F382" s="13">
        <f ca="1">Start.listina!Z132</f>
        <v>0</v>
      </c>
    </row>
    <row r="383" spans="1:6" x14ac:dyDescent="0.4">
      <c r="A383" s="13" t="str">
        <f ca="1">Start.listina!U133</f>
        <v/>
      </c>
      <c r="B383" s="13" t="str">
        <f ca="1">Start.listina!V133</f>
        <v xml:space="preserve"> </v>
      </c>
      <c r="C383" s="13" t="str">
        <f ca="1">Start.listina!W133</f>
        <v xml:space="preserve"> </v>
      </c>
      <c r="D383" s="13" t="str">
        <f ca="1">Start.listina!X133</f>
        <v xml:space="preserve"> </v>
      </c>
      <c r="E383" s="13">
        <f ca="1">Start.listina!Y133</f>
        <v>9999</v>
      </c>
      <c r="F383" s="13">
        <f ca="1">Start.listina!Z133</f>
        <v>0</v>
      </c>
    </row>
    <row r="384" spans="1:6" x14ac:dyDescent="0.4">
      <c r="A384" s="13" t="str">
        <f ca="1">Start.listina!U134</f>
        <v/>
      </c>
      <c r="B384" s="13" t="str">
        <f ca="1">Start.listina!V134</f>
        <v xml:space="preserve"> </v>
      </c>
      <c r="C384" s="13" t="str">
        <f ca="1">Start.listina!W134</f>
        <v xml:space="preserve"> </v>
      </c>
      <c r="D384" s="13" t="str">
        <f ca="1">Start.listina!X134</f>
        <v xml:space="preserve"> </v>
      </c>
      <c r="E384" s="13">
        <f ca="1">Start.listina!Y134</f>
        <v>9999</v>
      </c>
      <c r="F384" s="13">
        <f ca="1">Start.listina!Z134</f>
        <v>0</v>
      </c>
    </row>
    <row r="385" spans="1:6" x14ac:dyDescent="0.4">
      <c r="A385" s="13" t="str">
        <f ca="1">Start.listina!U135</f>
        <v/>
      </c>
      <c r="B385" s="13" t="str">
        <f ca="1">Start.listina!V135</f>
        <v xml:space="preserve"> </v>
      </c>
      <c r="C385" s="13" t="str">
        <f ca="1">Start.listina!W135</f>
        <v xml:space="preserve"> </v>
      </c>
      <c r="D385" s="13" t="str">
        <f ca="1">Start.listina!X135</f>
        <v xml:space="preserve"> </v>
      </c>
      <c r="E385" s="13">
        <f ca="1">Start.listina!Y135</f>
        <v>9999</v>
      </c>
      <c r="F385" s="13">
        <f ca="1">Start.listina!Z135</f>
        <v>0</v>
      </c>
    </row>
    <row r="386" spans="1:6" x14ac:dyDescent="0.4">
      <c r="A386" s="13" t="str">
        <f ca="1">Start.listina!U136</f>
        <v/>
      </c>
      <c r="B386" s="13" t="str">
        <f ca="1">Start.listina!V136</f>
        <v xml:space="preserve"> </v>
      </c>
      <c r="C386" s="13" t="str">
        <f ca="1">Start.listina!W136</f>
        <v xml:space="preserve"> </v>
      </c>
      <c r="D386" s="13" t="str">
        <f ca="1">Start.listina!X136</f>
        <v xml:space="preserve"> </v>
      </c>
      <c r="E386" s="13">
        <f ca="1">Start.listina!Y136</f>
        <v>9999</v>
      </c>
      <c r="F386" s="13">
        <f ca="1">Start.listina!Z136</f>
        <v>0</v>
      </c>
    </row>
    <row r="387" spans="1:6" x14ac:dyDescent="0.4">
      <c r="A387" s="13" t="str">
        <f ca="1">Start.listina!U137</f>
        <v/>
      </c>
      <c r="B387" s="13" t="str">
        <f ca="1">Start.listina!V137</f>
        <v xml:space="preserve"> </v>
      </c>
      <c r="C387" s="13" t="str">
        <f ca="1">Start.listina!W137</f>
        <v xml:space="preserve"> </v>
      </c>
      <c r="D387" s="13" t="str">
        <f ca="1">Start.listina!X137</f>
        <v xml:space="preserve"> </v>
      </c>
      <c r="E387" s="13">
        <f ca="1">Start.listina!Y137</f>
        <v>9999</v>
      </c>
      <c r="F387" s="13">
        <f ca="1">Start.listina!Z137</f>
        <v>0</v>
      </c>
    </row>
    <row r="388" spans="1:6" x14ac:dyDescent="0.4">
      <c r="A388" s="13" t="str">
        <f ca="1">Start.listina!U138</f>
        <v/>
      </c>
      <c r="B388" s="13" t="str">
        <f ca="1">Start.listina!V138</f>
        <v xml:space="preserve"> </v>
      </c>
      <c r="C388" s="13" t="str">
        <f ca="1">Start.listina!W138</f>
        <v xml:space="preserve"> </v>
      </c>
      <c r="D388" s="13" t="str">
        <f ca="1">Start.listina!X138</f>
        <v xml:space="preserve"> </v>
      </c>
      <c r="E388" s="13">
        <f ca="1">Start.listina!Y138</f>
        <v>9999</v>
      </c>
      <c r="F388" s="13">
        <f ca="1">Start.listina!Z138</f>
        <v>0</v>
      </c>
    </row>
    <row r="389" spans="1:6" x14ac:dyDescent="0.4">
      <c r="A389" s="13" t="str">
        <f ca="1">Start.listina!AA11</f>
        <v/>
      </c>
      <c r="B389" s="13" t="str">
        <f ca="1">Start.listina!AB11</f>
        <v xml:space="preserve"> </v>
      </c>
      <c r="C389" s="13" t="str">
        <f ca="1">Start.listina!AC11</f>
        <v xml:space="preserve"> </v>
      </c>
      <c r="D389" s="13" t="str">
        <f ca="1">Start.listina!AD11</f>
        <v xml:space="preserve"> </v>
      </c>
      <c r="E389" s="13">
        <f ca="1">Start.listina!AE11</f>
        <v>9999</v>
      </c>
      <c r="F389" s="13">
        <f ca="1">Start.listina!AF11</f>
        <v>0</v>
      </c>
    </row>
    <row r="390" spans="1:6" x14ac:dyDescent="0.4">
      <c r="A390" s="13" t="str">
        <f ca="1">Start.listina!AA12</f>
        <v/>
      </c>
      <c r="B390" s="13" t="str">
        <f ca="1">Start.listina!AB12</f>
        <v xml:space="preserve"> </v>
      </c>
      <c r="C390" s="13" t="str">
        <f ca="1">Start.listina!AC12</f>
        <v xml:space="preserve"> </v>
      </c>
      <c r="D390" s="13" t="str">
        <f ca="1">Start.listina!AD12</f>
        <v xml:space="preserve"> </v>
      </c>
      <c r="E390" s="13">
        <f ca="1">Start.listina!AE12</f>
        <v>9999</v>
      </c>
      <c r="F390" s="13">
        <f ca="1">Start.listina!AF12</f>
        <v>0</v>
      </c>
    </row>
    <row r="391" spans="1:6" x14ac:dyDescent="0.4">
      <c r="A391" s="13" t="str">
        <f ca="1">Start.listina!AA13</f>
        <v/>
      </c>
      <c r="B391" s="13" t="str">
        <f ca="1">Start.listina!AB13</f>
        <v xml:space="preserve"> </v>
      </c>
      <c r="C391" s="13" t="str">
        <f ca="1">Start.listina!AC13</f>
        <v xml:space="preserve"> </v>
      </c>
      <c r="D391" s="13" t="str">
        <f ca="1">Start.listina!AD13</f>
        <v xml:space="preserve"> </v>
      </c>
      <c r="E391" s="13">
        <f ca="1">Start.listina!AE13</f>
        <v>9999</v>
      </c>
      <c r="F391" s="13">
        <f ca="1">Start.listina!AF13</f>
        <v>0</v>
      </c>
    </row>
    <row r="392" spans="1:6" x14ac:dyDescent="0.4">
      <c r="A392" s="13" t="str">
        <f ca="1">Start.listina!AA14</f>
        <v/>
      </c>
      <c r="B392" s="13" t="str">
        <f ca="1">Start.listina!AB14</f>
        <v xml:space="preserve"> </v>
      </c>
      <c r="C392" s="13" t="str">
        <f ca="1">Start.listina!AC14</f>
        <v xml:space="preserve"> </v>
      </c>
      <c r="D392" s="13" t="str">
        <f ca="1">Start.listina!AD14</f>
        <v xml:space="preserve"> </v>
      </c>
      <c r="E392" s="13">
        <f ca="1">Start.listina!AE14</f>
        <v>9999</v>
      </c>
      <c r="F392" s="13">
        <f ca="1">Start.listina!AF14</f>
        <v>0</v>
      </c>
    </row>
    <row r="393" spans="1:6" x14ac:dyDescent="0.4">
      <c r="A393" s="13" t="str">
        <f ca="1">Start.listina!AA15</f>
        <v/>
      </c>
      <c r="B393" s="13" t="str">
        <f ca="1">Start.listina!AB15</f>
        <v xml:space="preserve"> </v>
      </c>
      <c r="C393" s="13" t="str">
        <f ca="1">Start.listina!AC15</f>
        <v xml:space="preserve"> </v>
      </c>
      <c r="D393" s="13" t="str">
        <f ca="1">Start.listina!AD15</f>
        <v xml:space="preserve"> </v>
      </c>
      <c r="E393" s="13">
        <f ca="1">Start.listina!AE15</f>
        <v>9999</v>
      </c>
      <c r="F393" s="13">
        <f ca="1">Start.listina!AF15</f>
        <v>0</v>
      </c>
    </row>
    <row r="394" spans="1:6" x14ac:dyDescent="0.4">
      <c r="A394" s="13" t="str">
        <f ca="1">Start.listina!AA16</f>
        <v/>
      </c>
      <c r="B394" s="13" t="str">
        <f ca="1">Start.listina!AB16</f>
        <v xml:space="preserve"> </v>
      </c>
      <c r="C394" s="13" t="str">
        <f ca="1">Start.listina!AC16</f>
        <v xml:space="preserve"> </v>
      </c>
      <c r="D394" s="13" t="str">
        <f ca="1">Start.listina!AD16</f>
        <v xml:space="preserve"> </v>
      </c>
      <c r="E394" s="13">
        <f ca="1">Start.listina!AE16</f>
        <v>9999</v>
      </c>
      <c r="F394" s="13">
        <f ca="1">Start.listina!AF16</f>
        <v>0</v>
      </c>
    </row>
    <row r="395" spans="1:6" x14ac:dyDescent="0.4">
      <c r="A395" s="13" t="str">
        <f ca="1">Start.listina!AA17</f>
        <v/>
      </c>
      <c r="B395" s="13" t="str">
        <f ca="1">Start.listina!AB17</f>
        <v xml:space="preserve"> </v>
      </c>
      <c r="C395" s="13" t="str">
        <f ca="1">Start.listina!AC17</f>
        <v xml:space="preserve"> </v>
      </c>
      <c r="D395" s="13" t="str">
        <f ca="1">Start.listina!AD17</f>
        <v xml:space="preserve"> </v>
      </c>
      <c r="E395" s="13">
        <f ca="1">Start.listina!AE17</f>
        <v>9999</v>
      </c>
      <c r="F395" s="13">
        <f ca="1">Start.listina!AF17</f>
        <v>0</v>
      </c>
    </row>
    <row r="396" spans="1:6" x14ac:dyDescent="0.4">
      <c r="A396" s="13" t="str">
        <f ca="1">Start.listina!AA18</f>
        <v/>
      </c>
      <c r="B396" s="13" t="str">
        <f ca="1">Start.listina!AB18</f>
        <v xml:space="preserve"> </v>
      </c>
      <c r="C396" s="13" t="str">
        <f ca="1">Start.listina!AC18</f>
        <v xml:space="preserve"> </v>
      </c>
      <c r="D396" s="13" t="str">
        <f ca="1">Start.listina!AD18</f>
        <v xml:space="preserve"> </v>
      </c>
      <c r="E396" s="13">
        <f ca="1">Start.listina!AE18</f>
        <v>9999</v>
      </c>
      <c r="F396" s="13">
        <f ca="1">Start.listina!AF18</f>
        <v>0</v>
      </c>
    </row>
    <row r="397" spans="1:6" x14ac:dyDescent="0.4">
      <c r="A397" s="13" t="str">
        <f ca="1">Start.listina!AA19</f>
        <v/>
      </c>
      <c r="B397" s="13" t="str">
        <f ca="1">Start.listina!AB19</f>
        <v xml:space="preserve"> </v>
      </c>
      <c r="C397" s="13" t="str">
        <f ca="1">Start.listina!AC19</f>
        <v xml:space="preserve"> </v>
      </c>
      <c r="D397" s="13" t="str">
        <f ca="1">Start.listina!AD19</f>
        <v xml:space="preserve"> </v>
      </c>
      <c r="E397" s="13">
        <f ca="1">Start.listina!AE19</f>
        <v>9999</v>
      </c>
      <c r="F397" s="13">
        <f ca="1">Start.listina!AF19</f>
        <v>0</v>
      </c>
    </row>
    <row r="398" spans="1:6" x14ac:dyDescent="0.4">
      <c r="A398" s="13" t="str">
        <f ca="1">Start.listina!AA20</f>
        <v/>
      </c>
      <c r="B398" s="13" t="str">
        <f ca="1">Start.listina!AB20</f>
        <v xml:space="preserve"> </v>
      </c>
      <c r="C398" s="13" t="str">
        <f ca="1">Start.listina!AC20</f>
        <v xml:space="preserve"> </v>
      </c>
      <c r="D398" s="13" t="str">
        <f ca="1">Start.listina!AD20</f>
        <v xml:space="preserve"> </v>
      </c>
      <c r="E398" s="13">
        <f ca="1">Start.listina!AE20</f>
        <v>9999</v>
      </c>
      <c r="F398" s="13">
        <f ca="1">Start.listina!AF20</f>
        <v>0</v>
      </c>
    </row>
    <row r="399" spans="1:6" x14ac:dyDescent="0.4">
      <c r="A399" s="13" t="str">
        <f ca="1">Start.listina!AA21</f>
        <v/>
      </c>
      <c r="B399" s="13" t="str">
        <f ca="1">Start.listina!AB21</f>
        <v xml:space="preserve"> </v>
      </c>
      <c r="C399" s="13" t="str">
        <f ca="1">Start.listina!AC21</f>
        <v xml:space="preserve"> </v>
      </c>
      <c r="D399" s="13" t="str">
        <f ca="1">Start.listina!AD21</f>
        <v xml:space="preserve"> </v>
      </c>
      <c r="E399" s="13">
        <f ca="1">Start.listina!AE21</f>
        <v>9999</v>
      </c>
      <c r="F399" s="13">
        <f ca="1">Start.listina!AF21</f>
        <v>0</v>
      </c>
    </row>
    <row r="400" spans="1:6" x14ac:dyDescent="0.4">
      <c r="A400" s="13" t="str">
        <f ca="1">Start.listina!AA22</f>
        <v/>
      </c>
      <c r="B400" s="13" t="str">
        <f ca="1">Start.listina!AB22</f>
        <v xml:space="preserve"> </v>
      </c>
      <c r="C400" s="13" t="str">
        <f ca="1">Start.listina!AC22</f>
        <v xml:space="preserve"> </v>
      </c>
      <c r="D400" s="13" t="str">
        <f ca="1">Start.listina!AD22</f>
        <v xml:space="preserve"> </v>
      </c>
      <c r="E400" s="13">
        <f ca="1">Start.listina!AE22</f>
        <v>9999</v>
      </c>
      <c r="F400" s="13">
        <f ca="1">Start.listina!AF22</f>
        <v>0</v>
      </c>
    </row>
    <row r="401" spans="1:6" x14ac:dyDescent="0.4">
      <c r="A401" s="13" t="str">
        <f ca="1">Start.listina!AA23</f>
        <v/>
      </c>
      <c r="B401" s="13" t="str">
        <f ca="1">Start.listina!AB23</f>
        <v xml:space="preserve"> </v>
      </c>
      <c r="C401" s="13" t="str">
        <f ca="1">Start.listina!AC23</f>
        <v xml:space="preserve"> </v>
      </c>
      <c r="D401" s="13" t="str">
        <f ca="1">Start.listina!AD23</f>
        <v xml:space="preserve"> </v>
      </c>
      <c r="E401" s="13">
        <f ca="1">Start.listina!AE23</f>
        <v>9999</v>
      </c>
      <c r="F401" s="13">
        <f ca="1">Start.listina!AF23</f>
        <v>0</v>
      </c>
    </row>
    <row r="402" spans="1:6" x14ac:dyDescent="0.4">
      <c r="A402" s="13" t="str">
        <f ca="1">Start.listina!AA24</f>
        <v/>
      </c>
      <c r="B402" s="13" t="str">
        <f ca="1">Start.listina!AB24</f>
        <v xml:space="preserve"> </v>
      </c>
      <c r="C402" s="13" t="str">
        <f ca="1">Start.listina!AC24</f>
        <v xml:space="preserve"> </v>
      </c>
      <c r="D402" s="13" t="str">
        <f ca="1">Start.listina!AD24</f>
        <v xml:space="preserve"> </v>
      </c>
      <c r="E402" s="13">
        <f ca="1">Start.listina!AE24</f>
        <v>9999</v>
      </c>
      <c r="F402" s="13">
        <f ca="1">Start.listina!AF24</f>
        <v>0</v>
      </c>
    </row>
    <row r="403" spans="1:6" x14ac:dyDescent="0.4">
      <c r="A403" s="13" t="str">
        <f ca="1">Start.listina!AA25</f>
        <v/>
      </c>
      <c r="B403" s="13" t="str">
        <f ca="1">Start.listina!AB25</f>
        <v xml:space="preserve"> </v>
      </c>
      <c r="C403" s="13" t="str">
        <f ca="1">Start.listina!AC25</f>
        <v xml:space="preserve"> </v>
      </c>
      <c r="D403" s="13" t="str">
        <f ca="1">Start.listina!AD25</f>
        <v xml:space="preserve"> </v>
      </c>
      <c r="E403" s="13">
        <f ca="1">Start.listina!AE25</f>
        <v>9999</v>
      </c>
      <c r="F403" s="13">
        <f ca="1">Start.listina!AF25</f>
        <v>0</v>
      </c>
    </row>
    <row r="404" spans="1:6" x14ac:dyDescent="0.4">
      <c r="A404" s="13" t="str">
        <f ca="1">Start.listina!AA26</f>
        <v/>
      </c>
      <c r="B404" s="13" t="str">
        <f ca="1">Start.listina!AB26</f>
        <v xml:space="preserve"> </v>
      </c>
      <c r="C404" s="13" t="str">
        <f ca="1">Start.listina!AC26</f>
        <v xml:space="preserve"> </v>
      </c>
      <c r="D404" s="13" t="str">
        <f ca="1">Start.listina!AD26</f>
        <v xml:space="preserve"> </v>
      </c>
      <c r="E404" s="13">
        <f ca="1">Start.listina!AE26</f>
        <v>9999</v>
      </c>
      <c r="F404" s="13">
        <f ca="1">Start.listina!AF26</f>
        <v>0</v>
      </c>
    </row>
    <row r="405" spans="1:6" x14ac:dyDescent="0.4">
      <c r="A405" s="13" t="str">
        <f ca="1">Start.listina!AA27</f>
        <v/>
      </c>
      <c r="B405" s="13" t="str">
        <f ca="1">Start.listina!AB27</f>
        <v xml:space="preserve"> </v>
      </c>
      <c r="C405" s="13" t="str">
        <f ca="1">Start.listina!AC27</f>
        <v xml:space="preserve"> </v>
      </c>
      <c r="D405" s="13" t="str">
        <f ca="1">Start.listina!AD27</f>
        <v xml:space="preserve"> </v>
      </c>
      <c r="E405" s="13">
        <f ca="1">Start.listina!AE27</f>
        <v>9999</v>
      </c>
      <c r="F405" s="13">
        <f ca="1">Start.listina!AF27</f>
        <v>0</v>
      </c>
    </row>
    <row r="406" spans="1:6" x14ac:dyDescent="0.4">
      <c r="A406" s="13" t="str">
        <f ca="1">Start.listina!AA28</f>
        <v/>
      </c>
      <c r="B406" s="13" t="str">
        <f ca="1">Start.listina!AB28</f>
        <v xml:space="preserve"> </v>
      </c>
      <c r="C406" s="13" t="str">
        <f ca="1">Start.listina!AC28</f>
        <v xml:space="preserve"> </v>
      </c>
      <c r="D406" s="13" t="str">
        <f ca="1">Start.listina!AD28</f>
        <v xml:space="preserve"> </v>
      </c>
      <c r="E406" s="13">
        <f ca="1">Start.listina!AE28</f>
        <v>9999</v>
      </c>
      <c r="F406" s="13">
        <f ca="1">Start.listina!AF28</f>
        <v>0</v>
      </c>
    </row>
    <row r="407" spans="1:6" x14ac:dyDescent="0.4">
      <c r="A407" s="13" t="str">
        <f ca="1">Start.listina!AA29</f>
        <v/>
      </c>
      <c r="B407" s="13" t="str">
        <f ca="1">Start.listina!AB29</f>
        <v xml:space="preserve"> </v>
      </c>
      <c r="C407" s="13" t="str">
        <f ca="1">Start.listina!AC29</f>
        <v xml:space="preserve"> </v>
      </c>
      <c r="D407" s="13" t="str">
        <f ca="1">Start.listina!AD29</f>
        <v xml:space="preserve"> </v>
      </c>
      <c r="E407" s="13">
        <f ca="1">Start.listina!AE29</f>
        <v>9999</v>
      </c>
      <c r="F407" s="13">
        <f ca="1">Start.listina!AF29</f>
        <v>0</v>
      </c>
    </row>
    <row r="408" spans="1:6" x14ac:dyDescent="0.4">
      <c r="A408" s="13" t="str">
        <f ca="1">Start.listina!AA30</f>
        <v/>
      </c>
      <c r="B408" s="13" t="str">
        <f ca="1">Start.listina!AB30</f>
        <v xml:space="preserve"> </v>
      </c>
      <c r="C408" s="13" t="str">
        <f ca="1">Start.listina!AC30</f>
        <v xml:space="preserve"> </v>
      </c>
      <c r="D408" s="13" t="str">
        <f ca="1">Start.listina!AD30</f>
        <v xml:space="preserve"> </v>
      </c>
      <c r="E408" s="13">
        <f ca="1">Start.listina!AE30</f>
        <v>9999</v>
      </c>
      <c r="F408" s="13">
        <f ca="1">Start.listina!AF30</f>
        <v>0</v>
      </c>
    </row>
    <row r="409" spans="1:6" x14ac:dyDescent="0.4">
      <c r="A409" s="13" t="str">
        <f ca="1">Start.listina!AA31</f>
        <v/>
      </c>
      <c r="B409" s="13" t="str">
        <f ca="1">Start.listina!AB31</f>
        <v xml:space="preserve"> </v>
      </c>
      <c r="C409" s="13" t="str">
        <f ca="1">Start.listina!AC31</f>
        <v xml:space="preserve"> </v>
      </c>
      <c r="D409" s="13" t="str">
        <f ca="1">Start.listina!AD31</f>
        <v xml:space="preserve"> </v>
      </c>
      <c r="E409" s="13">
        <f ca="1">Start.listina!AE31</f>
        <v>9999</v>
      </c>
      <c r="F409" s="13">
        <f ca="1">Start.listina!AF31</f>
        <v>0</v>
      </c>
    </row>
    <row r="410" spans="1:6" x14ac:dyDescent="0.4">
      <c r="A410" s="13" t="str">
        <f ca="1">Start.listina!AA32</f>
        <v/>
      </c>
      <c r="B410" s="13" t="str">
        <f ca="1">Start.listina!AB32</f>
        <v xml:space="preserve"> </v>
      </c>
      <c r="C410" s="13" t="str">
        <f ca="1">Start.listina!AC32</f>
        <v xml:space="preserve"> </v>
      </c>
      <c r="D410" s="13" t="str">
        <f ca="1">Start.listina!AD32</f>
        <v xml:space="preserve"> </v>
      </c>
      <c r="E410" s="13">
        <f ca="1">Start.listina!AE32</f>
        <v>9999</v>
      </c>
      <c r="F410" s="13">
        <f ca="1">Start.listina!AF32</f>
        <v>0</v>
      </c>
    </row>
    <row r="411" spans="1:6" x14ac:dyDescent="0.4">
      <c r="A411" s="13" t="str">
        <f ca="1">Start.listina!AA33</f>
        <v/>
      </c>
      <c r="B411" s="13" t="str">
        <f ca="1">Start.listina!AB33</f>
        <v xml:space="preserve"> </v>
      </c>
      <c r="C411" s="13" t="str">
        <f ca="1">Start.listina!AC33</f>
        <v xml:space="preserve"> </v>
      </c>
      <c r="D411" s="13" t="str">
        <f ca="1">Start.listina!AD33</f>
        <v xml:space="preserve"> </v>
      </c>
      <c r="E411" s="13">
        <f ca="1">Start.listina!AE33</f>
        <v>9999</v>
      </c>
      <c r="F411" s="13">
        <f ca="1">Start.listina!AF33</f>
        <v>0</v>
      </c>
    </row>
    <row r="412" spans="1:6" x14ac:dyDescent="0.4">
      <c r="A412" s="13" t="str">
        <f ca="1">Start.listina!AA34</f>
        <v/>
      </c>
      <c r="B412" s="13" t="str">
        <f ca="1">Start.listina!AB34</f>
        <v xml:space="preserve"> </v>
      </c>
      <c r="C412" s="13" t="str">
        <f ca="1">Start.listina!AC34</f>
        <v xml:space="preserve"> </v>
      </c>
      <c r="D412" s="13" t="str">
        <f ca="1">Start.listina!AD34</f>
        <v xml:space="preserve"> </v>
      </c>
      <c r="E412" s="13">
        <f ca="1">Start.listina!AE34</f>
        <v>9999</v>
      </c>
      <c r="F412" s="13">
        <f ca="1">Start.listina!AF34</f>
        <v>0</v>
      </c>
    </row>
    <row r="413" spans="1:6" x14ac:dyDescent="0.4">
      <c r="A413" s="13" t="str">
        <f ca="1">Start.listina!AA35</f>
        <v/>
      </c>
      <c r="B413" s="13" t="str">
        <f ca="1">Start.listina!AB35</f>
        <v xml:space="preserve"> </v>
      </c>
      <c r="C413" s="13" t="str">
        <f ca="1">Start.listina!AC35</f>
        <v xml:space="preserve"> </v>
      </c>
      <c r="D413" s="13" t="str">
        <f ca="1">Start.listina!AD35</f>
        <v xml:space="preserve"> </v>
      </c>
      <c r="E413" s="13">
        <f ca="1">Start.listina!AE35</f>
        <v>9999</v>
      </c>
      <c r="F413" s="13">
        <f ca="1">Start.listina!AF35</f>
        <v>0</v>
      </c>
    </row>
    <row r="414" spans="1:6" x14ac:dyDescent="0.4">
      <c r="A414" s="13" t="str">
        <f ca="1">Start.listina!AA36</f>
        <v/>
      </c>
      <c r="B414" s="13" t="str">
        <f ca="1">Start.listina!AB36</f>
        <v xml:space="preserve"> </v>
      </c>
      <c r="C414" s="13" t="str">
        <f ca="1">Start.listina!AC36</f>
        <v xml:space="preserve"> </v>
      </c>
      <c r="D414" s="13" t="str">
        <f ca="1">Start.listina!AD36</f>
        <v xml:space="preserve"> </v>
      </c>
      <c r="E414" s="13">
        <f ca="1">Start.listina!AE36</f>
        <v>9999</v>
      </c>
      <c r="F414" s="13">
        <f ca="1">Start.listina!AF36</f>
        <v>0</v>
      </c>
    </row>
    <row r="415" spans="1:6" x14ac:dyDescent="0.4">
      <c r="A415" s="13" t="str">
        <f ca="1">Start.listina!AA37</f>
        <v/>
      </c>
      <c r="B415" s="13" t="str">
        <f ca="1">Start.listina!AB37</f>
        <v xml:space="preserve"> </v>
      </c>
      <c r="C415" s="13" t="str">
        <f ca="1">Start.listina!AC37</f>
        <v xml:space="preserve"> </v>
      </c>
      <c r="D415" s="13" t="str">
        <f ca="1">Start.listina!AD37</f>
        <v xml:space="preserve"> </v>
      </c>
      <c r="E415" s="13">
        <f ca="1">Start.listina!AE37</f>
        <v>9999</v>
      </c>
      <c r="F415" s="13">
        <f ca="1">Start.listina!AF37</f>
        <v>0</v>
      </c>
    </row>
    <row r="416" spans="1:6" x14ac:dyDescent="0.4">
      <c r="A416" s="13" t="str">
        <f ca="1">Start.listina!AA38</f>
        <v/>
      </c>
      <c r="B416" s="13" t="str">
        <f ca="1">Start.listina!AB38</f>
        <v xml:space="preserve"> </v>
      </c>
      <c r="C416" s="13" t="str">
        <f ca="1">Start.listina!AC38</f>
        <v xml:space="preserve"> </v>
      </c>
      <c r="D416" s="13" t="str">
        <f ca="1">Start.listina!AD38</f>
        <v xml:space="preserve"> </v>
      </c>
      <c r="E416" s="13">
        <f ca="1">Start.listina!AE38</f>
        <v>9999</v>
      </c>
      <c r="F416" s="13">
        <f ca="1">Start.listina!AF38</f>
        <v>0</v>
      </c>
    </row>
    <row r="417" spans="1:6" x14ac:dyDescent="0.4">
      <c r="A417" s="13" t="str">
        <f ca="1">Start.listina!AA39</f>
        <v/>
      </c>
      <c r="B417" s="13" t="str">
        <f ca="1">Start.listina!AB39</f>
        <v xml:space="preserve"> </v>
      </c>
      <c r="C417" s="13" t="str">
        <f ca="1">Start.listina!AC39</f>
        <v xml:space="preserve"> </v>
      </c>
      <c r="D417" s="13" t="str">
        <f ca="1">Start.listina!AD39</f>
        <v xml:space="preserve"> </v>
      </c>
      <c r="E417" s="13">
        <f ca="1">Start.listina!AE39</f>
        <v>9999</v>
      </c>
      <c r="F417" s="13">
        <f ca="1">Start.listina!AF39</f>
        <v>0</v>
      </c>
    </row>
    <row r="418" spans="1:6" x14ac:dyDescent="0.4">
      <c r="A418" s="13" t="str">
        <f ca="1">Start.listina!AA40</f>
        <v/>
      </c>
      <c r="B418" s="13" t="str">
        <f ca="1">Start.listina!AB40</f>
        <v xml:space="preserve"> </v>
      </c>
      <c r="C418" s="13" t="str">
        <f ca="1">Start.listina!AC40</f>
        <v xml:space="preserve"> </v>
      </c>
      <c r="D418" s="13" t="str">
        <f ca="1">Start.listina!AD40</f>
        <v xml:space="preserve"> </v>
      </c>
      <c r="E418" s="13">
        <f ca="1">Start.listina!AE40</f>
        <v>9999</v>
      </c>
      <c r="F418" s="13">
        <f ca="1">Start.listina!AF40</f>
        <v>0</v>
      </c>
    </row>
    <row r="419" spans="1:6" x14ac:dyDescent="0.4">
      <c r="A419" s="13" t="str">
        <f ca="1">Start.listina!AA41</f>
        <v/>
      </c>
      <c r="B419" s="13" t="str">
        <f ca="1">Start.listina!AB41</f>
        <v xml:space="preserve"> </v>
      </c>
      <c r="C419" s="13" t="str">
        <f ca="1">Start.listina!AC41</f>
        <v xml:space="preserve"> </v>
      </c>
      <c r="D419" s="13" t="str">
        <f ca="1">Start.listina!AD41</f>
        <v xml:space="preserve"> </v>
      </c>
      <c r="E419" s="13">
        <f ca="1">Start.listina!AE41</f>
        <v>9999</v>
      </c>
      <c r="F419" s="13">
        <f ca="1">Start.listina!AF41</f>
        <v>0</v>
      </c>
    </row>
    <row r="420" spans="1:6" x14ac:dyDescent="0.4">
      <c r="A420" s="13" t="str">
        <f ca="1">Start.listina!AA42</f>
        <v/>
      </c>
      <c r="B420" s="13" t="str">
        <f ca="1">Start.listina!AB42</f>
        <v xml:space="preserve"> </v>
      </c>
      <c r="C420" s="13" t="str">
        <f ca="1">Start.listina!AC42</f>
        <v xml:space="preserve"> </v>
      </c>
      <c r="D420" s="13" t="str">
        <f ca="1">Start.listina!AD42</f>
        <v xml:space="preserve"> </v>
      </c>
      <c r="E420" s="13">
        <f ca="1">Start.listina!AE42</f>
        <v>9999</v>
      </c>
      <c r="F420" s="13">
        <f ca="1">Start.listina!AF42</f>
        <v>0</v>
      </c>
    </row>
    <row r="421" spans="1:6" x14ac:dyDescent="0.4">
      <c r="A421" s="13" t="str">
        <f ca="1">Start.listina!AA43</f>
        <v/>
      </c>
      <c r="B421" s="13" t="str">
        <f ca="1">Start.listina!AB43</f>
        <v xml:space="preserve"> </v>
      </c>
      <c r="C421" s="13" t="str">
        <f ca="1">Start.listina!AC43</f>
        <v xml:space="preserve"> </v>
      </c>
      <c r="D421" s="13" t="str">
        <f ca="1">Start.listina!AD43</f>
        <v xml:space="preserve"> </v>
      </c>
      <c r="E421" s="13">
        <f ca="1">Start.listina!AE43</f>
        <v>9999</v>
      </c>
      <c r="F421" s="13">
        <f ca="1">Start.listina!AF43</f>
        <v>0</v>
      </c>
    </row>
    <row r="422" spans="1:6" x14ac:dyDescent="0.4">
      <c r="A422" s="13" t="str">
        <f ca="1">Start.listina!AA44</f>
        <v/>
      </c>
      <c r="B422" s="13" t="str">
        <f ca="1">Start.listina!AB44</f>
        <v xml:space="preserve"> </v>
      </c>
      <c r="C422" s="13" t="str">
        <f ca="1">Start.listina!AC44</f>
        <v xml:space="preserve"> </v>
      </c>
      <c r="D422" s="13" t="str">
        <f ca="1">Start.listina!AD44</f>
        <v xml:space="preserve"> </v>
      </c>
      <c r="E422" s="13">
        <f ca="1">Start.listina!AE44</f>
        <v>9999</v>
      </c>
      <c r="F422" s="13">
        <f ca="1">Start.listina!AF44</f>
        <v>0</v>
      </c>
    </row>
    <row r="423" spans="1:6" x14ac:dyDescent="0.4">
      <c r="A423" s="13" t="str">
        <f ca="1">Start.listina!AA45</f>
        <v/>
      </c>
      <c r="B423" s="13" t="str">
        <f ca="1">Start.listina!AB45</f>
        <v xml:space="preserve"> </v>
      </c>
      <c r="C423" s="13" t="str">
        <f ca="1">Start.listina!AC45</f>
        <v xml:space="preserve"> </v>
      </c>
      <c r="D423" s="13" t="str">
        <f ca="1">Start.listina!AD45</f>
        <v xml:space="preserve"> </v>
      </c>
      <c r="E423" s="13">
        <f ca="1">Start.listina!AE45</f>
        <v>9999</v>
      </c>
      <c r="F423" s="13">
        <f ca="1">Start.listina!AF45</f>
        <v>0</v>
      </c>
    </row>
    <row r="424" spans="1:6" x14ac:dyDescent="0.4">
      <c r="A424" s="13" t="str">
        <f ca="1">Start.listina!AA46</f>
        <v/>
      </c>
      <c r="B424" s="13" t="str">
        <f ca="1">Start.listina!AB46</f>
        <v xml:space="preserve"> </v>
      </c>
      <c r="C424" s="13" t="str">
        <f ca="1">Start.listina!AC46</f>
        <v xml:space="preserve"> </v>
      </c>
      <c r="D424" s="13" t="str">
        <f ca="1">Start.listina!AD46</f>
        <v xml:space="preserve"> </v>
      </c>
      <c r="E424" s="13">
        <f ca="1">Start.listina!AE46</f>
        <v>9999</v>
      </c>
      <c r="F424" s="13">
        <f ca="1">Start.listina!AF46</f>
        <v>0</v>
      </c>
    </row>
    <row r="425" spans="1:6" x14ac:dyDescent="0.4">
      <c r="A425" s="13" t="str">
        <f ca="1">Start.listina!AA47</f>
        <v/>
      </c>
      <c r="B425" s="13" t="str">
        <f ca="1">Start.listina!AB47</f>
        <v xml:space="preserve"> </v>
      </c>
      <c r="C425" s="13" t="str">
        <f ca="1">Start.listina!AC47</f>
        <v xml:space="preserve"> </v>
      </c>
      <c r="D425" s="13" t="str">
        <f ca="1">Start.listina!AD47</f>
        <v xml:space="preserve"> </v>
      </c>
      <c r="E425" s="13">
        <f ca="1">Start.listina!AE47</f>
        <v>9999</v>
      </c>
      <c r="F425" s="13">
        <f ca="1">Start.listina!AF47</f>
        <v>0</v>
      </c>
    </row>
    <row r="426" spans="1:6" x14ac:dyDescent="0.4">
      <c r="A426" s="13" t="str">
        <f ca="1">Start.listina!AA48</f>
        <v/>
      </c>
      <c r="B426" s="13" t="str">
        <f ca="1">Start.listina!AB48</f>
        <v xml:space="preserve"> </v>
      </c>
      <c r="C426" s="13" t="str">
        <f ca="1">Start.listina!AC48</f>
        <v xml:space="preserve"> </v>
      </c>
      <c r="D426" s="13" t="str">
        <f ca="1">Start.listina!AD48</f>
        <v xml:space="preserve"> </v>
      </c>
      <c r="E426" s="13">
        <f ca="1">Start.listina!AE48</f>
        <v>9999</v>
      </c>
      <c r="F426" s="13">
        <f ca="1">Start.listina!AF48</f>
        <v>0</v>
      </c>
    </row>
    <row r="427" spans="1:6" x14ac:dyDescent="0.4">
      <c r="A427" s="13" t="str">
        <f ca="1">Start.listina!AA49</f>
        <v/>
      </c>
      <c r="B427" s="13" t="str">
        <f ca="1">Start.listina!AB49</f>
        <v xml:space="preserve"> </v>
      </c>
      <c r="C427" s="13" t="str">
        <f ca="1">Start.listina!AC49</f>
        <v xml:space="preserve"> </v>
      </c>
      <c r="D427" s="13" t="str">
        <f ca="1">Start.listina!AD49</f>
        <v xml:space="preserve"> </v>
      </c>
      <c r="E427" s="13">
        <f ca="1">Start.listina!AE49</f>
        <v>9999</v>
      </c>
      <c r="F427" s="13">
        <f ca="1">Start.listina!AF49</f>
        <v>0</v>
      </c>
    </row>
    <row r="428" spans="1:6" x14ac:dyDescent="0.4">
      <c r="A428" s="13" t="str">
        <f ca="1">Start.listina!AA50</f>
        <v/>
      </c>
      <c r="B428" s="13" t="str">
        <f ca="1">Start.listina!AB50</f>
        <v xml:space="preserve"> </v>
      </c>
      <c r="C428" s="13" t="str">
        <f ca="1">Start.listina!AC50</f>
        <v xml:space="preserve"> </v>
      </c>
      <c r="D428" s="13" t="str">
        <f ca="1">Start.listina!AD50</f>
        <v xml:space="preserve"> </v>
      </c>
      <c r="E428" s="13">
        <f ca="1">Start.listina!AE50</f>
        <v>9999</v>
      </c>
      <c r="F428" s="13">
        <f ca="1">Start.listina!AF50</f>
        <v>0</v>
      </c>
    </row>
    <row r="429" spans="1:6" x14ac:dyDescent="0.4">
      <c r="A429" s="13" t="str">
        <f ca="1">Start.listina!AA51</f>
        <v/>
      </c>
      <c r="B429" s="13" t="str">
        <f ca="1">Start.listina!AB51</f>
        <v xml:space="preserve"> </v>
      </c>
      <c r="C429" s="13" t="str">
        <f ca="1">Start.listina!AC51</f>
        <v xml:space="preserve"> </v>
      </c>
      <c r="D429" s="13" t="str">
        <f ca="1">Start.listina!AD51</f>
        <v xml:space="preserve"> </v>
      </c>
      <c r="E429" s="13">
        <f ca="1">Start.listina!AE51</f>
        <v>9999</v>
      </c>
      <c r="F429" s="13">
        <f ca="1">Start.listina!AF51</f>
        <v>0</v>
      </c>
    </row>
    <row r="430" spans="1:6" x14ac:dyDescent="0.4">
      <c r="A430" s="13" t="str">
        <f ca="1">Start.listina!AA52</f>
        <v/>
      </c>
      <c r="B430" s="13" t="str">
        <f ca="1">Start.listina!AB52</f>
        <v xml:space="preserve"> </v>
      </c>
      <c r="C430" s="13" t="str">
        <f ca="1">Start.listina!AC52</f>
        <v xml:space="preserve"> </v>
      </c>
      <c r="D430" s="13" t="str">
        <f ca="1">Start.listina!AD52</f>
        <v xml:space="preserve"> </v>
      </c>
      <c r="E430" s="13">
        <f ca="1">Start.listina!AE52</f>
        <v>9999</v>
      </c>
      <c r="F430" s="13">
        <f ca="1">Start.listina!AF52</f>
        <v>0</v>
      </c>
    </row>
    <row r="431" spans="1:6" x14ac:dyDescent="0.4">
      <c r="A431" s="13" t="str">
        <f ca="1">Start.listina!AA53</f>
        <v/>
      </c>
      <c r="B431" s="13" t="str">
        <f ca="1">Start.listina!AB53</f>
        <v xml:space="preserve"> </v>
      </c>
      <c r="C431" s="13" t="str">
        <f ca="1">Start.listina!AC53</f>
        <v xml:space="preserve"> </v>
      </c>
      <c r="D431" s="13" t="str">
        <f ca="1">Start.listina!AD53</f>
        <v xml:space="preserve"> </v>
      </c>
      <c r="E431" s="13">
        <f ca="1">Start.listina!AE53</f>
        <v>9999</v>
      </c>
      <c r="F431" s="13">
        <f ca="1">Start.listina!AF53</f>
        <v>0</v>
      </c>
    </row>
    <row r="432" spans="1:6" x14ac:dyDescent="0.4">
      <c r="A432" s="13" t="str">
        <f ca="1">Start.listina!AA54</f>
        <v/>
      </c>
      <c r="B432" s="13" t="str">
        <f ca="1">Start.listina!AB54</f>
        <v xml:space="preserve"> </v>
      </c>
      <c r="C432" s="13" t="str">
        <f ca="1">Start.listina!AC54</f>
        <v xml:space="preserve"> </v>
      </c>
      <c r="D432" s="13" t="str">
        <f ca="1">Start.listina!AD54</f>
        <v xml:space="preserve"> </v>
      </c>
      <c r="E432" s="13">
        <f ca="1">Start.listina!AE54</f>
        <v>9999</v>
      </c>
      <c r="F432" s="13">
        <f ca="1">Start.listina!AF54</f>
        <v>0</v>
      </c>
    </row>
    <row r="433" spans="1:6" x14ac:dyDescent="0.4">
      <c r="A433" s="13" t="str">
        <f ca="1">Start.listina!AA55</f>
        <v/>
      </c>
      <c r="B433" s="13" t="str">
        <f ca="1">Start.listina!AB55</f>
        <v xml:space="preserve"> </v>
      </c>
      <c r="C433" s="13" t="str">
        <f ca="1">Start.listina!AC55</f>
        <v xml:space="preserve"> </v>
      </c>
      <c r="D433" s="13" t="str">
        <f ca="1">Start.listina!AD55</f>
        <v xml:space="preserve"> </v>
      </c>
      <c r="E433" s="13">
        <f ca="1">Start.listina!AE55</f>
        <v>9999</v>
      </c>
      <c r="F433" s="13">
        <f ca="1">Start.listina!AF55</f>
        <v>0</v>
      </c>
    </row>
    <row r="434" spans="1:6" x14ac:dyDescent="0.4">
      <c r="A434" s="13" t="str">
        <f ca="1">Start.listina!AA56</f>
        <v/>
      </c>
      <c r="B434" s="13" t="str">
        <f ca="1">Start.listina!AB56</f>
        <v xml:space="preserve"> </v>
      </c>
      <c r="C434" s="13" t="str">
        <f ca="1">Start.listina!AC56</f>
        <v xml:space="preserve"> </v>
      </c>
      <c r="D434" s="13" t="str">
        <f ca="1">Start.listina!AD56</f>
        <v xml:space="preserve"> </v>
      </c>
      <c r="E434" s="13">
        <f ca="1">Start.listina!AE56</f>
        <v>9999</v>
      </c>
      <c r="F434" s="13">
        <f ca="1">Start.listina!AF56</f>
        <v>0</v>
      </c>
    </row>
    <row r="435" spans="1:6" x14ac:dyDescent="0.4">
      <c r="A435" s="13" t="str">
        <f ca="1">Start.listina!AA57</f>
        <v/>
      </c>
      <c r="B435" s="13" t="str">
        <f ca="1">Start.listina!AB57</f>
        <v xml:space="preserve"> </v>
      </c>
      <c r="C435" s="13" t="str">
        <f ca="1">Start.listina!AC57</f>
        <v xml:space="preserve"> </v>
      </c>
      <c r="D435" s="13" t="str">
        <f ca="1">Start.listina!AD57</f>
        <v xml:space="preserve"> </v>
      </c>
      <c r="E435" s="13">
        <f ca="1">Start.listina!AE57</f>
        <v>9999</v>
      </c>
      <c r="F435" s="13">
        <f ca="1">Start.listina!AF57</f>
        <v>0</v>
      </c>
    </row>
    <row r="436" spans="1:6" x14ac:dyDescent="0.4">
      <c r="A436" s="13" t="str">
        <f ca="1">Start.listina!AA58</f>
        <v/>
      </c>
      <c r="B436" s="13" t="str">
        <f ca="1">Start.listina!AB58</f>
        <v xml:space="preserve"> </v>
      </c>
      <c r="C436" s="13" t="str">
        <f ca="1">Start.listina!AC58</f>
        <v xml:space="preserve"> </v>
      </c>
      <c r="D436" s="13" t="str">
        <f ca="1">Start.listina!AD58</f>
        <v xml:space="preserve"> </v>
      </c>
      <c r="E436" s="13">
        <f ca="1">Start.listina!AE58</f>
        <v>9999</v>
      </c>
      <c r="F436" s="13">
        <f ca="1">Start.listina!AF58</f>
        <v>0</v>
      </c>
    </row>
    <row r="437" spans="1:6" x14ac:dyDescent="0.4">
      <c r="A437" s="13" t="str">
        <f ca="1">Start.listina!AA59</f>
        <v/>
      </c>
      <c r="B437" s="13" t="str">
        <f ca="1">Start.listina!AB59</f>
        <v xml:space="preserve"> </v>
      </c>
      <c r="C437" s="13" t="str">
        <f ca="1">Start.listina!AC59</f>
        <v xml:space="preserve"> </v>
      </c>
      <c r="D437" s="13" t="str">
        <f ca="1">Start.listina!AD59</f>
        <v xml:space="preserve"> </v>
      </c>
      <c r="E437" s="13">
        <f ca="1">Start.listina!AE59</f>
        <v>9999</v>
      </c>
      <c r="F437" s="13">
        <f ca="1">Start.listina!AF59</f>
        <v>0</v>
      </c>
    </row>
    <row r="438" spans="1:6" x14ac:dyDescent="0.4">
      <c r="A438" s="13" t="str">
        <f ca="1">Start.listina!AA60</f>
        <v/>
      </c>
      <c r="B438" s="13" t="str">
        <f ca="1">Start.listina!AB60</f>
        <v xml:space="preserve"> </v>
      </c>
      <c r="C438" s="13" t="str">
        <f ca="1">Start.listina!AC60</f>
        <v xml:space="preserve"> </v>
      </c>
      <c r="D438" s="13" t="str">
        <f ca="1">Start.listina!AD60</f>
        <v xml:space="preserve"> </v>
      </c>
      <c r="E438" s="13">
        <f ca="1">Start.listina!AE60</f>
        <v>9999</v>
      </c>
      <c r="F438" s="13">
        <f ca="1">Start.listina!AF60</f>
        <v>0</v>
      </c>
    </row>
    <row r="439" spans="1:6" x14ac:dyDescent="0.4">
      <c r="A439" s="13" t="str">
        <f ca="1">Start.listina!AA61</f>
        <v/>
      </c>
      <c r="B439" s="13" t="str">
        <f ca="1">Start.listina!AB61</f>
        <v xml:space="preserve"> </v>
      </c>
      <c r="C439" s="13" t="str">
        <f ca="1">Start.listina!AC61</f>
        <v xml:space="preserve"> </v>
      </c>
      <c r="D439" s="13" t="str">
        <f ca="1">Start.listina!AD61</f>
        <v xml:space="preserve"> </v>
      </c>
      <c r="E439" s="13">
        <f ca="1">Start.listina!AE61</f>
        <v>9999</v>
      </c>
      <c r="F439" s="13">
        <f ca="1">Start.listina!AF61</f>
        <v>0</v>
      </c>
    </row>
    <row r="440" spans="1:6" x14ac:dyDescent="0.4">
      <c r="A440" s="13" t="str">
        <f ca="1">Start.listina!AA62</f>
        <v/>
      </c>
      <c r="B440" s="13" t="str">
        <f ca="1">Start.listina!AB62</f>
        <v xml:space="preserve"> </v>
      </c>
      <c r="C440" s="13" t="str">
        <f ca="1">Start.listina!AC62</f>
        <v xml:space="preserve"> </v>
      </c>
      <c r="D440" s="13" t="str">
        <f ca="1">Start.listina!AD62</f>
        <v xml:space="preserve"> </v>
      </c>
      <c r="E440" s="13">
        <f ca="1">Start.listina!AE62</f>
        <v>9999</v>
      </c>
      <c r="F440" s="13">
        <f ca="1">Start.listina!AF62</f>
        <v>0</v>
      </c>
    </row>
    <row r="441" spans="1:6" x14ac:dyDescent="0.4">
      <c r="A441" s="13" t="str">
        <f ca="1">Start.listina!AA63</f>
        <v/>
      </c>
      <c r="B441" s="13" t="str">
        <f ca="1">Start.listina!AB63</f>
        <v xml:space="preserve"> </v>
      </c>
      <c r="C441" s="13" t="str">
        <f ca="1">Start.listina!AC63</f>
        <v xml:space="preserve"> </v>
      </c>
      <c r="D441" s="13" t="str">
        <f ca="1">Start.listina!AD63</f>
        <v xml:space="preserve"> </v>
      </c>
      <c r="E441" s="13">
        <f ca="1">Start.listina!AE63</f>
        <v>9999</v>
      </c>
      <c r="F441" s="13">
        <f ca="1">Start.listina!AF63</f>
        <v>0</v>
      </c>
    </row>
    <row r="442" spans="1:6" x14ac:dyDescent="0.4">
      <c r="A442" s="13" t="str">
        <f ca="1">Start.listina!AA64</f>
        <v/>
      </c>
      <c r="B442" s="13" t="str">
        <f ca="1">Start.listina!AB64</f>
        <v xml:space="preserve"> </v>
      </c>
      <c r="C442" s="13" t="str">
        <f ca="1">Start.listina!AC64</f>
        <v xml:space="preserve"> </v>
      </c>
      <c r="D442" s="13" t="str">
        <f ca="1">Start.listina!AD64</f>
        <v xml:space="preserve"> </v>
      </c>
      <c r="E442" s="13">
        <f ca="1">Start.listina!AE64</f>
        <v>9999</v>
      </c>
      <c r="F442" s="13">
        <f ca="1">Start.listina!AF64</f>
        <v>0</v>
      </c>
    </row>
    <row r="443" spans="1:6" x14ac:dyDescent="0.4">
      <c r="A443" s="13" t="str">
        <f ca="1">Start.listina!AA65</f>
        <v/>
      </c>
      <c r="B443" s="13" t="str">
        <f ca="1">Start.listina!AB65</f>
        <v xml:space="preserve"> </v>
      </c>
      <c r="C443" s="13" t="str">
        <f ca="1">Start.listina!AC65</f>
        <v xml:space="preserve"> </v>
      </c>
      <c r="D443" s="13" t="str">
        <f ca="1">Start.listina!AD65</f>
        <v xml:space="preserve"> </v>
      </c>
      <c r="E443" s="13">
        <f ca="1">Start.listina!AE65</f>
        <v>9999</v>
      </c>
      <c r="F443" s="13">
        <f ca="1">Start.listina!AF65</f>
        <v>0</v>
      </c>
    </row>
    <row r="444" spans="1:6" x14ac:dyDescent="0.4">
      <c r="A444" s="13" t="str">
        <f ca="1">Start.listina!AA66</f>
        <v/>
      </c>
      <c r="B444" s="13" t="str">
        <f ca="1">Start.listina!AB66</f>
        <v xml:space="preserve"> </v>
      </c>
      <c r="C444" s="13" t="str">
        <f ca="1">Start.listina!AC66</f>
        <v xml:space="preserve"> </v>
      </c>
      <c r="D444" s="13" t="str">
        <f ca="1">Start.listina!AD66</f>
        <v xml:space="preserve"> </v>
      </c>
      <c r="E444" s="13">
        <f ca="1">Start.listina!AE66</f>
        <v>9999</v>
      </c>
      <c r="F444" s="13">
        <f ca="1">Start.listina!AF66</f>
        <v>0</v>
      </c>
    </row>
    <row r="445" spans="1:6" x14ac:dyDescent="0.4">
      <c r="A445" s="13" t="str">
        <f ca="1">Start.listina!AA67</f>
        <v/>
      </c>
      <c r="B445" s="13" t="str">
        <f ca="1">Start.listina!AB67</f>
        <v xml:space="preserve"> </v>
      </c>
      <c r="C445" s="13" t="str">
        <f ca="1">Start.listina!AC67</f>
        <v xml:space="preserve"> </v>
      </c>
      <c r="D445" s="13" t="str">
        <f ca="1">Start.listina!AD67</f>
        <v xml:space="preserve"> </v>
      </c>
      <c r="E445" s="13">
        <f ca="1">Start.listina!AE67</f>
        <v>9999</v>
      </c>
      <c r="F445" s="13">
        <f ca="1">Start.listina!AF67</f>
        <v>0</v>
      </c>
    </row>
    <row r="446" spans="1:6" x14ac:dyDescent="0.4">
      <c r="A446" s="13" t="str">
        <f ca="1">Start.listina!AA68</f>
        <v/>
      </c>
      <c r="B446" s="13" t="str">
        <f ca="1">Start.listina!AB68</f>
        <v xml:space="preserve"> </v>
      </c>
      <c r="C446" s="13" t="str">
        <f ca="1">Start.listina!AC68</f>
        <v xml:space="preserve"> </v>
      </c>
      <c r="D446" s="13" t="str">
        <f ca="1">Start.listina!AD68</f>
        <v xml:space="preserve"> </v>
      </c>
      <c r="E446" s="13">
        <f ca="1">Start.listina!AE68</f>
        <v>9999</v>
      </c>
      <c r="F446" s="13">
        <f ca="1">Start.listina!AF68</f>
        <v>0</v>
      </c>
    </row>
    <row r="447" spans="1:6" x14ac:dyDescent="0.4">
      <c r="A447" s="13" t="str">
        <f ca="1">Start.listina!AA69</f>
        <v/>
      </c>
      <c r="B447" s="13" t="str">
        <f ca="1">Start.listina!AB69</f>
        <v xml:space="preserve"> </v>
      </c>
      <c r="C447" s="13" t="str">
        <f ca="1">Start.listina!AC69</f>
        <v xml:space="preserve"> </v>
      </c>
      <c r="D447" s="13" t="str">
        <f ca="1">Start.listina!AD69</f>
        <v xml:space="preserve"> </v>
      </c>
      <c r="E447" s="13">
        <f ca="1">Start.listina!AE69</f>
        <v>9999</v>
      </c>
      <c r="F447" s="13">
        <f ca="1">Start.listina!AF69</f>
        <v>0</v>
      </c>
    </row>
    <row r="448" spans="1:6" x14ac:dyDescent="0.4">
      <c r="A448" s="13" t="str">
        <f ca="1">Start.listina!AA70</f>
        <v/>
      </c>
      <c r="B448" s="13" t="str">
        <f ca="1">Start.listina!AB70</f>
        <v xml:space="preserve"> </v>
      </c>
      <c r="C448" s="13" t="str">
        <f ca="1">Start.listina!AC70</f>
        <v xml:space="preserve"> </v>
      </c>
      <c r="D448" s="13" t="str">
        <f ca="1">Start.listina!AD70</f>
        <v xml:space="preserve"> </v>
      </c>
      <c r="E448" s="13">
        <f ca="1">Start.listina!AE70</f>
        <v>9999</v>
      </c>
      <c r="F448" s="13">
        <f ca="1">Start.listina!AF70</f>
        <v>0</v>
      </c>
    </row>
    <row r="449" spans="1:6" x14ac:dyDescent="0.4">
      <c r="A449" s="13" t="str">
        <f ca="1">Start.listina!AA71</f>
        <v/>
      </c>
      <c r="B449" s="13" t="str">
        <f ca="1">Start.listina!AB71</f>
        <v xml:space="preserve"> </v>
      </c>
      <c r="C449" s="13" t="str">
        <f ca="1">Start.listina!AC71</f>
        <v xml:space="preserve"> </v>
      </c>
      <c r="D449" s="13" t="str">
        <f ca="1">Start.listina!AD71</f>
        <v xml:space="preserve"> </v>
      </c>
      <c r="E449" s="13">
        <f ca="1">Start.listina!AE71</f>
        <v>9999</v>
      </c>
      <c r="F449" s="13">
        <f ca="1">Start.listina!AF71</f>
        <v>0</v>
      </c>
    </row>
    <row r="450" spans="1:6" x14ac:dyDescent="0.4">
      <c r="A450" s="13" t="str">
        <f ca="1">Start.listina!AA72</f>
        <v/>
      </c>
      <c r="B450" s="13" t="str">
        <f ca="1">Start.listina!AB72</f>
        <v xml:space="preserve"> </v>
      </c>
      <c r="C450" s="13" t="str">
        <f ca="1">Start.listina!AC72</f>
        <v xml:space="preserve"> </v>
      </c>
      <c r="D450" s="13" t="str">
        <f ca="1">Start.listina!AD72</f>
        <v xml:space="preserve"> </v>
      </c>
      <c r="E450" s="13">
        <f ca="1">Start.listina!AE72</f>
        <v>9999</v>
      </c>
      <c r="F450" s="13">
        <f ca="1">Start.listina!AF72</f>
        <v>0</v>
      </c>
    </row>
    <row r="451" spans="1:6" x14ac:dyDescent="0.4">
      <c r="A451" s="13" t="str">
        <f ca="1">Start.listina!AA73</f>
        <v/>
      </c>
      <c r="B451" s="13" t="str">
        <f ca="1">Start.listina!AB73</f>
        <v xml:space="preserve"> </v>
      </c>
      <c r="C451" s="13" t="str">
        <f ca="1">Start.listina!AC73</f>
        <v xml:space="preserve"> </v>
      </c>
      <c r="D451" s="13" t="str">
        <f ca="1">Start.listina!AD73</f>
        <v xml:space="preserve"> </v>
      </c>
      <c r="E451" s="13">
        <f ca="1">Start.listina!AE73</f>
        <v>9999</v>
      </c>
      <c r="F451" s="13">
        <f ca="1">Start.listina!AF73</f>
        <v>0</v>
      </c>
    </row>
    <row r="452" spans="1:6" x14ac:dyDescent="0.4">
      <c r="A452" s="13" t="str">
        <f ca="1">Start.listina!AA74</f>
        <v/>
      </c>
      <c r="B452" s="13" t="str">
        <f ca="1">Start.listina!AB74</f>
        <v xml:space="preserve"> </v>
      </c>
      <c r="C452" s="13" t="str">
        <f ca="1">Start.listina!AC74</f>
        <v xml:space="preserve"> </v>
      </c>
      <c r="D452" s="13" t="str">
        <f ca="1">Start.listina!AD74</f>
        <v xml:space="preserve"> </v>
      </c>
      <c r="E452" s="13">
        <f ca="1">Start.listina!AE74</f>
        <v>9999</v>
      </c>
      <c r="F452" s="13">
        <f ca="1">Start.listina!AF74</f>
        <v>0</v>
      </c>
    </row>
    <row r="453" spans="1:6" x14ac:dyDescent="0.4">
      <c r="A453" s="13" t="str">
        <f ca="1">Start.listina!AA75</f>
        <v/>
      </c>
      <c r="B453" s="13" t="str">
        <f ca="1">Start.listina!AB75</f>
        <v xml:space="preserve"> </v>
      </c>
      <c r="C453" s="13" t="str">
        <f ca="1">Start.listina!AC75</f>
        <v xml:space="preserve"> </v>
      </c>
      <c r="D453" s="13" t="str">
        <f ca="1">Start.listina!AD75</f>
        <v xml:space="preserve"> </v>
      </c>
      <c r="E453" s="13">
        <f ca="1">Start.listina!AE75</f>
        <v>9999</v>
      </c>
      <c r="F453" s="13">
        <f ca="1">Start.listina!AF75</f>
        <v>0</v>
      </c>
    </row>
    <row r="454" spans="1:6" x14ac:dyDescent="0.4">
      <c r="A454" s="13" t="str">
        <f ca="1">Start.listina!AA76</f>
        <v/>
      </c>
      <c r="B454" s="13" t="str">
        <f ca="1">Start.listina!AB76</f>
        <v xml:space="preserve"> </v>
      </c>
      <c r="C454" s="13" t="str">
        <f ca="1">Start.listina!AC76</f>
        <v xml:space="preserve"> </v>
      </c>
      <c r="D454" s="13" t="str">
        <f ca="1">Start.listina!AD76</f>
        <v xml:space="preserve"> </v>
      </c>
      <c r="E454" s="13">
        <f ca="1">Start.listina!AE76</f>
        <v>9999</v>
      </c>
      <c r="F454" s="13">
        <f ca="1">Start.listina!AF76</f>
        <v>0</v>
      </c>
    </row>
    <row r="455" spans="1:6" x14ac:dyDescent="0.4">
      <c r="A455" s="13" t="str">
        <f ca="1">Start.listina!AA77</f>
        <v/>
      </c>
      <c r="B455" s="13" t="str">
        <f ca="1">Start.listina!AB77</f>
        <v xml:space="preserve"> </v>
      </c>
      <c r="C455" s="13" t="str">
        <f ca="1">Start.listina!AC77</f>
        <v xml:space="preserve"> </v>
      </c>
      <c r="D455" s="13" t="str">
        <f ca="1">Start.listina!AD77</f>
        <v xml:space="preserve"> </v>
      </c>
      <c r="E455" s="13">
        <f ca="1">Start.listina!AE77</f>
        <v>9999</v>
      </c>
      <c r="F455" s="13">
        <f ca="1">Start.listina!AF77</f>
        <v>0</v>
      </c>
    </row>
    <row r="456" spans="1:6" x14ac:dyDescent="0.4">
      <c r="A456" s="13" t="str">
        <f ca="1">Start.listina!AA78</f>
        <v/>
      </c>
      <c r="B456" s="13" t="str">
        <f ca="1">Start.listina!AB78</f>
        <v xml:space="preserve"> </v>
      </c>
      <c r="C456" s="13" t="str">
        <f ca="1">Start.listina!AC78</f>
        <v xml:space="preserve"> </v>
      </c>
      <c r="D456" s="13" t="str">
        <f ca="1">Start.listina!AD78</f>
        <v xml:space="preserve"> </v>
      </c>
      <c r="E456" s="13">
        <f ca="1">Start.listina!AE78</f>
        <v>9999</v>
      </c>
      <c r="F456" s="13">
        <f ca="1">Start.listina!AF78</f>
        <v>0</v>
      </c>
    </row>
    <row r="457" spans="1:6" x14ac:dyDescent="0.4">
      <c r="A457" s="13" t="str">
        <f ca="1">Start.listina!AA79</f>
        <v/>
      </c>
      <c r="B457" s="13" t="str">
        <f ca="1">Start.listina!AB79</f>
        <v xml:space="preserve"> </v>
      </c>
      <c r="C457" s="13" t="str">
        <f ca="1">Start.listina!AC79</f>
        <v xml:space="preserve"> </v>
      </c>
      <c r="D457" s="13" t="str">
        <f ca="1">Start.listina!AD79</f>
        <v xml:space="preserve"> </v>
      </c>
      <c r="E457" s="13">
        <f ca="1">Start.listina!AE79</f>
        <v>9999</v>
      </c>
      <c r="F457" s="13">
        <f ca="1">Start.listina!AF79</f>
        <v>0</v>
      </c>
    </row>
    <row r="458" spans="1:6" x14ac:dyDescent="0.4">
      <c r="A458" s="13" t="str">
        <f ca="1">Start.listina!AA80</f>
        <v/>
      </c>
      <c r="B458" s="13" t="str">
        <f ca="1">Start.listina!AB80</f>
        <v xml:space="preserve"> </v>
      </c>
      <c r="C458" s="13" t="str">
        <f ca="1">Start.listina!AC80</f>
        <v xml:space="preserve"> </v>
      </c>
      <c r="D458" s="13" t="str">
        <f ca="1">Start.listina!AD80</f>
        <v xml:space="preserve"> </v>
      </c>
      <c r="E458" s="13">
        <f ca="1">Start.listina!AE80</f>
        <v>9999</v>
      </c>
      <c r="F458" s="13">
        <f ca="1">Start.listina!AF80</f>
        <v>0</v>
      </c>
    </row>
    <row r="459" spans="1:6" x14ac:dyDescent="0.4">
      <c r="A459" s="13" t="str">
        <f ca="1">Start.listina!AA81</f>
        <v/>
      </c>
      <c r="B459" s="13" t="str">
        <f ca="1">Start.listina!AB81</f>
        <v xml:space="preserve"> </v>
      </c>
      <c r="C459" s="13" t="str">
        <f ca="1">Start.listina!AC81</f>
        <v xml:space="preserve"> </v>
      </c>
      <c r="D459" s="13" t="str">
        <f ca="1">Start.listina!AD81</f>
        <v xml:space="preserve"> </v>
      </c>
      <c r="E459" s="13">
        <f ca="1">Start.listina!AE81</f>
        <v>9999</v>
      </c>
      <c r="F459" s="13">
        <f ca="1">Start.listina!AF81</f>
        <v>0</v>
      </c>
    </row>
    <row r="460" spans="1:6" x14ac:dyDescent="0.4">
      <c r="A460" s="13" t="str">
        <f ca="1">Start.listina!AA82</f>
        <v/>
      </c>
      <c r="B460" s="13" t="str">
        <f ca="1">Start.listina!AB82</f>
        <v xml:space="preserve"> </v>
      </c>
      <c r="C460" s="13" t="str">
        <f ca="1">Start.listina!AC82</f>
        <v xml:space="preserve"> </v>
      </c>
      <c r="D460" s="13" t="str">
        <f ca="1">Start.listina!AD82</f>
        <v xml:space="preserve"> </v>
      </c>
      <c r="E460" s="13">
        <f ca="1">Start.listina!AE82</f>
        <v>9999</v>
      </c>
      <c r="F460" s="13">
        <f ca="1">Start.listina!AF82</f>
        <v>0</v>
      </c>
    </row>
    <row r="461" spans="1:6" x14ac:dyDescent="0.4">
      <c r="A461" s="13" t="str">
        <f ca="1">Start.listina!AA83</f>
        <v/>
      </c>
      <c r="B461" s="13" t="str">
        <f ca="1">Start.listina!AB83</f>
        <v xml:space="preserve"> </v>
      </c>
      <c r="C461" s="13" t="str">
        <f ca="1">Start.listina!AC83</f>
        <v xml:space="preserve"> </v>
      </c>
      <c r="D461" s="13" t="str">
        <f ca="1">Start.listina!AD83</f>
        <v xml:space="preserve"> </v>
      </c>
      <c r="E461" s="13">
        <f ca="1">Start.listina!AE83</f>
        <v>9999</v>
      </c>
      <c r="F461" s="13">
        <f ca="1">Start.listina!AF83</f>
        <v>0</v>
      </c>
    </row>
    <row r="462" spans="1:6" x14ac:dyDescent="0.4">
      <c r="A462" s="13" t="str">
        <f ca="1">Start.listina!AA84</f>
        <v/>
      </c>
      <c r="B462" s="13" t="str">
        <f ca="1">Start.listina!AB84</f>
        <v xml:space="preserve"> </v>
      </c>
      <c r="C462" s="13" t="str">
        <f ca="1">Start.listina!AC84</f>
        <v xml:space="preserve"> </v>
      </c>
      <c r="D462" s="13" t="str">
        <f ca="1">Start.listina!AD84</f>
        <v xml:space="preserve"> </v>
      </c>
      <c r="E462" s="13">
        <f ca="1">Start.listina!AE84</f>
        <v>9999</v>
      </c>
      <c r="F462" s="13">
        <f ca="1">Start.listina!AF84</f>
        <v>0</v>
      </c>
    </row>
    <row r="463" spans="1:6" x14ac:dyDescent="0.4">
      <c r="A463" s="13" t="str">
        <f ca="1">Start.listina!AA85</f>
        <v/>
      </c>
      <c r="B463" s="13" t="str">
        <f ca="1">Start.listina!AB85</f>
        <v xml:space="preserve"> </v>
      </c>
      <c r="C463" s="13" t="str">
        <f ca="1">Start.listina!AC85</f>
        <v xml:space="preserve"> </v>
      </c>
      <c r="D463" s="13" t="str">
        <f ca="1">Start.listina!AD85</f>
        <v xml:space="preserve"> </v>
      </c>
      <c r="E463" s="13">
        <f ca="1">Start.listina!AE85</f>
        <v>9999</v>
      </c>
      <c r="F463" s="13">
        <f ca="1">Start.listina!AF85</f>
        <v>0</v>
      </c>
    </row>
    <row r="464" spans="1:6" x14ac:dyDescent="0.4">
      <c r="A464" s="13" t="str">
        <f ca="1">Start.listina!AA86</f>
        <v/>
      </c>
      <c r="B464" s="13" t="str">
        <f ca="1">Start.listina!AB86</f>
        <v xml:space="preserve"> </v>
      </c>
      <c r="C464" s="13" t="str">
        <f ca="1">Start.listina!AC86</f>
        <v xml:space="preserve"> </v>
      </c>
      <c r="D464" s="13" t="str">
        <f ca="1">Start.listina!AD86</f>
        <v xml:space="preserve"> </v>
      </c>
      <c r="E464" s="13">
        <f ca="1">Start.listina!AE86</f>
        <v>9999</v>
      </c>
      <c r="F464" s="13">
        <f ca="1">Start.listina!AF86</f>
        <v>0</v>
      </c>
    </row>
    <row r="465" spans="1:6" x14ac:dyDescent="0.4">
      <c r="A465" s="13" t="str">
        <f ca="1">Start.listina!AA87</f>
        <v/>
      </c>
      <c r="B465" s="13" t="str">
        <f ca="1">Start.listina!AB87</f>
        <v xml:space="preserve"> </v>
      </c>
      <c r="C465" s="13" t="str">
        <f ca="1">Start.listina!AC87</f>
        <v xml:space="preserve"> </v>
      </c>
      <c r="D465" s="13" t="str">
        <f ca="1">Start.listina!AD87</f>
        <v xml:space="preserve"> </v>
      </c>
      <c r="E465" s="13">
        <f ca="1">Start.listina!AE87</f>
        <v>9999</v>
      </c>
      <c r="F465" s="13">
        <f ca="1">Start.listina!AF87</f>
        <v>0</v>
      </c>
    </row>
    <row r="466" spans="1:6" x14ac:dyDescent="0.4">
      <c r="A466" s="13" t="str">
        <f ca="1">Start.listina!AA88</f>
        <v/>
      </c>
      <c r="B466" s="13" t="str">
        <f ca="1">Start.listina!AB88</f>
        <v xml:space="preserve"> </v>
      </c>
      <c r="C466" s="13" t="str">
        <f ca="1">Start.listina!AC88</f>
        <v xml:space="preserve"> </v>
      </c>
      <c r="D466" s="13" t="str">
        <f ca="1">Start.listina!AD88</f>
        <v xml:space="preserve"> </v>
      </c>
      <c r="E466" s="13">
        <f ca="1">Start.listina!AE88</f>
        <v>9999</v>
      </c>
      <c r="F466" s="13">
        <f ca="1">Start.listina!AF88</f>
        <v>0</v>
      </c>
    </row>
    <row r="467" spans="1:6" x14ac:dyDescent="0.4">
      <c r="A467" s="13" t="str">
        <f ca="1">Start.listina!AA89</f>
        <v/>
      </c>
      <c r="B467" s="13" t="str">
        <f ca="1">Start.listina!AB89</f>
        <v xml:space="preserve"> </v>
      </c>
      <c r="C467" s="13" t="str">
        <f ca="1">Start.listina!AC89</f>
        <v xml:space="preserve"> </v>
      </c>
      <c r="D467" s="13" t="str">
        <f ca="1">Start.listina!AD89</f>
        <v xml:space="preserve"> </v>
      </c>
      <c r="E467" s="13">
        <f ca="1">Start.listina!AE89</f>
        <v>9999</v>
      </c>
      <c r="F467" s="13">
        <f ca="1">Start.listina!AF89</f>
        <v>0</v>
      </c>
    </row>
    <row r="468" spans="1:6" x14ac:dyDescent="0.4">
      <c r="A468" s="13" t="str">
        <f ca="1">Start.listina!AA90</f>
        <v/>
      </c>
      <c r="B468" s="13" t="str">
        <f ca="1">Start.listina!AB90</f>
        <v xml:space="preserve"> </v>
      </c>
      <c r="C468" s="13" t="str">
        <f ca="1">Start.listina!AC90</f>
        <v xml:space="preserve"> </v>
      </c>
      <c r="D468" s="13" t="str">
        <f ca="1">Start.listina!AD90</f>
        <v xml:space="preserve"> </v>
      </c>
      <c r="E468" s="13">
        <f ca="1">Start.listina!AE90</f>
        <v>9999</v>
      </c>
      <c r="F468" s="13">
        <f ca="1">Start.listina!AF90</f>
        <v>0</v>
      </c>
    </row>
    <row r="469" spans="1:6" x14ac:dyDescent="0.4">
      <c r="A469" s="13" t="str">
        <f ca="1">Start.listina!AA91</f>
        <v/>
      </c>
      <c r="B469" s="13" t="str">
        <f ca="1">Start.listina!AB91</f>
        <v xml:space="preserve"> </v>
      </c>
      <c r="C469" s="13" t="str">
        <f ca="1">Start.listina!AC91</f>
        <v xml:space="preserve"> </v>
      </c>
      <c r="D469" s="13" t="str">
        <f ca="1">Start.listina!AD91</f>
        <v xml:space="preserve"> </v>
      </c>
      <c r="E469" s="13">
        <f ca="1">Start.listina!AE91</f>
        <v>9999</v>
      </c>
      <c r="F469" s="13">
        <f ca="1">Start.listina!AF91</f>
        <v>0</v>
      </c>
    </row>
    <row r="470" spans="1:6" x14ac:dyDescent="0.4">
      <c r="A470" s="13" t="str">
        <f ca="1">Start.listina!AA92</f>
        <v/>
      </c>
      <c r="B470" s="13" t="str">
        <f ca="1">Start.listina!AB92</f>
        <v xml:space="preserve"> </v>
      </c>
      <c r="C470" s="13" t="str">
        <f ca="1">Start.listina!AC92</f>
        <v xml:space="preserve"> </v>
      </c>
      <c r="D470" s="13" t="str">
        <f ca="1">Start.listina!AD92</f>
        <v xml:space="preserve"> </v>
      </c>
      <c r="E470" s="13">
        <f ca="1">Start.listina!AE92</f>
        <v>9999</v>
      </c>
      <c r="F470" s="13">
        <f ca="1">Start.listina!AF92</f>
        <v>0</v>
      </c>
    </row>
    <row r="471" spans="1:6" x14ac:dyDescent="0.4">
      <c r="A471" s="13" t="str">
        <f ca="1">Start.listina!AA93</f>
        <v/>
      </c>
      <c r="B471" s="13" t="str">
        <f ca="1">Start.listina!AB93</f>
        <v xml:space="preserve"> </v>
      </c>
      <c r="C471" s="13" t="str">
        <f ca="1">Start.listina!AC93</f>
        <v xml:space="preserve"> </v>
      </c>
      <c r="D471" s="13" t="str">
        <f ca="1">Start.listina!AD93</f>
        <v xml:space="preserve"> </v>
      </c>
      <c r="E471" s="13">
        <f ca="1">Start.listina!AE93</f>
        <v>9999</v>
      </c>
      <c r="F471" s="13">
        <f ca="1">Start.listina!AF93</f>
        <v>0</v>
      </c>
    </row>
    <row r="472" spans="1:6" x14ac:dyDescent="0.4">
      <c r="A472" s="13" t="str">
        <f ca="1">Start.listina!AA94</f>
        <v/>
      </c>
      <c r="B472" s="13" t="str">
        <f ca="1">Start.listina!AB94</f>
        <v xml:space="preserve"> </v>
      </c>
      <c r="C472" s="13" t="str">
        <f ca="1">Start.listina!AC94</f>
        <v xml:space="preserve"> </v>
      </c>
      <c r="D472" s="13" t="str">
        <f ca="1">Start.listina!AD94</f>
        <v xml:space="preserve"> </v>
      </c>
      <c r="E472" s="13">
        <f ca="1">Start.listina!AE94</f>
        <v>9999</v>
      </c>
      <c r="F472" s="13">
        <f ca="1">Start.listina!AF94</f>
        <v>0</v>
      </c>
    </row>
    <row r="473" spans="1:6" x14ac:dyDescent="0.4">
      <c r="A473" s="13" t="str">
        <f ca="1">Start.listina!AA95</f>
        <v/>
      </c>
      <c r="B473" s="13" t="str">
        <f ca="1">Start.listina!AB95</f>
        <v xml:space="preserve"> </v>
      </c>
      <c r="C473" s="13" t="str">
        <f ca="1">Start.listina!AC95</f>
        <v xml:space="preserve"> </v>
      </c>
      <c r="D473" s="13" t="str">
        <f ca="1">Start.listina!AD95</f>
        <v xml:space="preserve"> </v>
      </c>
      <c r="E473" s="13">
        <f ca="1">Start.listina!AE95</f>
        <v>9999</v>
      </c>
      <c r="F473" s="13">
        <f ca="1">Start.listina!AF95</f>
        <v>0</v>
      </c>
    </row>
    <row r="474" spans="1:6" x14ac:dyDescent="0.4">
      <c r="A474" s="13" t="str">
        <f ca="1">Start.listina!AA96</f>
        <v/>
      </c>
      <c r="B474" s="13" t="str">
        <f ca="1">Start.listina!AB96</f>
        <v xml:space="preserve"> </v>
      </c>
      <c r="C474" s="13" t="str">
        <f ca="1">Start.listina!AC96</f>
        <v xml:space="preserve"> </v>
      </c>
      <c r="D474" s="13" t="str">
        <f ca="1">Start.listina!AD96</f>
        <v xml:space="preserve"> </v>
      </c>
      <c r="E474" s="13">
        <f ca="1">Start.listina!AE96</f>
        <v>9999</v>
      </c>
      <c r="F474" s="13">
        <f ca="1">Start.listina!AF96</f>
        <v>0</v>
      </c>
    </row>
    <row r="475" spans="1:6" x14ac:dyDescent="0.4">
      <c r="A475" s="13" t="str">
        <f ca="1">Start.listina!AA97</f>
        <v/>
      </c>
      <c r="B475" s="13" t="str">
        <f ca="1">Start.listina!AB97</f>
        <v xml:space="preserve"> </v>
      </c>
      <c r="C475" s="13" t="str">
        <f ca="1">Start.listina!AC97</f>
        <v xml:space="preserve"> </v>
      </c>
      <c r="D475" s="13" t="str">
        <f ca="1">Start.listina!AD97</f>
        <v xml:space="preserve"> </v>
      </c>
      <c r="E475" s="13">
        <f ca="1">Start.listina!AE97</f>
        <v>9999</v>
      </c>
      <c r="F475" s="13">
        <f ca="1">Start.listina!AF97</f>
        <v>0</v>
      </c>
    </row>
    <row r="476" spans="1:6" x14ac:dyDescent="0.4">
      <c r="A476" s="13" t="str">
        <f ca="1">Start.listina!AA98</f>
        <v/>
      </c>
      <c r="B476" s="13" t="str">
        <f ca="1">Start.listina!AB98</f>
        <v xml:space="preserve"> </v>
      </c>
      <c r="C476" s="13" t="str">
        <f ca="1">Start.listina!AC98</f>
        <v xml:space="preserve"> </v>
      </c>
      <c r="D476" s="13" t="str">
        <f ca="1">Start.listina!AD98</f>
        <v xml:space="preserve"> </v>
      </c>
      <c r="E476" s="13">
        <f ca="1">Start.listina!AE98</f>
        <v>9999</v>
      </c>
      <c r="F476" s="13">
        <f ca="1">Start.listina!AF98</f>
        <v>0</v>
      </c>
    </row>
    <row r="477" spans="1:6" x14ac:dyDescent="0.4">
      <c r="A477" s="13" t="str">
        <f ca="1">Start.listina!AA99</f>
        <v/>
      </c>
      <c r="B477" s="13" t="str">
        <f ca="1">Start.listina!AB99</f>
        <v xml:space="preserve"> </v>
      </c>
      <c r="C477" s="13" t="str">
        <f ca="1">Start.listina!AC99</f>
        <v xml:space="preserve"> </v>
      </c>
      <c r="D477" s="13" t="str">
        <f ca="1">Start.listina!AD99</f>
        <v xml:space="preserve"> </v>
      </c>
      <c r="E477" s="13">
        <f ca="1">Start.listina!AE99</f>
        <v>9999</v>
      </c>
      <c r="F477" s="13">
        <f ca="1">Start.listina!AF99</f>
        <v>0</v>
      </c>
    </row>
    <row r="478" spans="1:6" x14ac:dyDescent="0.4">
      <c r="A478" s="13" t="str">
        <f ca="1">Start.listina!AA100</f>
        <v/>
      </c>
      <c r="B478" s="13" t="str">
        <f ca="1">Start.listina!AB100</f>
        <v xml:space="preserve"> </v>
      </c>
      <c r="C478" s="13" t="str">
        <f ca="1">Start.listina!AC100</f>
        <v xml:space="preserve"> </v>
      </c>
      <c r="D478" s="13" t="str">
        <f ca="1">Start.listina!AD100</f>
        <v xml:space="preserve"> </v>
      </c>
      <c r="E478" s="13">
        <f ca="1">Start.listina!AE100</f>
        <v>9999</v>
      </c>
      <c r="F478" s="13">
        <f ca="1">Start.listina!AF100</f>
        <v>0</v>
      </c>
    </row>
    <row r="479" spans="1:6" x14ac:dyDescent="0.4">
      <c r="A479" s="13" t="str">
        <f ca="1">Start.listina!AA101</f>
        <v/>
      </c>
      <c r="B479" s="13" t="str">
        <f ca="1">Start.listina!AB101</f>
        <v xml:space="preserve"> </v>
      </c>
      <c r="C479" s="13" t="str">
        <f ca="1">Start.listina!AC101</f>
        <v xml:space="preserve"> </v>
      </c>
      <c r="D479" s="13" t="str">
        <f ca="1">Start.listina!AD101</f>
        <v xml:space="preserve"> </v>
      </c>
      <c r="E479" s="13">
        <f ca="1">Start.listina!AE101</f>
        <v>9999</v>
      </c>
      <c r="F479" s="13">
        <f ca="1">Start.listina!AF101</f>
        <v>0</v>
      </c>
    </row>
    <row r="480" spans="1:6" x14ac:dyDescent="0.4">
      <c r="A480" s="13" t="str">
        <f ca="1">Start.listina!AA102</f>
        <v/>
      </c>
      <c r="B480" s="13" t="str">
        <f ca="1">Start.listina!AB102</f>
        <v xml:space="preserve"> </v>
      </c>
      <c r="C480" s="13" t="str">
        <f ca="1">Start.listina!AC102</f>
        <v xml:space="preserve"> </v>
      </c>
      <c r="D480" s="13" t="str">
        <f ca="1">Start.listina!AD102</f>
        <v xml:space="preserve"> </v>
      </c>
      <c r="E480" s="13">
        <f ca="1">Start.listina!AE102</f>
        <v>9999</v>
      </c>
      <c r="F480" s="13">
        <f ca="1">Start.listina!AF102</f>
        <v>0</v>
      </c>
    </row>
    <row r="481" spans="1:6" x14ac:dyDescent="0.4">
      <c r="A481" s="13" t="str">
        <f ca="1">Start.listina!AA103</f>
        <v/>
      </c>
      <c r="B481" s="13" t="str">
        <f ca="1">Start.listina!AB103</f>
        <v xml:space="preserve"> </v>
      </c>
      <c r="C481" s="13" t="str">
        <f ca="1">Start.listina!AC103</f>
        <v xml:space="preserve"> </v>
      </c>
      <c r="D481" s="13" t="str">
        <f ca="1">Start.listina!AD103</f>
        <v xml:space="preserve"> </v>
      </c>
      <c r="E481" s="13">
        <f ca="1">Start.listina!AE103</f>
        <v>9999</v>
      </c>
      <c r="F481" s="13">
        <f ca="1">Start.listina!AF103</f>
        <v>0</v>
      </c>
    </row>
    <row r="482" spans="1:6" x14ac:dyDescent="0.4">
      <c r="A482" s="13" t="str">
        <f ca="1">Start.listina!AA104</f>
        <v/>
      </c>
      <c r="B482" s="13" t="str">
        <f ca="1">Start.listina!AB104</f>
        <v xml:space="preserve"> </v>
      </c>
      <c r="C482" s="13" t="str">
        <f ca="1">Start.listina!AC104</f>
        <v xml:space="preserve"> </v>
      </c>
      <c r="D482" s="13" t="str">
        <f ca="1">Start.listina!AD104</f>
        <v xml:space="preserve"> </v>
      </c>
      <c r="E482" s="13">
        <f ca="1">Start.listina!AE104</f>
        <v>9999</v>
      </c>
      <c r="F482" s="13">
        <f ca="1">Start.listina!AF104</f>
        <v>0</v>
      </c>
    </row>
    <row r="483" spans="1:6" x14ac:dyDescent="0.4">
      <c r="A483" s="13" t="str">
        <f ca="1">Start.listina!AA105</f>
        <v/>
      </c>
      <c r="B483" s="13" t="str">
        <f ca="1">Start.listina!AB105</f>
        <v xml:space="preserve"> </v>
      </c>
      <c r="C483" s="13" t="str">
        <f ca="1">Start.listina!AC105</f>
        <v xml:space="preserve"> </v>
      </c>
      <c r="D483" s="13" t="str">
        <f ca="1">Start.listina!AD105</f>
        <v xml:space="preserve"> </v>
      </c>
      <c r="E483" s="13">
        <f ca="1">Start.listina!AE105</f>
        <v>9999</v>
      </c>
      <c r="F483" s="13">
        <f ca="1">Start.listina!AF105</f>
        <v>0</v>
      </c>
    </row>
    <row r="484" spans="1:6" x14ac:dyDescent="0.4">
      <c r="A484" s="13" t="str">
        <f ca="1">Start.listina!AA106</f>
        <v/>
      </c>
      <c r="B484" s="13" t="str">
        <f ca="1">Start.listina!AB106</f>
        <v xml:space="preserve"> </v>
      </c>
      <c r="C484" s="13" t="str">
        <f ca="1">Start.listina!AC106</f>
        <v xml:space="preserve"> </v>
      </c>
      <c r="D484" s="13" t="str">
        <f ca="1">Start.listina!AD106</f>
        <v xml:space="preserve"> </v>
      </c>
      <c r="E484" s="13">
        <f ca="1">Start.listina!AE106</f>
        <v>9999</v>
      </c>
      <c r="F484" s="13">
        <f ca="1">Start.listina!AF106</f>
        <v>0</v>
      </c>
    </row>
    <row r="485" spans="1:6" x14ac:dyDescent="0.4">
      <c r="A485" s="13" t="str">
        <f ca="1">Start.listina!AA107</f>
        <v/>
      </c>
      <c r="B485" s="13" t="str">
        <f ca="1">Start.listina!AB107</f>
        <v xml:space="preserve"> </v>
      </c>
      <c r="C485" s="13" t="str">
        <f ca="1">Start.listina!AC107</f>
        <v xml:space="preserve"> </v>
      </c>
      <c r="D485" s="13" t="str">
        <f ca="1">Start.listina!AD107</f>
        <v xml:space="preserve"> </v>
      </c>
      <c r="E485" s="13">
        <f ca="1">Start.listina!AE107</f>
        <v>9999</v>
      </c>
      <c r="F485" s="13">
        <f ca="1">Start.listina!AF107</f>
        <v>0</v>
      </c>
    </row>
    <row r="486" spans="1:6" x14ac:dyDescent="0.4">
      <c r="A486" s="13" t="str">
        <f ca="1">Start.listina!AA108</f>
        <v/>
      </c>
      <c r="B486" s="13" t="str">
        <f ca="1">Start.listina!AB108</f>
        <v xml:space="preserve"> </v>
      </c>
      <c r="C486" s="13" t="str">
        <f ca="1">Start.listina!AC108</f>
        <v xml:space="preserve"> </v>
      </c>
      <c r="D486" s="13" t="str">
        <f ca="1">Start.listina!AD108</f>
        <v xml:space="preserve"> </v>
      </c>
      <c r="E486" s="13">
        <f ca="1">Start.listina!AE108</f>
        <v>9999</v>
      </c>
      <c r="F486" s="13">
        <f ca="1">Start.listina!AF108</f>
        <v>0</v>
      </c>
    </row>
    <row r="487" spans="1:6" x14ac:dyDescent="0.4">
      <c r="A487" s="13" t="str">
        <f ca="1">Start.listina!AA109</f>
        <v/>
      </c>
      <c r="B487" s="13" t="str">
        <f ca="1">Start.listina!AB109</f>
        <v xml:space="preserve"> </v>
      </c>
      <c r="C487" s="13" t="str">
        <f ca="1">Start.listina!AC109</f>
        <v xml:space="preserve"> </v>
      </c>
      <c r="D487" s="13" t="str">
        <f ca="1">Start.listina!AD109</f>
        <v xml:space="preserve"> </v>
      </c>
      <c r="E487" s="13">
        <f ca="1">Start.listina!AE109</f>
        <v>9999</v>
      </c>
      <c r="F487" s="13">
        <f ca="1">Start.listina!AF109</f>
        <v>0</v>
      </c>
    </row>
    <row r="488" spans="1:6" x14ac:dyDescent="0.4">
      <c r="A488" s="13" t="str">
        <f ca="1">Start.listina!AA110</f>
        <v/>
      </c>
      <c r="B488" s="13" t="str">
        <f ca="1">Start.listina!AB110</f>
        <v xml:space="preserve"> </v>
      </c>
      <c r="C488" s="13" t="str">
        <f ca="1">Start.listina!AC110</f>
        <v xml:space="preserve"> </v>
      </c>
      <c r="D488" s="13" t="str">
        <f ca="1">Start.listina!AD110</f>
        <v xml:space="preserve"> </v>
      </c>
      <c r="E488" s="13">
        <f ca="1">Start.listina!AE110</f>
        <v>9999</v>
      </c>
      <c r="F488" s="13">
        <f ca="1">Start.listina!AF110</f>
        <v>0</v>
      </c>
    </row>
    <row r="489" spans="1:6" x14ac:dyDescent="0.4">
      <c r="A489" s="13" t="str">
        <f ca="1">Start.listina!AA111</f>
        <v/>
      </c>
      <c r="B489" s="13" t="str">
        <f ca="1">Start.listina!AB111</f>
        <v xml:space="preserve"> </v>
      </c>
      <c r="C489" s="13" t="str">
        <f ca="1">Start.listina!AC111</f>
        <v xml:space="preserve"> </v>
      </c>
      <c r="D489" s="13" t="str">
        <f ca="1">Start.listina!AD111</f>
        <v xml:space="preserve"> </v>
      </c>
      <c r="E489" s="13">
        <f ca="1">Start.listina!AE111</f>
        <v>9999</v>
      </c>
      <c r="F489" s="13">
        <f ca="1">Start.listina!AF111</f>
        <v>0</v>
      </c>
    </row>
    <row r="490" spans="1:6" x14ac:dyDescent="0.4">
      <c r="A490" s="13" t="str">
        <f ca="1">Start.listina!AA112</f>
        <v/>
      </c>
      <c r="B490" s="13" t="str">
        <f ca="1">Start.listina!AB112</f>
        <v xml:space="preserve"> </v>
      </c>
      <c r="C490" s="13" t="str">
        <f ca="1">Start.listina!AC112</f>
        <v xml:space="preserve"> </v>
      </c>
      <c r="D490" s="13" t="str">
        <f ca="1">Start.listina!AD112</f>
        <v xml:space="preserve"> </v>
      </c>
      <c r="E490" s="13">
        <f ca="1">Start.listina!AE112</f>
        <v>9999</v>
      </c>
      <c r="F490" s="13">
        <f ca="1">Start.listina!AF112</f>
        <v>0</v>
      </c>
    </row>
    <row r="491" spans="1:6" x14ac:dyDescent="0.4">
      <c r="A491" s="13" t="str">
        <f ca="1">Start.listina!AA113</f>
        <v/>
      </c>
      <c r="B491" s="13" t="str">
        <f ca="1">Start.listina!AB113</f>
        <v xml:space="preserve"> </v>
      </c>
      <c r="C491" s="13" t="str">
        <f ca="1">Start.listina!AC113</f>
        <v xml:space="preserve"> </v>
      </c>
      <c r="D491" s="13" t="str">
        <f ca="1">Start.listina!AD113</f>
        <v xml:space="preserve"> </v>
      </c>
      <c r="E491" s="13">
        <f ca="1">Start.listina!AE113</f>
        <v>9999</v>
      </c>
      <c r="F491" s="13">
        <f ca="1">Start.listina!AF113</f>
        <v>0</v>
      </c>
    </row>
    <row r="492" spans="1:6" x14ac:dyDescent="0.4">
      <c r="A492" s="13" t="str">
        <f ca="1">Start.listina!AA114</f>
        <v/>
      </c>
      <c r="B492" s="13" t="str">
        <f ca="1">Start.listina!AB114</f>
        <v xml:space="preserve"> </v>
      </c>
      <c r="C492" s="13" t="str">
        <f ca="1">Start.listina!AC114</f>
        <v xml:space="preserve"> </v>
      </c>
      <c r="D492" s="13" t="str">
        <f ca="1">Start.listina!AD114</f>
        <v xml:space="preserve"> </v>
      </c>
      <c r="E492" s="13">
        <f ca="1">Start.listina!AE114</f>
        <v>9999</v>
      </c>
      <c r="F492" s="13">
        <f ca="1">Start.listina!AF114</f>
        <v>0</v>
      </c>
    </row>
    <row r="493" spans="1:6" x14ac:dyDescent="0.4">
      <c r="A493" s="13" t="str">
        <f ca="1">Start.listina!AA115</f>
        <v/>
      </c>
      <c r="B493" s="13" t="str">
        <f ca="1">Start.listina!AB115</f>
        <v xml:space="preserve"> </v>
      </c>
      <c r="C493" s="13" t="str">
        <f ca="1">Start.listina!AC115</f>
        <v xml:space="preserve"> </v>
      </c>
      <c r="D493" s="13" t="str">
        <f ca="1">Start.listina!AD115</f>
        <v xml:space="preserve"> </v>
      </c>
      <c r="E493" s="13">
        <f ca="1">Start.listina!AE115</f>
        <v>9999</v>
      </c>
      <c r="F493" s="13">
        <f ca="1">Start.listina!AF115</f>
        <v>0</v>
      </c>
    </row>
    <row r="494" spans="1:6" x14ac:dyDescent="0.4">
      <c r="A494" s="13" t="str">
        <f ca="1">Start.listina!AA116</f>
        <v/>
      </c>
      <c r="B494" s="13" t="str">
        <f ca="1">Start.listina!AB116</f>
        <v xml:space="preserve"> </v>
      </c>
      <c r="C494" s="13" t="str">
        <f ca="1">Start.listina!AC116</f>
        <v xml:space="preserve"> </v>
      </c>
      <c r="D494" s="13" t="str">
        <f ca="1">Start.listina!AD116</f>
        <v xml:space="preserve"> </v>
      </c>
      <c r="E494" s="13">
        <f ca="1">Start.listina!AE116</f>
        <v>9999</v>
      </c>
      <c r="F494" s="13">
        <f ca="1">Start.listina!AF116</f>
        <v>0</v>
      </c>
    </row>
    <row r="495" spans="1:6" x14ac:dyDescent="0.4">
      <c r="A495" s="13" t="str">
        <f ca="1">Start.listina!AA117</f>
        <v/>
      </c>
      <c r="B495" s="13" t="str">
        <f ca="1">Start.listina!AB117</f>
        <v xml:space="preserve"> </v>
      </c>
      <c r="C495" s="13" t="str">
        <f ca="1">Start.listina!AC117</f>
        <v xml:space="preserve"> </v>
      </c>
      <c r="D495" s="13" t="str">
        <f ca="1">Start.listina!AD117</f>
        <v xml:space="preserve"> </v>
      </c>
      <c r="E495" s="13">
        <f ca="1">Start.listina!AE117</f>
        <v>9999</v>
      </c>
      <c r="F495" s="13">
        <f ca="1">Start.listina!AF117</f>
        <v>0</v>
      </c>
    </row>
    <row r="496" spans="1:6" x14ac:dyDescent="0.4">
      <c r="A496" s="13" t="str">
        <f ca="1">Start.listina!AA118</f>
        <v/>
      </c>
      <c r="B496" s="13" t="str">
        <f ca="1">Start.listina!AB118</f>
        <v xml:space="preserve"> </v>
      </c>
      <c r="C496" s="13" t="str">
        <f ca="1">Start.listina!AC118</f>
        <v xml:space="preserve"> </v>
      </c>
      <c r="D496" s="13" t="str">
        <f ca="1">Start.listina!AD118</f>
        <v xml:space="preserve"> </v>
      </c>
      <c r="E496" s="13">
        <f ca="1">Start.listina!AE118</f>
        <v>9999</v>
      </c>
      <c r="F496" s="13">
        <f ca="1">Start.listina!AF118</f>
        <v>0</v>
      </c>
    </row>
    <row r="497" spans="1:6" x14ac:dyDescent="0.4">
      <c r="A497" s="13" t="str">
        <f ca="1">Start.listina!AA119</f>
        <v/>
      </c>
      <c r="B497" s="13" t="str">
        <f ca="1">Start.listina!AB119</f>
        <v xml:space="preserve"> </v>
      </c>
      <c r="C497" s="13" t="str">
        <f ca="1">Start.listina!AC119</f>
        <v xml:space="preserve"> </v>
      </c>
      <c r="D497" s="13" t="str">
        <f ca="1">Start.listina!AD119</f>
        <v xml:space="preserve"> </v>
      </c>
      <c r="E497" s="13">
        <f ca="1">Start.listina!AE119</f>
        <v>9999</v>
      </c>
      <c r="F497" s="13">
        <f ca="1">Start.listina!AF119</f>
        <v>0</v>
      </c>
    </row>
    <row r="498" spans="1:6" x14ac:dyDescent="0.4">
      <c r="A498" s="13" t="str">
        <f ca="1">Start.listina!AA120</f>
        <v/>
      </c>
      <c r="B498" s="13" t="str">
        <f ca="1">Start.listina!AB120</f>
        <v xml:space="preserve"> </v>
      </c>
      <c r="C498" s="13" t="str">
        <f ca="1">Start.listina!AC120</f>
        <v xml:space="preserve"> </v>
      </c>
      <c r="D498" s="13" t="str">
        <f ca="1">Start.listina!AD120</f>
        <v xml:space="preserve"> </v>
      </c>
      <c r="E498" s="13">
        <f ca="1">Start.listina!AE120</f>
        <v>9999</v>
      </c>
      <c r="F498" s="13">
        <f ca="1">Start.listina!AF120</f>
        <v>0</v>
      </c>
    </row>
    <row r="499" spans="1:6" x14ac:dyDescent="0.4">
      <c r="A499" s="13" t="str">
        <f ca="1">Start.listina!AA121</f>
        <v/>
      </c>
      <c r="B499" s="13" t="str">
        <f ca="1">Start.listina!AB121</f>
        <v xml:space="preserve"> </v>
      </c>
      <c r="C499" s="13" t="str">
        <f ca="1">Start.listina!AC121</f>
        <v xml:space="preserve"> </v>
      </c>
      <c r="D499" s="13" t="str">
        <f ca="1">Start.listina!AD121</f>
        <v xml:space="preserve"> </v>
      </c>
      <c r="E499" s="13">
        <f ca="1">Start.listina!AE121</f>
        <v>9999</v>
      </c>
      <c r="F499" s="13">
        <f ca="1">Start.listina!AF121</f>
        <v>0</v>
      </c>
    </row>
    <row r="500" spans="1:6" x14ac:dyDescent="0.4">
      <c r="A500" s="13" t="str">
        <f ca="1">Start.listina!AA122</f>
        <v/>
      </c>
      <c r="B500" s="13" t="str">
        <f ca="1">Start.listina!AB122</f>
        <v xml:space="preserve"> </v>
      </c>
      <c r="C500" s="13" t="str">
        <f ca="1">Start.listina!AC122</f>
        <v xml:space="preserve"> </v>
      </c>
      <c r="D500" s="13" t="str">
        <f ca="1">Start.listina!AD122</f>
        <v xml:space="preserve"> </v>
      </c>
      <c r="E500" s="13">
        <f ca="1">Start.listina!AE122</f>
        <v>9999</v>
      </c>
      <c r="F500" s="13">
        <f ca="1">Start.listina!AF122</f>
        <v>0</v>
      </c>
    </row>
    <row r="501" spans="1:6" x14ac:dyDescent="0.4">
      <c r="A501" s="13" t="str">
        <f ca="1">Start.listina!AA123</f>
        <v/>
      </c>
      <c r="B501" s="13" t="str">
        <f ca="1">Start.listina!AB123</f>
        <v xml:space="preserve"> </v>
      </c>
      <c r="C501" s="13" t="str">
        <f ca="1">Start.listina!AC123</f>
        <v xml:space="preserve"> </v>
      </c>
      <c r="D501" s="13" t="str">
        <f ca="1">Start.listina!AD123</f>
        <v xml:space="preserve"> </v>
      </c>
      <c r="E501" s="13">
        <f ca="1">Start.listina!AE123</f>
        <v>9999</v>
      </c>
      <c r="F501" s="13">
        <f ca="1">Start.listina!AF123</f>
        <v>0</v>
      </c>
    </row>
    <row r="502" spans="1:6" x14ac:dyDescent="0.4">
      <c r="A502" s="13" t="str">
        <f ca="1">Start.listina!AA124</f>
        <v/>
      </c>
      <c r="B502" s="13" t="str">
        <f ca="1">Start.listina!AB124</f>
        <v xml:space="preserve"> </v>
      </c>
      <c r="C502" s="13" t="str">
        <f ca="1">Start.listina!AC124</f>
        <v xml:space="preserve"> </v>
      </c>
      <c r="D502" s="13" t="str">
        <f ca="1">Start.listina!AD124</f>
        <v xml:space="preserve"> </v>
      </c>
      <c r="E502" s="13">
        <f ca="1">Start.listina!AE124</f>
        <v>9999</v>
      </c>
      <c r="F502" s="13">
        <f ca="1">Start.listina!AF124</f>
        <v>0</v>
      </c>
    </row>
    <row r="503" spans="1:6" x14ac:dyDescent="0.4">
      <c r="A503" s="13" t="str">
        <f ca="1">Start.listina!AA125</f>
        <v/>
      </c>
      <c r="B503" s="13" t="str">
        <f ca="1">Start.listina!AB125</f>
        <v xml:space="preserve"> </v>
      </c>
      <c r="C503" s="13" t="str">
        <f ca="1">Start.listina!AC125</f>
        <v xml:space="preserve"> </v>
      </c>
      <c r="D503" s="13" t="str">
        <f ca="1">Start.listina!AD125</f>
        <v xml:space="preserve"> </v>
      </c>
      <c r="E503" s="13">
        <f ca="1">Start.listina!AE125</f>
        <v>9999</v>
      </c>
      <c r="F503" s="13">
        <f ca="1">Start.listina!AF125</f>
        <v>0</v>
      </c>
    </row>
    <row r="504" spans="1:6" x14ac:dyDescent="0.4">
      <c r="A504" s="13" t="str">
        <f ca="1">Start.listina!AA126</f>
        <v/>
      </c>
      <c r="B504" s="13" t="str">
        <f ca="1">Start.listina!AB126</f>
        <v xml:space="preserve"> </v>
      </c>
      <c r="C504" s="13" t="str">
        <f ca="1">Start.listina!AC126</f>
        <v xml:space="preserve"> </v>
      </c>
      <c r="D504" s="13" t="str">
        <f ca="1">Start.listina!AD126</f>
        <v xml:space="preserve"> </v>
      </c>
      <c r="E504" s="13">
        <f ca="1">Start.listina!AE126</f>
        <v>9999</v>
      </c>
      <c r="F504" s="13">
        <f ca="1">Start.listina!AF126</f>
        <v>0</v>
      </c>
    </row>
    <row r="505" spans="1:6" x14ac:dyDescent="0.4">
      <c r="A505" s="13" t="str">
        <f ca="1">Start.listina!AA127</f>
        <v/>
      </c>
      <c r="B505" s="13" t="str">
        <f ca="1">Start.listina!AB127</f>
        <v xml:space="preserve"> </v>
      </c>
      <c r="C505" s="13" t="str">
        <f ca="1">Start.listina!AC127</f>
        <v xml:space="preserve"> </v>
      </c>
      <c r="D505" s="13" t="str">
        <f ca="1">Start.listina!AD127</f>
        <v xml:space="preserve"> </v>
      </c>
      <c r="E505" s="13">
        <f ca="1">Start.listina!AE127</f>
        <v>9999</v>
      </c>
      <c r="F505" s="13">
        <f ca="1">Start.listina!AF127</f>
        <v>0</v>
      </c>
    </row>
    <row r="506" spans="1:6" x14ac:dyDescent="0.4">
      <c r="A506" s="13" t="str">
        <f ca="1">Start.listina!AA128</f>
        <v/>
      </c>
      <c r="B506" s="13" t="str">
        <f ca="1">Start.listina!AB128</f>
        <v xml:space="preserve"> </v>
      </c>
      <c r="C506" s="13" t="str">
        <f ca="1">Start.listina!AC128</f>
        <v xml:space="preserve"> </v>
      </c>
      <c r="D506" s="13" t="str">
        <f ca="1">Start.listina!AD128</f>
        <v xml:space="preserve"> </v>
      </c>
      <c r="E506" s="13">
        <f ca="1">Start.listina!AE128</f>
        <v>9999</v>
      </c>
      <c r="F506" s="13">
        <f ca="1">Start.listina!AF128</f>
        <v>0</v>
      </c>
    </row>
    <row r="507" spans="1:6" x14ac:dyDescent="0.4">
      <c r="A507" s="13" t="str">
        <f ca="1">Start.listina!AA129</f>
        <v/>
      </c>
      <c r="B507" s="13" t="str">
        <f ca="1">Start.listina!AB129</f>
        <v xml:space="preserve"> </v>
      </c>
      <c r="C507" s="13" t="str">
        <f ca="1">Start.listina!AC129</f>
        <v xml:space="preserve"> </v>
      </c>
      <c r="D507" s="13" t="str">
        <f ca="1">Start.listina!AD129</f>
        <v xml:space="preserve"> </v>
      </c>
      <c r="E507" s="13">
        <f ca="1">Start.listina!AE129</f>
        <v>9999</v>
      </c>
      <c r="F507" s="13">
        <f ca="1">Start.listina!AF129</f>
        <v>0</v>
      </c>
    </row>
    <row r="508" spans="1:6" x14ac:dyDescent="0.4">
      <c r="A508" s="13" t="str">
        <f ca="1">Start.listina!AA130</f>
        <v/>
      </c>
      <c r="B508" s="13" t="str">
        <f ca="1">Start.listina!AB130</f>
        <v xml:space="preserve"> </v>
      </c>
      <c r="C508" s="13" t="str">
        <f ca="1">Start.listina!AC130</f>
        <v xml:space="preserve"> </v>
      </c>
      <c r="D508" s="13" t="str">
        <f ca="1">Start.listina!AD130</f>
        <v xml:space="preserve"> </v>
      </c>
      <c r="E508" s="13">
        <f ca="1">Start.listina!AE130</f>
        <v>9999</v>
      </c>
      <c r="F508" s="13">
        <f ca="1">Start.listina!AF130</f>
        <v>0</v>
      </c>
    </row>
    <row r="509" spans="1:6" x14ac:dyDescent="0.4">
      <c r="A509" s="13" t="str">
        <f ca="1">Start.listina!AA131</f>
        <v/>
      </c>
      <c r="B509" s="13" t="str">
        <f ca="1">Start.listina!AB131</f>
        <v xml:space="preserve"> </v>
      </c>
      <c r="C509" s="13" t="str">
        <f ca="1">Start.listina!AC131</f>
        <v xml:space="preserve"> </v>
      </c>
      <c r="D509" s="13" t="str">
        <f ca="1">Start.listina!AD131</f>
        <v xml:space="preserve"> </v>
      </c>
      <c r="E509" s="13">
        <f ca="1">Start.listina!AE131</f>
        <v>9999</v>
      </c>
      <c r="F509" s="13">
        <f ca="1">Start.listina!AF131</f>
        <v>0</v>
      </c>
    </row>
    <row r="510" spans="1:6" x14ac:dyDescent="0.4">
      <c r="A510" s="13" t="str">
        <f ca="1">Start.listina!AA132</f>
        <v/>
      </c>
      <c r="B510" s="13" t="str">
        <f ca="1">Start.listina!AB132</f>
        <v xml:space="preserve"> </v>
      </c>
      <c r="C510" s="13" t="str">
        <f ca="1">Start.listina!AC132</f>
        <v xml:space="preserve"> </v>
      </c>
      <c r="D510" s="13" t="str">
        <f ca="1">Start.listina!AD132</f>
        <v xml:space="preserve"> </v>
      </c>
      <c r="E510" s="13">
        <f ca="1">Start.listina!AE132</f>
        <v>9999</v>
      </c>
      <c r="F510" s="13">
        <f ca="1">Start.listina!AF132</f>
        <v>0</v>
      </c>
    </row>
    <row r="511" spans="1:6" x14ac:dyDescent="0.4">
      <c r="A511" s="13" t="str">
        <f ca="1">Start.listina!AA133</f>
        <v/>
      </c>
      <c r="B511" s="13" t="str">
        <f ca="1">Start.listina!AB133</f>
        <v xml:space="preserve"> </v>
      </c>
      <c r="C511" s="13" t="str">
        <f ca="1">Start.listina!AC133</f>
        <v xml:space="preserve"> </v>
      </c>
      <c r="D511" s="13" t="str">
        <f ca="1">Start.listina!AD133</f>
        <v xml:space="preserve"> </v>
      </c>
      <c r="E511" s="13">
        <f ca="1">Start.listina!AE133</f>
        <v>9999</v>
      </c>
      <c r="F511" s="13">
        <f ca="1">Start.listina!AF133</f>
        <v>0</v>
      </c>
    </row>
    <row r="512" spans="1:6" x14ac:dyDescent="0.4">
      <c r="A512" s="13" t="str">
        <f ca="1">Start.listina!AA134</f>
        <v/>
      </c>
      <c r="B512" s="13" t="str">
        <f ca="1">Start.listina!AB134</f>
        <v xml:space="preserve"> </v>
      </c>
      <c r="C512" s="13" t="str">
        <f ca="1">Start.listina!AC134</f>
        <v xml:space="preserve"> </v>
      </c>
      <c r="D512" s="13" t="str">
        <f ca="1">Start.listina!AD134</f>
        <v xml:space="preserve"> </v>
      </c>
      <c r="E512" s="13">
        <f ca="1">Start.listina!AE134</f>
        <v>9999</v>
      </c>
      <c r="F512" s="13">
        <f ca="1">Start.listina!AF134</f>
        <v>0</v>
      </c>
    </row>
    <row r="513" spans="1:6" x14ac:dyDescent="0.4">
      <c r="A513" s="13" t="str">
        <f ca="1">Start.listina!AA135</f>
        <v/>
      </c>
      <c r="B513" s="13" t="str">
        <f ca="1">Start.listina!AB135</f>
        <v xml:space="preserve"> </v>
      </c>
      <c r="C513" s="13" t="str">
        <f ca="1">Start.listina!AC135</f>
        <v xml:space="preserve"> </v>
      </c>
      <c r="D513" s="13" t="str">
        <f ca="1">Start.listina!AD135</f>
        <v xml:space="preserve"> </v>
      </c>
      <c r="E513" s="13">
        <f ca="1">Start.listina!AE135</f>
        <v>9999</v>
      </c>
      <c r="F513" s="13">
        <f ca="1">Start.listina!AF135</f>
        <v>0</v>
      </c>
    </row>
    <row r="514" spans="1:6" x14ac:dyDescent="0.4">
      <c r="A514" s="13" t="str">
        <f ca="1">Start.listina!AA136</f>
        <v/>
      </c>
      <c r="B514" s="13" t="str">
        <f ca="1">Start.listina!AB136</f>
        <v xml:space="preserve"> </v>
      </c>
      <c r="C514" s="13" t="str">
        <f ca="1">Start.listina!AC136</f>
        <v xml:space="preserve"> </v>
      </c>
      <c r="D514" s="13" t="str">
        <f ca="1">Start.listina!AD136</f>
        <v xml:space="preserve"> </v>
      </c>
      <c r="E514" s="13">
        <f ca="1">Start.listina!AE136</f>
        <v>9999</v>
      </c>
      <c r="F514" s="13">
        <f ca="1">Start.listina!AF136</f>
        <v>0</v>
      </c>
    </row>
    <row r="515" spans="1:6" x14ac:dyDescent="0.4">
      <c r="A515" s="13" t="str">
        <f ca="1">Start.listina!AA137</f>
        <v/>
      </c>
      <c r="B515" s="13" t="str">
        <f ca="1">Start.listina!AB137</f>
        <v xml:space="preserve"> </v>
      </c>
      <c r="C515" s="13" t="str">
        <f ca="1">Start.listina!AC137</f>
        <v xml:space="preserve"> </v>
      </c>
      <c r="D515" s="13" t="str">
        <f ca="1">Start.listina!AD137</f>
        <v xml:space="preserve"> </v>
      </c>
      <c r="E515" s="13">
        <f ca="1">Start.listina!AE137</f>
        <v>9999</v>
      </c>
      <c r="F515" s="13">
        <f ca="1">Start.listina!AF137</f>
        <v>0</v>
      </c>
    </row>
    <row r="516" spans="1:6" x14ac:dyDescent="0.4">
      <c r="A516" s="13" t="str">
        <f ca="1">Start.listina!AA138</f>
        <v/>
      </c>
      <c r="B516" s="13" t="str">
        <f ca="1">Start.listina!AB138</f>
        <v xml:space="preserve"> </v>
      </c>
      <c r="C516" s="13" t="str">
        <f ca="1">Start.listina!AC138</f>
        <v xml:space="preserve"> </v>
      </c>
      <c r="D516" s="13" t="str">
        <f ca="1">Start.listina!AD138</f>
        <v xml:space="preserve"> </v>
      </c>
      <c r="E516" s="13">
        <f ca="1">Start.listina!AE138</f>
        <v>9999</v>
      </c>
      <c r="F516" s="13">
        <f ca="1">Start.listina!AF138</f>
        <v>0</v>
      </c>
    </row>
  </sheetData>
  <phoneticPr fontId="0" type="noConversion"/>
  <pageMargins left="0.78740157480314965" right="0.78740157480314965" top="0.98425196850393704" bottom="0.98425196850393704" header="0.51181102362204722" footer="0.51181102362204722"/>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156" r:id="rId4" name="Button 12">
              <controlPr defaultSize="0" print="0" autoFill="0" autoPict="0" macro="[0]!Kvalita">
                <anchor moveWithCells="1">
                  <from>
                    <xdr:col>6</xdr:col>
                    <xdr:colOff>65314</xdr:colOff>
                    <xdr:row>0</xdr:row>
                    <xdr:rowOff>114300</xdr:rowOff>
                  </from>
                  <to>
                    <xdr:col>6</xdr:col>
                    <xdr:colOff>1132114</xdr:colOff>
                    <xdr:row>1</xdr:row>
                    <xdr:rowOff>419100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List7"/>
  <dimension ref="A1:BS130"/>
  <sheetViews>
    <sheetView workbookViewId="0">
      <pane xSplit="1" ySplit="2" topLeftCell="B3" activePane="bottomRight" state="frozen"/>
      <selection pane="topRight"/>
      <selection pane="bottomLeft"/>
      <selection pane="bottomRight" activeCell="B3" sqref="B3"/>
    </sheetView>
  </sheetViews>
  <sheetFormatPr defaultRowHeight="12" x14ac:dyDescent="0.4"/>
  <cols>
    <col min="2" max="2" width="38.25" customWidth="1"/>
    <col min="4" max="4" width="38.1640625" customWidth="1"/>
    <col min="8" max="8" width="3.25" customWidth="1"/>
    <col min="9" max="9" width="24.1640625" customWidth="1"/>
    <col min="10" max="11" width="2.75" customWidth="1"/>
    <col min="12" max="12" width="28" style="250" customWidth="1"/>
    <col min="13" max="13" width="5.25" style="243" customWidth="1"/>
    <col min="14" max="14" width="28" style="250" customWidth="1"/>
    <col min="15" max="15" width="5.25" style="243" customWidth="1"/>
    <col min="16" max="16" width="28" style="250" customWidth="1"/>
    <col min="17" max="17" width="5.25" style="243" customWidth="1"/>
    <col min="18" max="18" width="2.75" customWidth="1"/>
    <col min="19" max="19" width="28" style="250" customWidth="1"/>
    <col min="20" max="20" width="5.25" style="243" customWidth="1"/>
    <col min="21" max="21" width="3.75" customWidth="1"/>
    <col min="22" max="22" width="2.75" customWidth="1"/>
    <col min="23" max="23" width="28" style="250" customWidth="1"/>
    <col min="24" max="24" width="5.25" style="243" customWidth="1"/>
    <col min="25" max="25" width="28" style="250" customWidth="1"/>
    <col min="26" max="26" width="5.25" style="243" customWidth="1"/>
    <col min="27" max="27" width="28" style="250" customWidth="1"/>
    <col min="28" max="28" width="5.25" style="243" customWidth="1"/>
    <col min="29" max="29" width="28" style="250" customWidth="1"/>
    <col min="30" max="30" width="2.75" customWidth="1"/>
    <col min="31" max="31" width="28" style="250" customWidth="1"/>
    <col min="32" max="32" width="5.25" style="243" customWidth="1"/>
    <col min="33" max="33" width="3.75" customWidth="1"/>
    <col min="34" max="34" width="2.75" customWidth="1"/>
    <col min="35" max="35" width="28" style="250" customWidth="1"/>
    <col min="36" max="36" width="5.25" style="243" customWidth="1"/>
    <col min="37" max="37" width="28" style="250" customWidth="1"/>
    <col min="38" max="38" width="5.25" style="243" customWidth="1"/>
    <col min="39" max="39" width="28" style="250" customWidth="1"/>
    <col min="40" max="40" width="5.25" style="243" customWidth="1"/>
    <col min="41" max="41" width="28" style="250" customWidth="1"/>
    <col min="42" max="42" width="5.25" style="243" customWidth="1"/>
    <col min="43" max="43" width="28" style="250" customWidth="1"/>
    <col min="44" max="44" width="5.25" style="243" customWidth="1"/>
    <col min="45" max="45" width="2.75" customWidth="1"/>
    <col min="46" max="46" width="28" style="250" customWidth="1"/>
    <col min="47" max="47" width="5.25" style="243" customWidth="1"/>
    <col min="48" max="48" width="28" style="250" customWidth="1"/>
    <col min="49" max="49" width="5.25" style="243" customWidth="1"/>
    <col min="50" max="50" width="28" style="250" customWidth="1"/>
    <col min="51" max="51" width="5.25" style="243" customWidth="1"/>
    <col min="52" max="52" width="28" style="250" customWidth="1"/>
    <col min="53" max="53" width="5.25" style="243" customWidth="1"/>
    <col min="54" max="54" width="28" style="250" customWidth="1"/>
    <col min="55" max="55" width="5.25" style="243" customWidth="1"/>
    <col min="56" max="56" width="28" style="250" customWidth="1"/>
    <col min="57" max="57" width="5.25" style="243" customWidth="1"/>
    <col min="58" max="58" width="2.75" customWidth="1"/>
    <col min="59" max="59" width="28" style="250" customWidth="1"/>
    <col min="60" max="60" width="5.25" style="243" customWidth="1"/>
    <col min="61" max="61" width="28" style="250" customWidth="1"/>
    <col min="62" max="62" width="5.25" style="243" customWidth="1"/>
    <col min="63" max="63" width="28" style="250" customWidth="1"/>
    <col min="64" max="64" width="5.25" style="243" customWidth="1"/>
    <col min="65" max="65" width="28" style="250" customWidth="1"/>
    <col min="66" max="66" width="5.25" style="243" customWidth="1"/>
    <col min="67" max="67" width="28" style="250" customWidth="1"/>
    <col min="68" max="68" width="5.25" style="243" customWidth="1"/>
    <col min="69" max="70" width="28" style="250" customWidth="1"/>
    <col min="71" max="71" width="5.25" style="243" customWidth="1"/>
  </cols>
  <sheetData>
    <row r="1" spans="1:71" ht="22.2" customHeight="1" thickBot="1" x14ac:dyDescent="0.8">
      <c r="B1" s="44" t="s">
        <v>1617</v>
      </c>
      <c r="E1" s="1" t="s">
        <v>1618</v>
      </c>
      <c r="F1" s="1" t="s">
        <v>1619</v>
      </c>
      <c r="G1" t="s">
        <v>1620</v>
      </c>
      <c r="I1" s="243">
        <v>9</v>
      </c>
      <c r="J1" s="243">
        <v>10</v>
      </c>
      <c r="K1" s="243">
        <v>11</v>
      </c>
      <c r="L1" s="243">
        <v>12</v>
      </c>
      <c r="M1" s="243">
        <v>13</v>
      </c>
      <c r="N1" s="243">
        <v>14</v>
      </c>
      <c r="O1" s="243">
        <v>15</v>
      </c>
      <c r="P1" s="243">
        <v>16</v>
      </c>
      <c r="Q1" s="243">
        <v>17</v>
      </c>
      <c r="R1" s="243">
        <v>18</v>
      </c>
      <c r="S1" s="243">
        <v>19</v>
      </c>
      <c r="T1" s="243">
        <v>20</v>
      </c>
      <c r="U1" s="243">
        <v>21</v>
      </c>
      <c r="V1" s="243">
        <v>22</v>
      </c>
      <c r="W1" s="243">
        <v>23</v>
      </c>
      <c r="X1" s="243">
        <v>24</v>
      </c>
      <c r="Y1" s="243">
        <v>25</v>
      </c>
      <c r="Z1" s="243">
        <v>26</v>
      </c>
      <c r="AA1" s="243">
        <v>27</v>
      </c>
      <c r="AB1" s="243">
        <v>28</v>
      </c>
      <c r="AC1" s="243">
        <v>29</v>
      </c>
      <c r="AD1" s="243">
        <v>30</v>
      </c>
      <c r="AE1" s="243">
        <v>31</v>
      </c>
      <c r="AF1" s="243">
        <v>32</v>
      </c>
      <c r="AG1" s="243">
        <v>33</v>
      </c>
      <c r="AH1" s="243">
        <v>34</v>
      </c>
      <c r="AI1" s="243">
        <v>35</v>
      </c>
      <c r="AJ1" s="243">
        <v>36</v>
      </c>
      <c r="AK1" s="243">
        <v>37</v>
      </c>
      <c r="AL1" s="243">
        <v>38</v>
      </c>
      <c r="AM1" s="243">
        <v>39</v>
      </c>
      <c r="AN1" s="243">
        <v>40</v>
      </c>
      <c r="AO1" s="243">
        <v>41</v>
      </c>
      <c r="AP1" s="243">
        <v>42</v>
      </c>
      <c r="AQ1" s="243">
        <v>43</v>
      </c>
      <c r="AR1" s="243">
        <v>44</v>
      </c>
      <c r="AS1" s="243">
        <v>45</v>
      </c>
      <c r="AT1" s="243">
        <v>46</v>
      </c>
      <c r="AU1" s="243">
        <v>47</v>
      </c>
      <c r="AV1" s="243">
        <v>48</v>
      </c>
      <c r="AW1" s="243">
        <v>49</v>
      </c>
      <c r="AX1" s="243">
        <v>50</v>
      </c>
      <c r="AY1" s="243">
        <v>51</v>
      </c>
      <c r="AZ1" s="243">
        <v>52</v>
      </c>
      <c r="BA1" s="243">
        <v>53</v>
      </c>
      <c r="BB1" s="243">
        <v>54</v>
      </c>
      <c r="BC1" s="243">
        <v>55</v>
      </c>
      <c r="BD1" s="243">
        <v>56</v>
      </c>
      <c r="BE1" s="243">
        <v>57</v>
      </c>
      <c r="BF1" s="243">
        <v>58</v>
      </c>
      <c r="BG1" s="243">
        <v>59</v>
      </c>
      <c r="BH1" s="243">
        <v>60</v>
      </c>
      <c r="BI1" s="243">
        <v>61</v>
      </c>
      <c r="BJ1" s="243">
        <v>62</v>
      </c>
      <c r="BK1" s="243">
        <v>63</v>
      </c>
      <c r="BL1" s="243">
        <v>64</v>
      </c>
      <c r="BM1" s="243">
        <v>65</v>
      </c>
      <c r="BN1" s="243">
        <v>66</v>
      </c>
      <c r="BO1" s="243">
        <v>67</v>
      </c>
      <c r="BP1" s="243">
        <v>68</v>
      </c>
      <c r="BQ1" s="243">
        <v>69</v>
      </c>
      <c r="BR1" s="243">
        <v>71</v>
      </c>
    </row>
    <row r="2" spans="1:71" ht="42.65" customHeight="1" thickBot="1" x14ac:dyDescent="0.45">
      <c r="A2" s="8" t="s">
        <v>1611</v>
      </c>
      <c r="B2" s="8" t="s">
        <v>1621</v>
      </c>
      <c r="C2" s="8" t="s">
        <v>1605</v>
      </c>
      <c r="D2" s="8" t="s">
        <v>1549</v>
      </c>
      <c r="E2" s="14">
        <f ca="1">Start.listina!O7</f>
        <v>29</v>
      </c>
      <c r="F2" s="14">
        <f ca="1">IF(MOD($E$2,2)&gt;0,0,1)</f>
        <v>0</v>
      </c>
      <c r="G2" s="14">
        <f ca="1">E2*2</f>
        <v>58</v>
      </c>
      <c r="H2" s="287" t="s">
        <v>1622</v>
      </c>
      <c r="I2" s="8" t="s">
        <v>1623</v>
      </c>
      <c r="K2" s="247" t="s">
        <v>1624</v>
      </c>
      <c r="L2" s="248">
        <v>2</v>
      </c>
      <c r="M2" s="248"/>
      <c r="N2" s="248">
        <v>1</v>
      </c>
      <c r="O2" s="248"/>
      <c r="P2" s="248" t="s">
        <v>1625</v>
      </c>
      <c r="Q2" s="248"/>
      <c r="R2" s="247" t="s">
        <v>1626</v>
      </c>
      <c r="S2" s="248"/>
      <c r="T2" s="248"/>
      <c r="V2" s="247" t="s">
        <v>1627</v>
      </c>
      <c r="W2" s="248">
        <v>4</v>
      </c>
      <c r="X2" s="248"/>
      <c r="Y2" s="248">
        <v>2</v>
      </c>
      <c r="Z2" s="248"/>
      <c r="AA2" s="248">
        <v>1</v>
      </c>
      <c r="AB2" s="248"/>
      <c r="AC2" s="248" t="s">
        <v>1625</v>
      </c>
      <c r="AD2" s="249" t="s">
        <v>1628</v>
      </c>
      <c r="AE2" s="248"/>
      <c r="AF2" s="248"/>
      <c r="AH2" s="247" t="s">
        <v>1629</v>
      </c>
      <c r="AI2" s="248">
        <v>8</v>
      </c>
      <c r="AJ2" s="248"/>
      <c r="AK2" s="248">
        <v>4</v>
      </c>
      <c r="AL2" s="248"/>
      <c r="AM2" s="248">
        <v>2</v>
      </c>
      <c r="AN2" s="248"/>
      <c r="AO2" s="248">
        <v>1</v>
      </c>
      <c r="AP2" s="248"/>
      <c r="AQ2" s="248" t="s">
        <v>1625</v>
      </c>
      <c r="AR2" s="248"/>
      <c r="AS2" s="247" t="s">
        <v>1630</v>
      </c>
      <c r="AT2" s="248">
        <v>16</v>
      </c>
      <c r="AU2" s="248"/>
      <c r="AV2" s="248">
        <v>8</v>
      </c>
      <c r="AW2" s="248"/>
      <c r="AX2" s="248">
        <v>4</v>
      </c>
      <c r="AY2" s="248"/>
      <c r="AZ2" s="248">
        <v>2</v>
      </c>
      <c r="BA2" s="248"/>
      <c r="BB2" s="248">
        <v>1</v>
      </c>
      <c r="BC2" s="248"/>
      <c r="BD2" s="248" t="s">
        <v>1625</v>
      </c>
      <c r="BE2" s="248"/>
      <c r="BF2" s="247" t="s">
        <v>1631</v>
      </c>
      <c r="BG2" s="248">
        <v>32</v>
      </c>
      <c r="BH2" s="248"/>
      <c r="BI2" s="248">
        <v>16</v>
      </c>
      <c r="BJ2" s="248"/>
      <c r="BK2" s="248">
        <v>8</v>
      </c>
      <c r="BL2" s="248"/>
      <c r="BM2" s="248">
        <v>4</v>
      </c>
      <c r="BN2" s="248"/>
      <c r="BO2" s="248">
        <v>2</v>
      </c>
      <c r="BP2" s="248"/>
      <c r="BQ2" s="248">
        <v>1</v>
      </c>
      <c r="BR2" s="248" t="s">
        <v>1625</v>
      </c>
      <c r="BS2" s="248"/>
    </row>
    <row r="3" spans="1:71" x14ac:dyDescent="0.4">
      <c r="A3" s="1">
        <v>1</v>
      </c>
      <c r="B3" s="42" t="str">
        <f ca="1">IF(E3&gt;$G$2," - ",D3)</f>
        <v>4 1. KPK Vrchlabí - Srnský Lubomír</v>
      </c>
      <c r="C3" s="43">
        <f ca="1">IF(H3&gt;=IF(N(Start.listina!$Y$3)=0,1,Start.listina!$Y$3),IF(A3&lt;=IF(N(Start.listina!$Y$4)=0,Start.listina!$K$7,Start.listina!$Y$4),Centrum!$V3,""),"")</f>
        <v>4</v>
      </c>
      <c r="D3" s="42" t="str">
        <f ca="1">IF(TYPE(VLOOKUP(C3,Centrum!$A$3:$C$130,3,0))&gt;3," -",VLOOKUP(C3,Centrum!$A$3:$C$130,3,0))</f>
        <v>4 1. KPK Vrchlabí - Srnský Lubomír</v>
      </c>
      <c r="E3" s="1">
        <v>1</v>
      </c>
      <c r="F3">
        <f t="shared" ref="F3:F66" ca="1" si="0">IF(E3&gt;$E$2,IF($F$2&gt;0,IF(MOD(E3,2)=0,-1,1),0),0)</f>
        <v>0</v>
      </c>
      <c r="H3" s="1">
        <f ca="1">Centrum!$Y3</f>
        <v>4</v>
      </c>
      <c r="I3" s="250" t="str">
        <f ca="1">IF(OR(TRIM(N3)="-",TRIM(N3)="")," ",N3)</f>
        <v>4 1. KPK Vrchlabí - Srnský Lubomír</v>
      </c>
      <c r="L3" s="250" t="str">
        <f ca="1">VLOOKUP($A3,'KO4'!$G$6:$H$7,2,0)</f>
        <v>4 1. KPK Vrchlabí - Srnský Lubomír</v>
      </c>
      <c r="N3" s="250" t="str">
        <f ca="1">VLOOKUP($A3,'KO4'!$K$6:$L$7,2,0)</f>
        <v>4 1. KPK Vrchlabí - Srnský Lubomír</v>
      </c>
      <c r="W3" s="250" t="str">
        <f ca="1">VLOOKUP($A3,'KO8'!$G$6:$H$15,2,0)</f>
        <v>4 1. KPK Vrchlabí - Srnský Lubomír</v>
      </c>
      <c r="X3" s="243">
        <f>VLOOKUP($A3,'KO8'!$G$6:$I$15,3,0)</f>
        <v>1</v>
      </c>
      <c r="Y3" s="250" t="str">
        <f ca="1">VLOOKUP($A3,'KO8'!$K$10:$L$11,2,0)</f>
        <v>4 1. KPK Vrchlabí - Srnský Lubomír</v>
      </c>
      <c r="Z3" s="243">
        <f>VLOOKUP($A3,'KO8'!$K$10:$M$11,3,0)</f>
        <v>1</v>
      </c>
      <c r="AA3" s="250" t="str">
        <f ca="1">VLOOKUP($A3,'KO8'!$O$10:$P$11,2,0)</f>
        <v>4 1. KPK Vrchlabí - Srnský Lubomír</v>
      </c>
      <c r="AI3" s="250" t="str">
        <f ca="1">VLOOKUP($A3,'KO16'!$G$6:$H$31,2,0)</f>
        <v>4 1. KPK Vrchlabí - Srnský Lubomír</v>
      </c>
      <c r="AJ3" s="243">
        <f>VLOOKUP($A3,'KO16'!$G$6:$I$31,3,0)</f>
        <v>1</v>
      </c>
      <c r="AK3" s="250" t="str">
        <f ca="1">VLOOKUP($A3,'KO16'!$K$10:$L$27,2,0)</f>
        <v>4 1. KPK Vrchlabí - Srnský Lubomír</v>
      </c>
      <c r="AL3" s="243">
        <f>VLOOKUP($A3,'KO16'!$K$10:$M$27,3,0)</f>
        <v>1</v>
      </c>
      <c r="AM3" s="250" t="str">
        <f ca="1">VLOOKUP($A3,'KO16'!$O$18:$P$19,2,0)</f>
        <v>4 1. KPK Vrchlabí - Srnský Lubomír</v>
      </c>
      <c r="AN3" s="243">
        <f>VLOOKUP($A3,'KO16'!$O$18:$Q$19,3,0)</f>
        <v>1</v>
      </c>
      <c r="AO3" s="250" t="str">
        <f ca="1">VLOOKUP($A3,'KO16'!$S$18:$T$19,2,0)</f>
        <v>4 1. KPK Vrchlabí - Srnský Lubomír</v>
      </c>
      <c r="AT3" s="250" t="str">
        <f ca="1">VLOOKUP($A3,'KO32'!$G$6:$H$63,2,0)</f>
        <v>4 1. KPK Vrchlabí - Srnský Lubomír</v>
      </c>
      <c r="AU3" s="243" t="str">
        <f>VLOOKUP($A3,'KO32'!$G$6:$I$63,3,0)</f>
        <v/>
      </c>
      <c r="AV3" s="250" t="str">
        <f ca="1">VLOOKUP($A3,'KO32'!$K$10:$L$59,2,0)</f>
        <v xml:space="preserve"> </v>
      </c>
      <c r="AW3" s="243" t="str">
        <f>VLOOKUP($A3,'KO32'!$K$10:$M$59,3,0)</f>
        <v/>
      </c>
      <c r="AX3" s="250" t="str">
        <f ca="1">VLOOKUP($A3,'KO32'!$O$18:$P$51,2,0)</f>
        <v xml:space="preserve"> </v>
      </c>
      <c r="AY3" s="243" t="str">
        <f>VLOOKUP($A3,'KO32'!$O$18:$Q$51,3,0)</f>
        <v/>
      </c>
      <c r="AZ3" s="250" t="str">
        <f ca="1">VLOOKUP($A3,'KO32'!$S$34:$T$35,2,0)</f>
        <v xml:space="preserve"> </v>
      </c>
      <c r="BA3" s="243" t="str">
        <f>VLOOKUP($A3,'KO32'!$S$34:$U$35,3,0)</f>
        <v/>
      </c>
      <c r="BB3" s="250" t="str">
        <f>VLOOKUP($A3,'KO32'!$W$34:$X$35,2,0)</f>
        <v xml:space="preserve"> </v>
      </c>
      <c r="BG3" s="250" t="str">
        <f ca="1">VLOOKUP($A3,'KO64'!$G$6:$H$127,2,0)</f>
        <v>4 1. KPK Vrchlabí - Srnský Lubomír</v>
      </c>
      <c r="BH3" s="243">
        <f>VLOOKUP($A3,'KO64'!$G$6:$I$127,3,0)</f>
        <v>0</v>
      </c>
      <c r="BI3" s="250" t="str">
        <f ca="1">VLOOKUP($A3,'KO64'!$K$10:$L$123,2,0)</f>
        <v>4 1. KPK Vrchlabí - Srnský Lubomír</v>
      </c>
      <c r="BJ3" s="243">
        <f>VLOOKUP($A3,'KO64'!$K$10:$M$123,3,0)</f>
        <v>0</v>
      </c>
      <c r="BK3" s="250" t="str">
        <f ca="1">VLOOKUP($A3,'KO64'!$O$18:$P$115,2,0)</f>
        <v xml:space="preserve"> </v>
      </c>
      <c r="BL3" s="243">
        <f>VLOOKUP($A3,'KO64'!$O$18:$Q$115,3,0)</f>
        <v>0</v>
      </c>
      <c r="BM3" s="250" t="str">
        <f ca="1">VLOOKUP($A3,'KO64'!$S$34:$T$99,2,0)</f>
        <v xml:space="preserve"> </v>
      </c>
      <c r="BN3" s="243">
        <f>VLOOKUP($A3,'KO64'!$S$34:$U$99,3,0)</f>
        <v>0</v>
      </c>
      <c r="BO3" s="250" t="str">
        <f ca="1">VLOOKUP($A3,'KO64'!$W$66:$X$67,2,0)</f>
        <v xml:space="preserve"> </v>
      </c>
      <c r="BP3" s="243">
        <f>VLOOKUP($A3,'KO64'!$W$66:$Y$67,3,0)</f>
        <v>0</v>
      </c>
      <c r="BQ3" s="250" t="str">
        <f>VLOOKUP($A3,'KO64'!$AA$66:$AB$67,2,0)</f>
        <v xml:space="preserve"> </v>
      </c>
    </row>
    <row r="4" spans="1:71" x14ac:dyDescent="0.4">
      <c r="A4" s="1">
        <v>2</v>
      </c>
      <c r="B4" s="42" t="str">
        <f ca="1">IF(E4&gt;$G$2," - ",D4)</f>
        <v>1 PC Sokol Lipník - Vavrovič ml. Petr</v>
      </c>
      <c r="C4" s="43">
        <f ca="1">IF(H4&gt;=IF(N(Start.listina!$Y$3)=0,1,Start.listina!$Y$3),IF(A4&lt;=IF(N(Start.listina!$Y$4)=0,Start.listina!$K$7,Start.listina!$Y$4),Centrum!$V4,""),"")</f>
        <v>1</v>
      </c>
      <c r="D4" s="42" t="str">
        <f ca="1">IF(TYPE(VLOOKUP(C4,Centrum!$A$3:$C$130,3,0))&gt;3," -",VLOOKUP(C4,Centrum!$A$3:$C$130,3,0))</f>
        <v>1 PC Sokol Lipník - Vavrovič ml. Petr</v>
      </c>
      <c r="E4" s="1">
        <v>2</v>
      </c>
      <c r="F4">
        <f t="shared" ca="1" si="0"/>
        <v>0</v>
      </c>
      <c r="H4" s="1">
        <f ca="1">Centrum!$Y4</f>
        <v>4</v>
      </c>
      <c r="I4" s="250" t="str">
        <f ca="1">IF(OR(TRIM(N4)="-",TRIM(N4)="")," ",N4)</f>
        <v>14 PC Sokol Lipník - Morávek Petr</v>
      </c>
      <c r="L4" s="250" t="str">
        <f ca="1">VLOOKUP($A4,'KO4'!$G$6:$H$7,2,0)</f>
        <v>14 PC Sokol Lipník - Morávek Petr</v>
      </c>
      <c r="N4" s="250" t="str">
        <f ca="1">VLOOKUP($A4,'KO4'!$K$6:$L$7,2,0)</f>
        <v>14 PC Sokol Lipník - Morávek Petr</v>
      </c>
      <c r="W4" s="250" t="str">
        <f ca="1">VLOOKUP($A4,'KO8'!$G$6:$H$15,2,0)</f>
        <v>14 PC Sokol Lipník - Morávek Petr</v>
      </c>
      <c r="X4" s="243">
        <f>VLOOKUP($A4,'KO8'!$G$6:$I$15,3,0)</f>
        <v>1</v>
      </c>
      <c r="Y4" s="250" t="str">
        <f ca="1">VLOOKUP($A4,'KO8'!$K$10:$L$11,2,0)</f>
        <v>14 PC Sokol Lipník - Morávek Petr</v>
      </c>
      <c r="Z4" s="243" t="str">
        <f>VLOOKUP($A4,'KO8'!$K$10:$M$11,3,0)</f>
        <v/>
      </c>
      <c r="AA4" s="250" t="str">
        <f ca="1">VLOOKUP($A4,'KO8'!$O$10:$P$11,2,0)</f>
        <v>14 PC Sokol Lipník - Morávek Petr</v>
      </c>
      <c r="AI4" s="250" t="str">
        <f ca="1">VLOOKUP($A4,'KO16'!$G$6:$H$31,2,0)</f>
        <v>1 PC Sokol Lipník - Vavrovič ml. Petr</v>
      </c>
      <c r="AJ4" s="243" t="str">
        <f>VLOOKUP($A4,'KO16'!$G$6:$I$31,3,0)</f>
        <v/>
      </c>
      <c r="AK4" s="250" t="str">
        <f ca="1">VLOOKUP($A4,'KO16'!$K$10:$L$27,2,0)</f>
        <v>14 PC Sokol Lipník - Morávek Petr</v>
      </c>
      <c r="AL4" s="243">
        <f>VLOOKUP($A4,'KO16'!$K$10:$M$27,3,0)</f>
        <v>1</v>
      </c>
      <c r="AM4" s="250" t="str">
        <f ca="1">VLOOKUP($A4,'KO16'!$O$18:$P$19,2,0)</f>
        <v>14 PC Sokol Lipník - Morávek Petr</v>
      </c>
      <c r="AN4" s="243" t="str">
        <f>VLOOKUP($A4,'KO16'!$O$18:$Q$19,3,0)</f>
        <v/>
      </c>
      <c r="AO4" s="250" t="str">
        <f ca="1">VLOOKUP($A4,'KO16'!$S$18:$T$19,2,0)</f>
        <v>14 PC Sokol Lipník - Morávek Petr</v>
      </c>
      <c r="AT4" s="250" t="str">
        <f ca="1">VLOOKUP($A4,'KO32'!$G$6:$H$63,2,0)</f>
        <v>1 PC Sokol Lipník - Vavrovič ml. Petr</v>
      </c>
      <c r="AU4" s="243" t="str">
        <f>VLOOKUP($A4,'KO32'!$G$6:$I$63,3,0)</f>
        <v/>
      </c>
      <c r="AV4" s="250" t="str">
        <f ca="1">VLOOKUP($A4,'KO32'!$K$10:$L$59,2,0)</f>
        <v xml:space="preserve"> </v>
      </c>
      <c r="AW4" s="243" t="str">
        <f>VLOOKUP($A4,'KO32'!$K$10:$M$59,3,0)</f>
        <v/>
      </c>
      <c r="AX4" s="250" t="str">
        <f ca="1">VLOOKUP($A4,'KO32'!$O$18:$P$51,2,0)</f>
        <v xml:space="preserve"> </v>
      </c>
      <c r="AY4" s="243" t="str">
        <f>VLOOKUP($A4,'KO32'!$O$18:$Q$51,3,0)</f>
        <v/>
      </c>
      <c r="AZ4" s="250" t="str">
        <f ca="1">VLOOKUP($A4,'KO32'!$S$34:$T$35,2,0)</f>
        <v xml:space="preserve"> </v>
      </c>
      <c r="BA4" s="243" t="str">
        <f>VLOOKUP($A4,'KO32'!$S$34:$U$35,3,0)</f>
        <v/>
      </c>
      <c r="BB4" s="250" t="str">
        <f>VLOOKUP($A4,'KO32'!$W$34:$X$35,2,0)</f>
        <v xml:space="preserve"> </v>
      </c>
      <c r="BG4" s="250" t="str">
        <f ca="1">VLOOKUP($A4,'KO64'!$G$6:$H$127,2,0)</f>
        <v>1 PC Sokol Lipník - Vavrovič ml. Petr</v>
      </c>
      <c r="BH4" s="243">
        <f>VLOOKUP($A4,'KO64'!$G$6:$I$127,3,0)</f>
        <v>0</v>
      </c>
      <c r="BI4" s="250" t="str">
        <f ca="1">VLOOKUP($A4,'KO64'!$K$10:$L$123,2,0)</f>
        <v>1 PC Sokol Lipník - Vavrovič ml. Petr</v>
      </c>
      <c r="BJ4" s="243">
        <f>VLOOKUP($A4,'KO64'!$K$10:$M$123,3,0)</f>
        <v>0</v>
      </c>
      <c r="BK4" s="250" t="str">
        <f ca="1">VLOOKUP($A4,'KO64'!$O$18:$P$115,2,0)</f>
        <v xml:space="preserve"> </v>
      </c>
      <c r="BL4" s="243">
        <f>VLOOKUP($A4,'KO64'!$O$18:$Q$115,3,0)</f>
        <v>0</v>
      </c>
      <c r="BM4" s="250" t="str">
        <f ca="1">VLOOKUP($A4,'KO64'!$S$34:$T$99,2,0)</f>
        <v xml:space="preserve"> </v>
      </c>
      <c r="BN4" s="243">
        <f>VLOOKUP($A4,'KO64'!$S$34:$U$99,3,0)</f>
        <v>0</v>
      </c>
      <c r="BO4" s="250" t="str">
        <f ca="1">VLOOKUP($A4,'KO64'!$W$66:$X$67,2,0)</f>
        <v xml:space="preserve"> </v>
      </c>
      <c r="BP4" s="243">
        <f>VLOOKUP($A4,'KO64'!$W$66:$Y$67,3,0)</f>
        <v>0</v>
      </c>
      <c r="BQ4" s="250" t="str">
        <f>VLOOKUP($A4,'KO64'!$AA$66:$AB$67,2,0)</f>
        <v xml:space="preserve"> </v>
      </c>
    </row>
    <row r="5" spans="1:71" x14ac:dyDescent="0.4">
      <c r="A5" s="1">
        <v>3</v>
      </c>
      <c r="B5" s="42" t="str">
        <f t="shared" ref="B5:B12" ca="1" si="1">IF(E5&gt;$G$2," - ",D5)</f>
        <v>2 PLUK Jablonec - Lukáš Vojtěch</v>
      </c>
      <c r="C5" s="43">
        <f ca="1">IF(H5&gt;=IF(N(Start.listina!$Y$3)=0,1,Start.listina!$Y$3),IF(A5&lt;=IF(N(Start.listina!$Y$4)=0,Start.listina!$K$7,Start.listina!$Y$4),Centrum!$V5,""),"")</f>
        <v>2</v>
      </c>
      <c r="D5" s="42" t="str">
        <f ca="1">IF(TYPE(VLOOKUP(C5,Centrum!$A$3:$C$130,3,0))&gt;3," -",VLOOKUP(C5,Centrum!$A$3:$C$130,3,0))</f>
        <v>2 PLUK Jablonec - Lukáš Vojtěch</v>
      </c>
      <c r="E5" s="1">
        <v>3</v>
      </c>
      <c r="F5">
        <f t="shared" ca="1" si="0"/>
        <v>0</v>
      </c>
      <c r="H5" s="1">
        <f ca="1">Centrum!$Y5</f>
        <v>4</v>
      </c>
      <c r="I5" s="250" t="str">
        <f>IF(OR(TRIM(P5)="-",TRIM(P5)="")," ",P5)</f>
        <v xml:space="preserve"> </v>
      </c>
      <c r="P5" s="250" t="str">
        <f>VLOOKUP($A5,'KO4'!$K$16:$L$17,2,0)</f>
        <v xml:space="preserve"> </v>
      </c>
      <c r="W5" s="250" t="str">
        <f ca="1">VLOOKUP($A5,'KO8'!$G$6:$H$15,2,0)</f>
        <v>2 PLUK Jablonec - Lukáš Vojtěch</v>
      </c>
      <c r="X5" s="243" t="str">
        <f>VLOOKUP($A5,'KO8'!$G$6:$I$15,3,0)</f>
        <v/>
      </c>
      <c r="Y5" s="250" t="str">
        <f ca="1">VLOOKUP($A5,'KO8'!$K$10:$L$21,2,0)</f>
        <v>2 PLUK Jablonec - Lukáš Vojtěch</v>
      </c>
      <c r="Z5" s="243" t="str">
        <f>VLOOKUP($A5,'KO8'!$K$10:$M$21,3,0)</f>
        <v/>
      </c>
      <c r="AA5" s="250" t="str">
        <f>VLOOKUP($A5,'KO8'!$O$10:$P$21,2,0)</f>
        <v xml:space="preserve"> </v>
      </c>
      <c r="AC5" s="250" t="str">
        <f>VLOOKUP($A5,'KO8'!$O$20:$P$21,2,0)</f>
        <v xml:space="preserve"> </v>
      </c>
      <c r="AI5" s="250" t="str">
        <f ca="1">VLOOKUP($A5,'KO16'!$G$6:$H$31,2,0)</f>
        <v>2 PLUK Jablonec - Lukáš Vojtěch</v>
      </c>
      <c r="AJ5" s="243">
        <f>VLOOKUP($A5,'KO16'!$G$6:$I$31,3,0)</f>
        <v>1</v>
      </c>
      <c r="AK5" s="250" t="str">
        <f ca="1">VLOOKUP($A5,'KO16'!$K$10:$L$27,2,0)</f>
        <v>2 PLUK Jablonec - Lukáš Vojtěch</v>
      </c>
      <c r="AL5" s="243" t="str">
        <f>VLOOKUP($A5,'KO16'!$K$10:$M$27,3,0)</f>
        <v/>
      </c>
      <c r="AM5" s="250" t="str">
        <f ca="1">VLOOKUP($A5,'KO16'!$O$18:$P$33,2,0)</f>
        <v>2 PLUK Jablonec - Lukáš Vojtěch</v>
      </c>
      <c r="AN5" s="243" t="str">
        <f>VLOOKUP($A5,'KO16'!$O$18:$Q$33,3,0)</f>
        <v/>
      </c>
      <c r="AQ5" s="250" t="str">
        <f>VLOOKUP($A5,'KO16'!$S$32:$T$33,2,0)</f>
        <v xml:space="preserve"> </v>
      </c>
      <c r="AT5" s="250" t="str">
        <f ca="1">VLOOKUP($A5,'KO32'!$G$6:$H$63,2,0)</f>
        <v>2 PLUK Jablonec - Lukáš Vojtěch</v>
      </c>
      <c r="AU5" s="243" t="str">
        <f>VLOOKUP($A5,'KO32'!$G$6:$I$63,3,0)</f>
        <v/>
      </c>
      <c r="AV5" s="250" t="str">
        <f ca="1">VLOOKUP($A5,'KO32'!$K$10:$L$59,2,0)</f>
        <v xml:space="preserve"> </v>
      </c>
      <c r="AW5" s="243" t="str">
        <f>VLOOKUP($A5,'KO32'!$K$10:$M$59,3,0)</f>
        <v/>
      </c>
      <c r="AX5" s="250" t="str">
        <f ca="1">VLOOKUP($A5,'KO32'!$O$18:$P$51,2,0)</f>
        <v xml:space="preserve"> </v>
      </c>
      <c r="AY5" s="243" t="str">
        <f>VLOOKUP($A5,'KO32'!$O$18:$Q$51,3,0)</f>
        <v/>
      </c>
      <c r="AZ5" s="250" t="str">
        <f ca="1">VLOOKUP($A5,'KO32'!$S$34:$T$57,2,0)</f>
        <v xml:space="preserve"> </v>
      </c>
      <c r="BA5" s="243" t="str">
        <f>VLOOKUP($A5,'KO32'!$S$34:$U$57,3,0)</f>
        <v/>
      </c>
      <c r="BD5" s="250" t="str">
        <f>VLOOKUP($A5,'KO32'!$W$56:$X$57,2,0)</f>
        <v xml:space="preserve"> </v>
      </c>
      <c r="BG5" s="250" t="str">
        <f ca="1">VLOOKUP($A5,'KO64'!$G$6:$H$127,2,0)</f>
        <v>2 PLUK Jablonec - Lukáš Vojtěch</v>
      </c>
      <c r="BH5" s="243">
        <f>VLOOKUP($A5,'KO64'!$G$6:$I$127,3,0)</f>
        <v>0</v>
      </c>
      <c r="BI5" s="250" t="str">
        <f ca="1">VLOOKUP($A5,'KO64'!$K$10:$L$123,2,0)</f>
        <v>2 PLUK Jablonec - Lukáš Vojtěch</v>
      </c>
      <c r="BJ5" s="243">
        <f>VLOOKUP($A5,'KO64'!$K$10:$M$123,3,0)</f>
        <v>0</v>
      </c>
      <c r="BK5" s="250" t="str">
        <f ca="1">VLOOKUP($A5,'KO64'!$O$18:$P$115,2,0)</f>
        <v xml:space="preserve"> </v>
      </c>
      <c r="BL5" s="243">
        <f>VLOOKUP($A5,'KO64'!$O$18:$Q$115,3,0)</f>
        <v>0</v>
      </c>
      <c r="BM5" s="250" t="str">
        <f ca="1">VLOOKUP($A5,'KO64'!$S$34:$T$99,2,0)</f>
        <v xml:space="preserve"> </v>
      </c>
      <c r="BN5" s="243">
        <f>VLOOKUP($A5,'KO64'!$S$34:$U$99,3,0)</f>
        <v>0</v>
      </c>
      <c r="BO5" s="250" t="str">
        <f ca="1">VLOOKUP($A5,'KO64'!$W$66:$X$107,2,0)</f>
        <v xml:space="preserve"> </v>
      </c>
      <c r="BP5" s="243">
        <f>VLOOKUP($A5,'KO64'!$W$66:$Y$107,3,0)</f>
        <v>0</v>
      </c>
      <c r="BR5" s="250" t="str">
        <f>VLOOKUP($A5,'KO64'!$AA$106:$AB$107,2,0)</f>
        <v xml:space="preserve"> </v>
      </c>
    </row>
    <row r="6" spans="1:71" x14ac:dyDescent="0.4">
      <c r="A6" s="1">
        <v>4</v>
      </c>
      <c r="B6" s="42" t="str">
        <f t="shared" ca="1" si="1"/>
        <v>7 1. KPK Vrchlabí - Semeniv Maryana Khrystyna</v>
      </c>
      <c r="C6" s="43">
        <f ca="1">IF(H6&gt;=IF(N(Start.listina!$Y$3)=0,1,Start.listina!$Y$3),IF(A6&lt;=IF(N(Start.listina!$Y$4)=0,Start.listina!$K$7,Start.listina!$Y$4),Centrum!$V6,""),"")</f>
        <v>7</v>
      </c>
      <c r="D6" s="42" t="str">
        <f ca="1">IF(TYPE(VLOOKUP(C6,Centrum!$A$3:$C$130,3,0))&gt;3," -",VLOOKUP(C6,Centrum!$A$3:$C$130,3,0))</f>
        <v>7 1. KPK Vrchlabí - Semeniv Maryana Khrystyna</v>
      </c>
      <c r="E6" s="1">
        <v>4</v>
      </c>
      <c r="F6">
        <f t="shared" ca="1" si="0"/>
        <v>0</v>
      </c>
      <c r="H6" s="1">
        <f ca="1">Centrum!$Y6</f>
        <v>4</v>
      </c>
      <c r="I6" s="250" t="str">
        <f>IF(OR(TRIM(P6)="-",TRIM(P6)="")," ",P6)</f>
        <v xml:space="preserve"> </v>
      </c>
      <c r="P6" s="250" t="str">
        <f>VLOOKUP($A6,'KO4'!$K$16:$L$17,2,0)</f>
        <v xml:space="preserve"> </v>
      </c>
      <c r="W6" s="250" t="str">
        <f ca="1">VLOOKUP($A6,'KO8'!$G$6:$H$15,2,0)</f>
        <v>5 CdP Loděnice - Dlouhá Ivana</v>
      </c>
      <c r="X6" s="243" t="str">
        <f>VLOOKUP($A6,'KO8'!$G$6:$I$15,3,0)</f>
        <v/>
      </c>
      <c r="Y6" s="250" t="str">
        <f ca="1">VLOOKUP($A6,'KO8'!$K$10:$L$21,2,0)</f>
        <v>5 CdP Loděnice - Dlouhá Ivana</v>
      </c>
      <c r="Z6" s="243" t="str">
        <f>VLOOKUP($A6,'KO8'!$K$10:$M$21,3,0)</f>
        <v/>
      </c>
      <c r="AA6" s="250" t="str">
        <f>VLOOKUP($A6,'KO8'!$O$10:$P$21,2,0)</f>
        <v xml:space="preserve"> </v>
      </c>
      <c r="AC6" s="250" t="str">
        <f>VLOOKUP($A6,'KO8'!$O$20:$P$21,2,0)</f>
        <v xml:space="preserve"> </v>
      </c>
      <c r="AI6" s="250" t="str">
        <f ca="1">VLOOKUP($A6,'KO16'!$G$6:$H$31,2,0)</f>
        <v>7 1. KPK Vrchlabí - Semeniv Maryana Khrystyna</v>
      </c>
      <c r="AJ6" s="243" t="str">
        <f>VLOOKUP($A6,'KO16'!$G$6:$I$31,3,0)</f>
        <v/>
      </c>
      <c r="AK6" s="250" t="str">
        <f ca="1">VLOOKUP($A6,'KO16'!$K$10:$L$27,2,0)</f>
        <v>5 CdP Loděnice - Dlouhá Ivana</v>
      </c>
      <c r="AL6" s="243" t="str">
        <f>VLOOKUP($A6,'KO16'!$K$10:$M$27,3,0)</f>
        <v/>
      </c>
      <c r="AM6" s="250" t="str">
        <f ca="1">VLOOKUP($A6,'KO16'!$O$18:$P$33,2,0)</f>
        <v>5 CdP Loděnice - Dlouhá Ivana</v>
      </c>
      <c r="AN6" s="243" t="str">
        <f>VLOOKUP($A6,'KO16'!$O$18:$Q$33,3,0)</f>
        <v/>
      </c>
      <c r="AQ6" s="250" t="str">
        <f>VLOOKUP($A6,'KO16'!$S$32:$T$33,2,0)</f>
        <v xml:space="preserve"> </v>
      </c>
      <c r="AT6" s="250" t="str">
        <f ca="1">VLOOKUP($A6,'KO32'!$G$6:$H$63,2,0)</f>
        <v>7 1. KPK Vrchlabí - Semeniv Maryana Khrystyna</v>
      </c>
      <c r="AU6" s="243" t="str">
        <f>VLOOKUP($A6,'KO32'!$G$6:$I$63,3,0)</f>
        <v/>
      </c>
      <c r="AV6" s="250" t="str">
        <f ca="1">VLOOKUP($A6,'KO32'!$K$10:$L$59,2,0)</f>
        <v xml:space="preserve"> </v>
      </c>
      <c r="AW6" s="243" t="str">
        <f>VLOOKUP($A6,'KO32'!$K$10:$M$59,3,0)</f>
        <v/>
      </c>
      <c r="AX6" s="250" t="str">
        <f ca="1">VLOOKUP($A6,'KO32'!$O$18:$P$51,2,0)</f>
        <v xml:space="preserve"> </v>
      </c>
      <c r="AY6" s="243" t="str">
        <f>VLOOKUP($A6,'KO32'!$O$18:$Q$51,3,0)</f>
        <v/>
      </c>
      <c r="AZ6" s="250" t="str">
        <f ca="1">VLOOKUP($A6,'KO32'!$S$34:$T$57,2,0)</f>
        <v xml:space="preserve"> </v>
      </c>
      <c r="BA6" s="243" t="str">
        <f>VLOOKUP($A6,'KO32'!$S$34:$U$57,3,0)</f>
        <v/>
      </c>
      <c r="BD6" s="250" t="str">
        <f>VLOOKUP($A6,'KO32'!$W$56:$X$57,2,0)</f>
        <v xml:space="preserve"> </v>
      </c>
      <c r="BG6" s="250" t="str">
        <f ca="1">VLOOKUP($A6,'KO64'!$G$6:$H$127,2,0)</f>
        <v>7 1. KPK Vrchlabí - Semeniv Maryana Khrystyna</v>
      </c>
      <c r="BH6" s="243">
        <f>VLOOKUP($A6,'KO64'!$G$6:$I$127,3,0)</f>
        <v>0</v>
      </c>
      <c r="BI6" s="250" t="str">
        <f ca="1">VLOOKUP($A6,'KO64'!$K$10:$L$123,2,0)</f>
        <v>7 1. KPK Vrchlabí - Semeniv Maryana Khrystyna</v>
      </c>
      <c r="BJ6" s="243">
        <f>VLOOKUP($A6,'KO64'!$K$10:$M$123,3,0)</f>
        <v>0</v>
      </c>
      <c r="BK6" s="250" t="str">
        <f ca="1">VLOOKUP($A6,'KO64'!$O$18:$P$115,2,0)</f>
        <v xml:space="preserve"> </v>
      </c>
      <c r="BL6" s="243">
        <f>VLOOKUP($A6,'KO64'!$O$18:$Q$115,3,0)</f>
        <v>0</v>
      </c>
      <c r="BM6" s="250" t="str">
        <f ca="1">VLOOKUP($A6,'KO64'!$S$34:$T$99,2,0)</f>
        <v xml:space="preserve"> </v>
      </c>
      <c r="BN6" s="243">
        <f>VLOOKUP($A6,'KO64'!$S$34:$U$99,3,0)</f>
        <v>0</v>
      </c>
      <c r="BO6" s="250" t="str">
        <f ca="1">VLOOKUP($A6,'KO64'!$W$66:$X$107,2,0)</f>
        <v xml:space="preserve"> </v>
      </c>
      <c r="BP6" s="243">
        <f>VLOOKUP($A6,'KO64'!$W$66:$Y$107,3,0)</f>
        <v>0</v>
      </c>
      <c r="BR6" s="250" t="str">
        <f>VLOOKUP($A6,'KO64'!$AA$106:$AB$107,2,0)</f>
        <v xml:space="preserve"> </v>
      </c>
    </row>
    <row r="7" spans="1:71" x14ac:dyDescent="0.4">
      <c r="A7" s="1">
        <v>5</v>
      </c>
      <c r="B7" s="42" t="str">
        <f t="shared" ca="1" si="1"/>
        <v>23 PC Kolová - Horáček Jindřich</v>
      </c>
      <c r="C7" s="43">
        <f ca="1">IF(H7&gt;=IF(N(Start.listina!$Y$3)=0,1,Start.listina!$Y$3),IF(A7&lt;=IF(N(Start.listina!$Y$4)=0,Start.listina!$K$7,Start.listina!$Y$4),Centrum!$V7,""),"")</f>
        <v>23</v>
      </c>
      <c r="D7" s="42" t="str">
        <f ca="1">IF(TYPE(VLOOKUP(C7,Centrum!$A$3:$C$130,3,0))&gt;3," -",VLOOKUP(C7,Centrum!$A$3:$C$130,3,0))</f>
        <v>23 PC Kolová - Horáček Jindřich</v>
      </c>
      <c r="E7" s="1">
        <v>5</v>
      </c>
      <c r="F7">
        <f t="shared" ca="1" si="0"/>
        <v>0</v>
      </c>
      <c r="H7" s="1">
        <f ca="1">Centrum!$Y7</f>
        <v>3</v>
      </c>
      <c r="I7" s="250" t="str">
        <f>IF(OR(TRIM(S7)="-",TRIM(S7)="")," ",S7)</f>
        <v xml:space="preserve"> </v>
      </c>
      <c r="S7" s="250" t="str">
        <f>VLOOKUP($A7,'Dohrávka_5-8'!$K$6:$L$13,2,0)</f>
        <v xml:space="preserve"> </v>
      </c>
      <c r="AI7" s="250" t="str">
        <f ca="1">VLOOKUP($A7,'KO16'!$G$6:$H$31,2,0)</f>
        <v>5 CdP Loděnice - Dlouhá Ivana</v>
      </c>
      <c r="AJ7" s="243">
        <f>VLOOKUP($A7,'KO16'!$G$6:$I$31,3,0)</f>
        <v>1</v>
      </c>
      <c r="AT7" s="250" t="str">
        <f ca="1">VLOOKUP($A7,'KO32'!$G$6:$H$63,2,0)</f>
        <v>23 PC Kolová - Horáček Jindřich</v>
      </c>
      <c r="AU7" s="243" t="str">
        <f>VLOOKUP($A7,'KO32'!$G$6:$I$63,3,0)</f>
        <v/>
      </c>
      <c r="AV7" s="250" t="str">
        <f ca="1">VLOOKUP($A7,'KO32'!$K$10:$L$59,2,0)</f>
        <v xml:space="preserve"> </v>
      </c>
      <c r="AW7" s="243" t="str">
        <f>VLOOKUP($A7,'KO32'!$K$10:$M$59,3,0)</f>
        <v/>
      </c>
      <c r="BG7" s="250" t="str">
        <f ca="1">VLOOKUP($A7,'KO64'!$G$6:$H$127,2,0)</f>
        <v>23 PC Kolová - Horáček Jindřich</v>
      </c>
      <c r="BH7" s="243">
        <f>VLOOKUP($A7,'KO64'!$G$6:$I$127,3,0)</f>
        <v>0</v>
      </c>
      <c r="BI7" s="250" t="str">
        <f ca="1">VLOOKUP($A7,'KO64'!$K$10:$L$123,2,0)</f>
        <v>23 PC Kolová - Horáček Jindřich</v>
      </c>
      <c r="BJ7" s="243">
        <f>VLOOKUP($A7,'KO64'!$K$10:$M$123,3,0)</f>
        <v>0</v>
      </c>
      <c r="BK7" s="250" t="str">
        <f ca="1">VLOOKUP($A7,'KO64'!$O$18:$P$115,2,0)</f>
        <v xml:space="preserve"> </v>
      </c>
      <c r="BL7" s="243">
        <f>VLOOKUP($A7,'KO64'!$O$18:$Q$115,3,0)</f>
        <v>0</v>
      </c>
    </row>
    <row r="8" spans="1:71" x14ac:dyDescent="0.4">
      <c r="A8" s="1">
        <v>6</v>
      </c>
      <c r="B8" s="42" t="str">
        <f t="shared" ca="1" si="1"/>
        <v>21 SK Pétanque Řepy - Pastorek Jaroslav</v>
      </c>
      <c r="C8" s="43">
        <f ca="1">IF(H8&gt;=IF(N(Start.listina!$Y$3)=0,1,Start.listina!$Y$3),IF(A8&lt;=IF(N(Start.listina!$Y$4)=0,Start.listina!$K$7,Start.listina!$Y$4),Centrum!$V8,""),"")</f>
        <v>21</v>
      </c>
      <c r="D8" s="42" t="str">
        <f ca="1">IF(TYPE(VLOOKUP(C8,Centrum!$A$3:$C$130,3,0))&gt;3," -",VLOOKUP(C8,Centrum!$A$3:$C$130,3,0))</f>
        <v>21 SK Pétanque Řepy - Pastorek Jaroslav</v>
      </c>
      <c r="E8" s="1">
        <v>6</v>
      </c>
      <c r="F8">
        <f t="shared" ca="1" si="0"/>
        <v>0</v>
      </c>
      <c r="H8" s="1">
        <f ca="1">Centrum!$Y8</f>
        <v>3</v>
      </c>
      <c r="I8" s="250" t="str">
        <f>IF(OR(TRIM(S8)="-",TRIM(S8)="")," ",S8)</f>
        <v xml:space="preserve"> </v>
      </c>
      <c r="S8" s="250" t="str">
        <f>VLOOKUP($A8,'Dohrávka_5-8'!$K$6:$L$13,2,0)</f>
        <v xml:space="preserve"> </v>
      </c>
      <c r="AI8" s="250" t="str">
        <f ca="1">VLOOKUP($A8,'KO16'!$G$6:$H$31,2,0)</f>
        <v xml:space="preserve">51   - Erik, Dánsko  </v>
      </c>
      <c r="AJ8" s="243" t="str">
        <f>VLOOKUP($A8,'KO16'!$G$6:$I$31,3,0)</f>
        <v/>
      </c>
      <c r="AT8" s="250" t="str">
        <f ca="1">VLOOKUP($A8,'KO32'!$G$6:$H$63,2,0)</f>
        <v>21 SK Pétanque Řepy - Pastorek Jaroslav</v>
      </c>
      <c r="AU8" s="243" t="str">
        <f>VLOOKUP($A8,'KO32'!$G$6:$I$63,3,0)</f>
        <v/>
      </c>
      <c r="AV8" s="250" t="str">
        <f ca="1">VLOOKUP($A8,'KO32'!$K$10:$L$59,2,0)</f>
        <v xml:space="preserve"> </v>
      </c>
      <c r="AW8" s="243" t="str">
        <f>VLOOKUP($A8,'KO32'!$K$10:$M$59,3,0)</f>
        <v/>
      </c>
      <c r="BG8" s="250" t="str">
        <f ca="1">VLOOKUP($A8,'KO64'!$G$6:$H$127,2,0)</f>
        <v>21 SK Pétanque Řepy - Pastorek Jaroslav</v>
      </c>
      <c r="BH8" s="243">
        <f>VLOOKUP($A8,'KO64'!$G$6:$I$127,3,0)</f>
        <v>0</v>
      </c>
      <c r="BI8" s="250" t="str">
        <f ca="1">VLOOKUP($A8,'KO64'!$K$10:$L$123,2,0)</f>
        <v>21 SK Pétanque Řepy - Pastorek Jaroslav</v>
      </c>
      <c r="BJ8" s="243">
        <f>VLOOKUP($A8,'KO64'!$K$10:$M$123,3,0)</f>
        <v>0</v>
      </c>
      <c r="BK8" s="250" t="str">
        <f ca="1">VLOOKUP($A8,'KO64'!$O$18:$P$115,2,0)</f>
        <v xml:space="preserve"> </v>
      </c>
      <c r="BL8" s="243">
        <f>VLOOKUP($A8,'KO64'!$O$18:$Q$115,3,0)</f>
        <v>0</v>
      </c>
    </row>
    <row r="9" spans="1:71" x14ac:dyDescent="0.4">
      <c r="A9" s="1">
        <v>7</v>
      </c>
      <c r="B9" s="42" t="str">
        <f t="shared" ca="1" si="1"/>
        <v>14 PC Sokol Lipník - Morávek Petr</v>
      </c>
      <c r="C9" s="43">
        <f ca="1">IF(H9&gt;=IF(N(Start.listina!$Y$3)=0,1,Start.listina!$Y$3),IF(A9&lt;=IF(N(Start.listina!$Y$4)=0,Start.listina!$K$7,Start.listina!$Y$4),Centrum!$V9,""),"")</f>
        <v>14</v>
      </c>
      <c r="D9" s="42" t="str">
        <f ca="1">IF(TYPE(VLOOKUP(C9,Centrum!$A$3:$C$130,3,0))&gt;3," -",VLOOKUP(C9,Centrum!$A$3:$C$130,3,0))</f>
        <v>14 PC Sokol Lipník - Morávek Petr</v>
      </c>
      <c r="E9" s="1">
        <v>7</v>
      </c>
      <c r="F9">
        <f t="shared" ca="1" si="0"/>
        <v>0</v>
      </c>
      <c r="H9" s="1">
        <f ca="1">Centrum!$Y9</f>
        <v>3</v>
      </c>
      <c r="I9" s="250" t="str">
        <f>IF(OR(TRIM(S9)="-",TRIM(S9)="")," ",S9)</f>
        <v xml:space="preserve"> </v>
      </c>
      <c r="S9" s="250" t="str">
        <f>VLOOKUP($A9,'Dohrávka_5-8'!$K$6:$L$13,2,0)</f>
        <v xml:space="preserve"> </v>
      </c>
      <c r="AI9" s="250" t="str">
        <f ca="1">VLOOKUP($A9,'KO16'!$G$6:$H$31,2,0)</f>
        <v>14 PC Sokol Lipník - Morávek Petr</v>
      </c>
      <c r="AJ9" s="243">
        <f>VLOOKUP($A9,'KO16'!$G$6:$I$31,3,0)</f>
        <v>1</v>
      </c>
      <c r="AT9" s="250" t="str">
        <f ca="1">VLOOKUP($A9,'KO32'!$G$6:$H$63,2,0)</f>
        <v>14 PC Sokol Lipník - Morávek Petr</v>
      </c>
      <c r="AU9" s="243" t="str">
        <f>VLOOKUP($A9,'KO32'!$G$6:$I$63,3,0)</f>
        <v/>
      </c>
      <c r="AV9" s="250" t="str">
        <f ca="1">VLOOKUP($A9,'KO32'!$K$10:$L$59,2,0)</f>
        <v xml:space="preserve"> </v>
      </c>
      <c r="AW9" s="243" t="str">
        <f>VLOOKUP($A9,'KO32'!$K$10:$M$59,3,0)</f>
        <v/>
      </c>
      <c r="BG9" s="250" t="str">
        <f ca="1">VLOOKUP($A9,'KO64'!$G$6:$H$127,2,0)</f>
        <v>14 PC Sokol Lipník - Morávek Petr</v>
      </c>
      <c r="BH9" s="243">
        <f>VLOOKUP($A9,'KO64'!$G$6:$I$127,3,0)</f>
        <v>0</v>
      </c>
      <c r="BI9" s="250" t="str">
        <f ca="1">VLOOKUP($A9,'KO64'!$K$10:$L$123,2,0)</f>
        <v>14 PC Sokol Lipník - Morávek Petr</v>
      </c>
      <c r="BJ9" s="243">
        <f>VLOOKUP($A9,'KO64'!$K$10:$M$123,3,0)</f>
        <v>0</v>
      </c>
      <c r="BK9" s="250" t="str">
        <f ca="1">VLOOKUP($A9,'KO64'!$O$18:$P$115,2,0)</f>
        <v xml:space="preserve"> </v>
      </c>
      <c r="BL9" s="243">
        <f>VLOOKUP($A9,'KO64'!$O$18:$Q$115,3,0)</f>
        <v>0</v>
      </c>
    </row>
    <row r="10" spans="1:71" x14ac:dyDescent="0.4">
      <c r="A10" s="1">
        <v>8</v>
      </c>
      <c r="B10" s="42" t="str">
        <f t="shared" ca="1" si="1"/>
        <v>28 PC Sokol PP Hr. Králové - Hochmann Lukáš</v>
      </c>
      <c r="C10" s="43">
        <f ca="1">IF(H10&gt;=IF(N(Start.listina!$Y$3)=0,1,Start.listina!$Y$3),IF(A10&lt;=IF(N(Start.listina!$Y$4)=0,Start.listina!$K$7,Start.listina!$Y$4),Centrum!$V10,""),"")</f>
        <v>28</v>
      </c>
      <c r="D10" s="42" t="str">
        <f ca="1">IF(TYPE(VLOOKUP(C10,Centrum!$A$3:$C$130,3,0))&gt;3," -",VLOOKUP(C10,Centrum!$A$3:$C$130,3,0))</f>
        <v>28 PC Sokol PP Hr. Králové - Hochmann Lukáš</v>
      </c>
      <c r="E10" s="1">
        <v>8</v>
      </c>
      <c r="F10">
        <f t="shared" ca="1" si="0"/>
        <v>0</v>
      </c>
      <c r="H10" s="1">
        <f ca="1">Centrum!$Y10</f>
        <v>3</v>
      </c>
      <c r="I10" s="250" t="str">
        <f>IF(OR(TRIM(S10)="-",TRIM(S10)="")," ",S10)</f>
        <v xml:space="preserve"> </v>
      </c>
      <c r="S10" s="250" t="str">
        <f>VLOOKUP($A10,'Dohrávka_5-8'!$K$6:$L$13,2,0)</f>
        <v xml:space="preserve"> </v>
      </c>
      <c r="AI10" s="250" t="str">
        <f ca="1">VLOOKUP($A10,'KO16'!$G$6:$H$31,2,0)</f>
        <v>28 PC Sokol PP Hr. Králové - Hochmann Lukáš</v>
      </c>
      <c r="AJ10" s="243" t="str">
        <f>VLOOKUP($A10,'KO16'!$G$6:$I$31,3,0)</f>
        <v/>
      </c>
      <c r="AT10" s="250" t="str">
        <f ca="1">VLOOKUP($A10,'KO32'!$G$6:$H$63,2,0)</f>
        <v>28 PC Sokol PP Hr. Králové - Hochmann Lukáš</v>
      </c>
      <c r="AU10" s="243" t="str">
        <f>VLOOKUP($A10,'KO32'!$G$6:$I$63,3,0)</f>
        <v/>
      </c>
      <c r="AV10" s="250" t="str">
        <f ca="1">VLOOKUP($A10,'KO32'!$K$10:$L$59,2,0)</f>
        <v xml:space="preserve"> </v>
      </c>
      <c r="AW10" s="243" t="str">
        <f>VLOOKUP($A10,'KO32'!$K$10:$M$59,3,0)</f>
        <v/>
      </c>
      <c r="BG10" s="250" t="str">
        <f ca="1">VLOOKUP($A10,'KO64'!$G$6:$H$127,2,0)</f>
        <v>28 PC Sokol PP Hr. Králové - Hochmann Lukáš</v>
      </c>
      <c r="BH10" s="243">
        <f>VLOOKUP($A10,'KO64'!$G$6:$I$127,3,0)</f>
        <v>0</v>
      </c>
      <c r="BI10" s="250" t="str">
        <f ca="1">VLOOKUP($A10,'KO64'!$K$10:$L$123,2,0)</f>
        <v>28 PC Sokol PP Hr. Králové - Hochmann Lukáš</v>
      </c>
      <c r="BJ10" s="243">
        <f>VLOOKUP($A10,'KO64'!$K$10:$M$123,3,0)</f>
        <v>0</v>
      </c>
      <c r="BK10" s="250" t="str">
        <f ca="1">VLOOKUP($A10,'KO64'!$O$18:$P$115,2,0)</f>
        <v xml:space="preserve"> </v>
      </c>
      <c r="BL10" s="243">
        <f>VLOOKUP($A10,'KO64'!$O$18:$Q$115,3,0)</f>
        <v>0</v>
      </c>
    </row>
    <row r="11" spans="1:71" x14ac:dyDescent="0.4">
      <c r="A11" s="1">
        <v>9</v>
      </c>
      <c r="B11" s="42" t="str">
        <f t="shared" ca="1" si="1"/>
        <v>34 1. KPK Vrchlabí - Šebek Viktor</v>
      </c>
      <c r="C11" s="43">
        <f ca="1">IF(H11&gt;=IF(N(Start.listina!$Y$3)=0,1,Start.listina!$Y$3),IF(A11&lt;=IF(N(Start.listina!$Y$4)=0,Start.listina!$K$7,Start.listina!$Y$4),Centrum!$V11,""),"")</f>
        <v>34</v>
      </c>
      <c r="D11" s="42" t="str">
        <f ca="1">IF(TYPE(VLOOKUP(C11,Centrum!$A$3:$C$130,3,0))&gt;3," -",VLOOKUP(C11,Centrum!$A$3:$C$130,3,0))</f>
        <v>34 1. KPK Vrchlabí - Šebek Viktor</v>
      </c>
      <c r="E11" s="1">
        <v>9</v>
      </c>
      <c r="F11">
        <f t="shared" ca="1" si="0"/>
        <v>0</v>
      </c>
      <c r="H11" s="1">
        <f ca="1">Centrum!$Y11</f>
        <v>3</v>
      </c>
      <c r="I11" s="250" t="str">
        <f>IF(OR(TRIM(AE11)="-",TRIM(AE11)="")," ",AE11)</f>
        <v xml:space="preserve"> </v>
      </c>
      <c r="AE11" s="250" t="str">
        <f>VLOOKUP($A11,'Dohrávka_9-16'!$O$10:$P$35,2,0)</f>
        <v xml:space="preserve"> </v>
      </c>
      <c r="AT11" s="250" t="str">
        <f ca="1">VLOOKUP($A11,'KO32'!$G$6:$H$63,2,0)</f>
        <v>34 1. KPK Vrchlabí - Šebek Viktor</v>
      </c>
      <c r="AU11" s="243" t="str">
        <f>VLOOKUP($A11,'KO32'!$G$6:$I$63,3,0)</f>
        <v/>
      </c>
      <c r="BG11" s="250" t="str">
        <f ca="1">VLOOKUP($A11,'KO64'!$G$6:$H$127,2,0)</f>
        <v>34 1. KPK Vrchlabí - Šebek Viktor</v>
      </c>
      <c r="BH11" s="243">
        <f>VLOOKUP($A11,'KO64'!$G$6:$I$127,3,0)</f>
        <v>0</v>
      </c>
      <c r="BI11" s="250" t="str">
        <f ca="1">VLOOKUP($A11,'KO64'!$K$10:$L$123,2,0)</f>
        <v>34 1. KPK Vrchlabí - Šebek Viktor</v>
      </c>
      <c r="BJ11" s="243">
        <f>VLOOKUP($A11,'KO64'!$K$10:$M$123,3,0)</f>
        <v>0</v>
      </c>
    </row>
    <row r="12" spans="1:71" x14ac:dyDescent="0.4">
      <c r="A12" s="1">
        <v>10</v>
      </c>
      <c r="B12" s="42" t="str">
        <f t="shared" ca="1" si="1"/>
        <v>12 PC Mimo Done - Heller Jan</v>
      </c>
      <c r="C12" s="43">
        <f ca="1">IF(H12&gt;=IF(N(Start.listina!$Y$3)=0,1,Start.listina!$Y$3),IF(A12&lt;=IF(N(Start.listina!$Y$4)=0,Start.listina!$K$7,Start.listina!$Y$4),Centrum!$V12,""),"")</f>
        <v>12</v>
      </c>
      <c r="D12" s="42" t="str">
        <f ca="1">IF(TYPE(VLOOKUP(C12,Centrum!$A$3:$C$130,3,0))&gt;3," -",VLOOKUP(C12,Centrum!$A$3:$C$130,3,0))</f>
        <v>12 PC Mimo Done - Heller Jan</v>
      </c>
      <c r="E12" s="1">
        <v>10</v>
      </c>
      <c r="F12">
        <f t="shared" ca="1" si="0"/>
        <v>0</v>
      </c>
      <c r="H12" s="1">
        <f ca="1">Centrum!$Y12</f>
        <v>3</v>
      </c>
      <c r="I12" s="250" t="str">
        <f t="shared" ref="I12:I18" si="2">IF(OR(TRIM(AE12)="-",TRIM(AE12)="")," ",AE12)</f>
        <v xml:space="preserve"> </v>
      </c>
      <c r="AE12" s="250" t="str">
        <f>VLOOKUP($A12,'Dohrávka_9-16'!$O$10:$P$35,2,0)</f>
        <v xml:space="preserve"> </v>
      </c>
      <c r="AT12" s="250" t="str">
        <f ca="1">VLOOKUP($A12,'KO32'!$G$6:$H$63,2,0)</f>
        <v>12 PC Mimo Done - Heller Jan</v>
      </c>
      <c r="AU12" s="243" t="str">
        <f>VLOOKUP($A12,'KO32'!$G$6:$I$63,3,0)</f>
        <v/>
      </c>
      <c r="BG12" s="250" t="str">
        <f ca="1">VLOOKUP($A12,'KO64'!$G$6:$H$127,2,0)</f>
        <v>12 PC Mimo Done - Heller Jan</v>
      </c>
      <c r="BH12" s="243">
        <f>VLOOKUP($A12,'KO64'!$G$6:$I$127,3,0)</f>
        <v>0</v>
      </c>
      <c r="BI12" s="250" t="str">
        <f ca="1">VLOOKUP($A12,'KO64'!$K$10:$L$123,2,0)</f>
        <v>12 PC Mimo Done - Heller Jan</v>
      </c>
      <c r="BJ12" s="243">
        <f>VLOOKUP($A12,'KO64'!$K$10:$M$123,3,0)</f>
        <v>0</v>
      </c>
    </row>
    <row r="13" spans="1:71" x14ac:dyDescent="0.4">
      <c r="A13" s="1">
        <v>11</v>
      </c>
      <c r="B13" s="42" t="str">
        <f ca="1">IF(E13&gt;$G$2," - ",D13)</f>
        <v xml:space="preserve">51   - Erik, Dánsko  </v>
      </c>
      <c r="C13" s="43">
        <f ca="1">IF(H13&gt;=IF(N(Start.listina!$Y$3)=0,1,Start.listina!$Y$3),IF(A13&lt;=IF(N(Start.listina!$Y$4)=0,Start.listina!$K$7,Start.listina!$Y$4),Centrum!$V13,""),"")</f>
        <v>51</v>
      </c>
      <c r="D13" s="42" t="str">
        <f ca="1">IF(TYPE(VLOOKUP(C13,Centrum!$A$3:$C$130,3,0))&gt;3," -",VLOOKUP(C13,Centrum!$A$3:$C$130,3,0))</f>
        <v xml:space="preserve">51   - Erik, Dánsko  </v>
      </c>
      <c r="E13" s="1">
        <v>11</v>
      </c>
      <c r="F13">
        <f t="shared" ca="1" si="0"/>
        <v>0</v>
      </c>
      <c r="H13" s="1">
        <f ca="1">Centrum!$Y13</f>
        <v>3</v>
      </c>
      <c r="I13" s="250" t="str">
        <f t="shared" si="2"/>
        <v xml:space="preserve"> </v>
      </c>
      <c r="AE13" s="250" t="str">
        <f>VLOOKUP($A13,'Dohrávka_9-16'!$O$10:$P$35,2,0)</f>
        <v xml:space="preserve"> </v>
      </c>
      <c r="AT13" s="250" t="str">
        <f ca="1">VLOOKUP($A13,'KO32'!$G$6:$H$63,2,0)</f>
        <v xml:space="preserve">51   - Erik, Dánsko  </v>
      </c>
      <c r="AU13" s="243" t="str">
        <f>VLOOKUP($A13,'KO32'!$G$6:$I$63,3,0)</f>
        <v/>
      </c>
      <c r="BG13" s="250" t="str">
        <f ca="1">VLOOKUP($A13,'KO64'!$G$6:$H$127,2,0)</f>
        <v xml:space="preserve">51   - Erik, Dánsko  </v>
      </c>
      <c r="BH13" s="243">
        <f>VLOOKUP($A13,'KO64'!$G$6:$I$127,3,0)</f>
        <v>0</v>
      </c>
      <c r="BI13" s="250" t="str">
        <f ca="1">VLOOKUP($A13,'KO64'!$K$10:$L$123,2,0)</f>
        <v xml:space="preserve">51   - Erik, Dánsko  </v>
      </c>
      <c r="BJ13" s="243">
        <f>VLOOKUP($A13,'KO64'!$K$10:$M$123,3,0)</f>
        <v>0</v>
      </c>
    </row>
    <row r="14" spans="1:71" x14ac:dyDescent="0.4">
      <c r="A14" s="1">
        <v>12</v>
      </c>
      <c r="B14" s="42" t="str">
        <f t="shared" ref="B14:B66" ca="1" si="3">IF(E14&gt;$G$2," - ",D14)</f>
        <v>5 CdP Loděnice - Dlouhá Ivana</v>
      </c>
      <c r="C14" s="43">
        <f ca="1">IF(H14&gt;=IF(N(Start.listina!$Y$3)=0,1,Start.listina!$Y$3),IF(A14&lt;=IF(N(Start.listina!$Y$4)=0,Start.listina!$K$7,Start.listina!$Y$4),Centrum!$V14,""),"")</f>
        <v>5</v>
      </c>
      <c r="D14" s="42" t="str">
        <f ca="1">IF(TYPE(VLOOKUP(C14,Centrum!$A$3:$C$130,3,0))&gt;3," -",VLOOKUP(C14,Centrum!$A$3:$C$130,3,0))</f>
        <v>5 CdP Loděnice - Dlouhá Ivana</v>
      </c>
      <c r="E14" s="1">
        <v>12</v>
      </c>
      <c r="F14">
        <f t="shared" ca="1" si="0"/>
        <v>0</v>
      </c>
      <c r="H14" s="1">
        <f ca="1">Centrum!$Y14</f>
        <v>3</v>
      </c>
      <c r="I14" s="250" t="str">
        <f t="shared" si="2"/>
        <v xml:space="preserve"> </v>
      </c>
      <c r="AE14" s="250" t="str">
        <f>VLOOKUP($A14,'Dohrávka_9-16'!$O$10:$P$35,2,0)</f>
        <v xml:space="preserve"> </v>
      </c>
      <c r="AT14" s="250" t="str">
        <f ca="1">VLOOKUP($A14,'KO32'!$G$6:$H$63,2,0)</f>
        <v>5 CdP Loděnice - Dlouhá Ivana</v>
      </c>
      <c r="AU14" s="243" t="str">
        <f>VLOOKUP($A14,'KO32'!$G$6:$I$63,3,0)</f>
        <v/>
      </c>
      <c r="BG14" s="250" t="str">
        <f ca="1">VLOOKUP($A14,'KO64'!$G$6:$H$127,2,0)</f>
        <v>5 CdP Loděnice - Dlouhá Ivana</v>
      </c>
      <c r="BH14" s="243">
        <f>VLOOKUP($A14,'KO64'!$G$6:$I$127,3,0)</f>
        <v>0</v>
      </c>
      <c r="BI14" s="250" t="str">
        <f ca="1">VLOOKUP($A14,'KO64'!$K$10:$L$123,2,0)</f>
        <v>5 CdP Loděnice - Dlouhá Ivana</v>
      </c>
      <c r="BJ14" s="243">
        <f>VLOOKUP($A14,'KO64'!$K$10:$M$123,3,0)</f>
        <v>0</v>
      </c>
    </row>
    <row r="15" spans="1:71" x14ac:dyDescent="0.4">
      <c r="A15" s="1">
        <v>13</v>
      </c>
      <c r="B15" s="42" t="str">
        <f t="shared" ca="1" si="3"/>
        <v xml:space="preserve">52   - Jesper R, Dánsko  </v>
      </c>
      <c r="C15" s="43">
        <f ca="1">IF(H15&gt;=IF(N(Start.listina!$Y$3)=0,1,Start.listina!$Y$3),IF(A15&lt;=IF(N(Start.listina!$Y$4)=0,Start.listina!$K$7,Start.listina!$Y$4),Centrum!$V15,""),"")</f>
        <v>52</v>
      </c>
      <c r="D15" s="42" t="str">
        <f ca="1">IF(TYPE(VLOOKUP(C15,Centrum!$A$3:$C$130,3,0))&gt;3," -",VLOOKUP(C15,Centrum!$A$3:$C$130,3,0))</f>
        <v xml:space="preserve">52   - Jesper R, Dánsko  </v>
      </c>
      <c r="E15" s="1">
        <v>13</v>
      </c>
      <c r="F15">
        <f t="shared" ca="1" si="0"/>
        <v>0</v>
      </c>
      <c r="H15" s="1">
        <f ca="1">Centrum!$Y15</f>
        <v>3</v>
      </c>
      <c r="I15" s="250" t="str">
        <f t="shared" si="2"/>
        <v xml:space="preserve"> </v>
      </c>
      <c r="AE15" s="250" t="str">
        <f>VLOOKUP($A15,'Dohrávka_9-16'!$O$10:$P$35,2,0)</f>
        <v xml:space="preserve"> </v>
      </c>
      <c r="AT15" s="250" t="str">
        <f ca="1">VLOOKUP($A15,'KO32'!$G$6:$H$63,2,0)</f>
        <v xml:space="preserve">52   - Jesper R, Dánsko  </v>
      </c>
      <c r="AU15" s="243" t="str">
        <f>VLOOKUP($A15,'KO32'!$G$6:$I$63,3,0)</f>
        <v/>
      </c>
      <c r="BG15" s="250" t="str">
        <f ca="1">VLOOKUP($A15,'KO64'!$G$6:$H$127,2,0)</f>
        <v xml:space="preserve">52   - Jesper R, Dánsko  </v>
      </c>
      <c r="BH15" s="243">
        <f>VLOOKUP($A15,'KO64'!$G$6:$I$127,3,0)</f>
        <v>0</v>
      </c>
      <c r="BI15" s="250" t="str">
        <f ca="1">VLOOKUP($A15,'KO64'!$K$10:$L$123,2,0)</f>
        <v xml:space="preserve">52   - Jesper R, Dánsko  </v>
      </c>
      <c r="BJ15" s="243">
        <f>VLOOKUP($A15,'KO64'!$K$10:$M$123,3,0)</f>
        <v>0</v>
      </c>
    </row>
    <row r="16" spans="1:71" x14ac:dyDescent="0.4">
      <c r="A16" s="1">
        <v>14</v>
      </c>
      <c r="B16" s="42" t="str">
        <f t="shared" ca="1" si="3"/>
        <v>9 UBU Únětice - Palas Pavel</v>
      </c>
      <c r="C16" s="43">
        <f ca="1">IF(H16&gt;=IF(N(Start.listina!$Y$3)=0,1,Start.listina!$Y$3),IF(A16&lt;=IF(N(Start.listina!$Y$4)=0,Start.listina!$K$7,Start.listina!$Y$4),Centrum!$V16,""),"")</f>
        <v>9</v>
      </c>
      <c r="D16" s="42" t="str">
        <f ca="1">IF(TYPE(VLOOKUP(C16,Centrum!$A$3:$C$130,3,0))&gt;3," -",VLOOKUP(C16,Centrum!$A$3:$C$130,3,0))</f>
        <v>9 UBU Únětice - Palas Pavel</v>
      </c>
      <c r="E16" s="1">
        <v>14</v>
      </c>
      <c r="F16">
        <f t="shared" ca="1" si="0"/>
        <v>0</v>
      </c>
      <c r="H16" s="1">
        <f ca="1">Centrum!$Y16</f>
        <v>3</v>
      </c>
      <c r="I16" s="250" t="str">
        <f t="shared" si="2"/>
        <v xml:space="preserve"> </v>
      </c>
      <c r="AE16" s="250" t="str">
        <f>VLOOKUP($A16,'Dohrávka_9-16'!$O$10:$P$35,2,0)</f>
        <v xml:space="preserve"> </v>
      </c>
      <c r="AT16" s="250" t="str">
        <f ca="1">VLOOKUP($A16,'KO32'!$G$6:$H$63,2,0)</f>
        <v>9 UBU Únětice - Palas Pavel</v>
      </c>
      <c r="AU16" s="243" t="str">
        <f>VLOOKUP($A16,'KO32'!$G$6:$I$63,3,0)</f>
        <v/>
      </c>
      <c r="BG16" s="250" t="str">
        <f ca="1">VLOOKUP($A16,'KO64'!$G$6:$H$127,2,0)</f>
        <v>9 UBU Únětice - Palas Pavel</v>
      </c>
      <c r="BH16" s="243">
        <f>VLOOKUP($A16,'KO64'!$G$6:$I$127,3,0)</f>
        <v>0</v>
      </c>
      <c r="BI16" s="250" t="str">
        <f ca="1">VLOOKUP($A16,'KO64'!$K$10:$L$123,2,0)</f>
        <v>9 UBU Únětice - Palas Pavel</v>
      </c>
      <c r="BJ16" s="243">
        <f>VLOOKUP($A16,'KO64'!$K$10:$M$123,3,0)</f>
        <v>0</v>
      </c>
    </row>
    <row r="17" spans="1:62" x14ac:dyDescent="0.4">
      <c r="A17" s="1">
        <v>15</v>
      </c>
      <c r="B17" s="42" t="str">
        <f t="shared" ca="1" si="3"/>
        <v xml:space="preserve">44   - michael dánsko  </v>
      </c>
      <c r="C17" s="43">
        <f ca="1">IF(H17&gt;=IF(N(Start.listina!$Y$3)=0,1,Start.listina!$Y$3),IF(A17&lt;=IF(N(Start.listina!$Y$4)=0,Start.listina!$K$7,Start.listina!$Y$4),Centrum!$V17,""),"")</f>
        <v>44</v>
      </c>
      <c r="D17" s="42" t="str">
        <f ca="1">IF(TYPE(VLOOKUP(C17,Centrum!$A$3:$C$130,3,0))&gt;3," -",VLOOKUP(C17,Centrum!$A$3:$C$130,3,0))</f>
        <v xml:space="preserve">44   - michael dánsko  </v>
      </c>
      <c r="E17" s="1">
        <v>15</v>
      </c>
      <c r="F17">
        <f t="shared" ca="1" si="0"/>
        <v>0</v>
      </c>
      <c r="H17" s="1">
        <f ca="1">Centrum!$Y17</f>
        <v>3</v>
      </c>
      <c r="I17" s="250" t="str">
        <f t="shared" si="2"/>
        <v xml:space="preserve"> </v>
      </c>
      <c r="AE17" s="250" t="str">
        <f>VLOOKUP($A17,'Dohrávka_9-16'!$O$10:$P$35,2,0)</f>
        <v xml:space="preserve"> </v>
      </c>
      <c r="AT17" s="250" t="str">
        <f ca="1">VLOOKUP($A17,'KO32'!$G$6:$H$63,2,0)</f>
        <v xml:space="preserve">44   - michael dánsko  </v>
      </c>
      <c r="AU17" s="243" t="str">
        <f>VLOOKUP($A17,'KO32'!$G$6:$I$63,3,0)</f>
        <v/>
      </c>
      <c r="BG17" s="250" t="str">
        <f ca="1">VLOOKUP($A17,'KO64'!$G$6:$H$127,2,0)</f>
        <v xml:space="preserve">44   - michael dánsko  </v>
      </c>
      <c r="BH17" s="243">
        <f>VLOOKUP($A17,'KO64'!$G$6:$I$127,3,0)</f>
        <v>0</v>
      </c>
      <c r="BI17" s="250" t="str">
        <f ca="1">VLOOKUP($A17,'KO64'!$K$10:$L$123,2,0)</f>
        <v xml:space="preserve">44   - michael dánsko  </v>
      </c>
      <c r="BJ17" s="243">
        <f>VLOOKUP($A17,'KO64'!$K$10:$M$123,3,0)</f>
        <v>0</v>
      </c>
    </row>
    <row r="18" spans="1:62" x14ac:dyDescent="0.4">
      <c r="A18" s="1">
        <v>16</v>
      </c>
      <c r="B18" s="42" t="str">
        <f t="shared" ca="1" si="3"/>
        <v>24 SK Pétanque Řepy - Váňová Věra</v>
      </c>
      <c r="C18" s="43">
        <f ca="1">IF(H18&gt;=IF(N(Start.listina!$Y$3)=0,1,Start.listina!$Y$3),IF(A18&lt;=IF(N(Start.listina!$Y$4)=0,Start.listina!$K$7,Start.listina!$Y$4),Centrum!$V18,""),"")</f>
        <v>24</v>
      </c>
      <c r="D18" s="42" t="str">
        <f ca="1">IF(TYPE(VLOOKUP(C18,Centrum!$A$3:$C$130,3,0))&gt;3," -",VLOOKUP(C18,Centrum!$A$3:$C$130,3,0))</f>
        <v>24 SK Pétanque Řepy - Váňová Věra</v>
      </c>
      <c r="E18" s="1">
        <v>16</v>
      </c>
      <c r="F18">
        <f t="shared" ca="1" si="0"/>
        <v>0</v>
      </c>
      <c r="H18" s="1">
        <f ca="1">Centrum!$Y18</f>
        <v>3</v>
      </c>
      <c r="I18" s="250" t="str">
        <f t="shared" si="2"/>
        <v xml:space="preserve"> </v>
      </c>
      <c r="AE18" s="250" t="str">
        <f>VLOOKUP($A18,'Dohrávka_9-16'!$O$10:$P$35,2,0)</f>
        <v xml:space="preserve"> </v>
      </c>
      <c r="AT18" s="250" t="str">
        <f ca="1">VLOOKUP($A18,'KO32'!$G$6:$H$63,2,0)</f>
        <v>24 SK Pétanque Řepy - Váňová Věra</v>
      </c>
      <c r="AU18" s="243" t="str">
        <f>VLOOKUP($A18,'KO32'!$G$6:$I$63,3,0)</f>
        <v/>
      </c>
      <c r="BG18" s="250" t="str">
        <f ca="1">VLOOKUP($A18,'KO64'!$G$6:$H$127,2,0)</f>
        <v>24 SK Pétanque Řepy - Váňová Věra</v>
      </c>
      <c r="BH18" s="243">
        <f>VLOOKUP($A18,'KO64'!$G$6:$I$127,3,0)</f>
        <v>0</v>
      </c>
      <c r="BI18" s="250" t="str">
        <f ca="1">VLOOKUP($A18,'KO64'!$K$10:$L$123,2,0)</f>
        <v>24 SK Pétanque Řepy - Váňová Věra</v>
      </c>
      <c r="BJ18" s="243">
        <f>VLOOKUP($A18,'KO64'!$K$10:$M$123,3,0)</f>
        <v>0</v>
      </c>
    </row>
    <row r="19" spans="1:62" x14ac:dyDescent="0.4">
      <c r="A19" s="1">
        <v>17</v>
      </c>
      <c r="B19" s="42" t="str">
        <f t="shared" ca="1" si="3"/>
        <v xml:space="preserve"> - </v>
      </c>
      <c r="C19" s="43" t="str">
        <f ca="1">IF(H19&gt;=IF(N(Start.listina!$Y$3)=0,1,Start.listina!$Y$3),IF(A19&lt;=IF(N(Start.listina!$Y$4)=0,Start.listina!$K$7,Start.listina!$Y$4),Centrum!$V19,""),"")</f>
        <v/>
      </c>
      <c r="D19" s="42" t="str">
        <f ca="1">IF(TYPE(VLOOKUP(C19,Centrum!$A$3:$C$130,3,0))&gt;3," -",VLOOKUP(C19,Centrum!$A$3:$C$130,3,0))</f>
        <v xml:space="preserve"> - </v>
      </c>
      <c r="E19" s="1">
        <v>17</v>
      </c>
      <c r="F19">
        <f t="shared" ca="1" si="0"/>
        <v>0</v>
      </c>
      <c r="H19" s="1">
        <f ca="1">Centrum!$Y19</f>
        <v>3</v>
      </c>
      <c r="BG19" s="250" t="str">
        <f ca="1">VLOOKUP($A19,'KO64'!$G$6:$H$127,2,0)</f>
        <v xml:space="preserve"> - </v>
      </c>
      <c r="BH19" s="243">
        <f>VLOOKUP($A19,'KO64'!$G$6:$I$127,3,0)</f>
        <v>0</v>
      </c>
    </row>
    <row r="20" spans="1:62" x14ac:dyDescent="0.4">
      <c r="A20" s="1">
        <v>18</v>
      </c>
      <c r="B20" s="42" t="str">
        <f t="shared" ca="1" si="3"/>
        <v xml:space="preserve"> - </v>
      </c>
      <c r="C20" s="43" t="str">
        <f ca="1">IF(H20&gt;=IF(N(Start.listina!$Y$3)=0,1,Start.listina!$Y$3),IF(A20&lt;=IF(N(Start.listina!$Y$4)=0,Start.listina!$K$7,Start.listina!$Y$4),Centrum!$V20,""),"")</f>
        <v/>
      </c>
      <c r="D20" s="42" t="str">
        <f ca="1">IF(TYPE(VLOOKUP(C20,Centrum!$A$3:$C$130,3,0))&gt;3," -",VLOOKUP(C20,Centrum!$A$3:$C$130,3,0))</f>
        <v xml:space="preserve"> - </v>
      </c>
      <c r="E20" s="1">
        <v>18</v>
      </c>
      <c r="F20">
        <f t="shared" ca="1" si="0"/>
        <v>0</v>
      </c>
      <c r="H20" s="1">
        <f ca="1">Centrum!$Y20</f>
        <v>3</v>
      </c>
      <c r="BG20" s="250" t="str">
        <f ca="1">VLOOKUP($A20,'KO64'!$G$6:$H$127,2,0)</f>
        <v xml:space="preserve"> - </v>
      </c>
      <c r="BH20" s="243">
        <f>VLOOKUP($A20,'KO64'!$G$6:$I$127,3,0)</f>
        <v>0</v>
      </c>
    </row>
    <row r="21" spans="1:62" x14ac:dyDescent="0.4">
      <c r="A21" s="1">
        <v>19</v>
      </c>
      <c r="B21" s="42" t="str">
        <f t="shared" ca="1" si="3"/>
        <v xml:space="preserve"> - </v>
      </c>
      <c r="C21" s="43" t="str">
        <f ca="1">IF(H21&gt;=IF(N(Start.listina!$Y$3)=0,1,Start.listina!$Y$3),IF(A21&lt;=IF(N(Start.listina!$Y$4)=0,Start.listina!$K$7,Start.listina!$Y$4),Centrum!$V21,""),"")</f>
        <v/>
      </c>
      <c r="D21" s="42" t="str">
        <f ca="1">IF(TYPE(VLOOKUP(C21,Centrum!$A$3:$C$130,3,0))&gt;3," -",VLOOKUP(C21,Centrum!$A$3:$C$130,3,0))</f>
        <v xml:space="preserve"> - </v>
      </c>
      <c r="E21" s="1">
        <v>19</v>
      </c>
      <c r="F21">
        <f t="shared" ca="1" si="0"/>
        <v>0</v>
      </c>
      <c r="H21" s="1">
        <f ca="1">Centrum!$Y21</f>
        <v>2</v>
      </c>
      <c r="BG21" s="250" t="str">
        <f ca="1">VLOOKUP($A21,'KO64'!$G$6:$H$127,2,0)</f>
        <v xml:space="preserve"> - </v>
      </c>
      <c r="BH21" s="243">
        <f>VLOOKUP($A21,'KO64'!$G$6:$I$127,3,0)</f>
        <v>0</v>
      </c>
    </row>
    <row r="22" spans="1:62" x14ac:dyDescent="0.4">
      <c r="A22" s="1">
        <v>20</v>
      </c>
      <c r="B22" s="42" t="str">
        <f t="shared" ca="1" si="3"/>
        <v xml:space="preserve"> - </v>
      </c>
      <c r="C22" s="43" t="str">
        <f ca="1">IF(H22&gt;=IF(N(Start.listina!$Y$3)=0,1,Start.listina!$Y$3),IF(A22&lt;=IF(N(Start.listina!$Y$4)=0,Start.listina!$K$7,Start.listina!$Y$4),Centrum!$V22,""),"")</f>
        <v/>
      </c>
      <c r="D22" s="42" t="str">
        <f ca="1">IF(TYPE(VLOOKUP(C22,Centrum!$A$3:$C$130,3,0))&gt;3," -",VLOOKUP(C22,Centrum!$A$3:$C$130,3,0))</f>
        <v xml:space="preserve"> - </v>
      </c>
      <c r="E22" s="1">
        <v>20</v>
      </c>
      <c r="F22">
        <f t="shared" ca="1" si="0"/>
        <v>0</v>
      </c>
      <c r="H22" s="1">
        <f ca="1">Centrum!$Y22</f>
        <v>2</v>
      </c>
      <c r="BG22" s="250" t="str">
        <f ca="1">VLOOKUP($A22,'KO64'!$G$6:$H$127,2,0)</f>
        <v xml:space="preserve"> - </v>
      </c>
      <c r="BH22" s="243">
        <f>VLOOKUP($A22,'KO64'!$G$6:$I$127,3,0)</f>
        <v>0</v>
      </c>
    </row>
    <row r="23" spans="1:62" x14ac:dyDescent="0.4">
      <c r="A23" s="1">
        <v>21</v>
      </c>
      <c r="B23" s="42" t="str">
        <f t="shared" ca="1" si="3"/>
        <v xml:space="preserve"> - </v>
      </c>
      <c r="C23" s="43" t="str">
        <f ca="1">IF(H23&gt;=IF(N(Start.listina!$Y$3)=0,1,Start.listina!$Y$3),IF(A23&lt;=IF(N(Start.listina!$Y$4)=0,Start.listina!$K$7,Start.listina!$Y$4),Centrum!$V23,""),"")</f>
        <v/>
      </c>
      <c r="D23" s="42" t="str">
        <f ca="1">IF(TYPE(VLOOKUP(C23,Centrum!$A$3:$C$130,3,0))&gt;3," -",VLOOKUP(C23,Centrum!$A$3:$C$130,3,0))</f>
        <v xml:space="preserve"> - </v>
      </c>
      <c r="E23" s="1">
        <v>21</v>
      </c>
      <c r="F23">
        <f t="shared" ca="1" si="0"/>
        <v>0</v>
      </c>
      <c r="H23" s="1">
        <f ca="1">Centrum!$Y23</f>
        <v>2</v>
      </c>
      <c r="BG23" s="250" t="str">
        <f ca="1">VLOOKUP($A23,'KO64'!$G$6:$H$127,2,0)</f>
        <v xml:space="preserve"> - </v>
      </c>
      <c r="BH23" s="243">
        <f>VLOOKUP($A23,'KO64'!$G$6:$I$127,3,0)</f>
        <v>0</v>
      </c>
    </row>
    <row r="24" spans="1:62" x14ac:dyDescent="0.4">
      <c r="A24" s="1">
        <v>22</v>
      </c>
      <c r="B24" s="42" t="str">
        <f t="shared" ca="1" si="3"/>
        <v xml:space="preserve"> - </v>
      </c>
      <c r="C24" s="43" t="str">
        <f ca="1">IF(H24&gt;=IF(N(Start.listina!$Y$3)=0,1,Start.listina!$Y$3),IF(A24&lt;=IF(N(Start.listina!$Y$4)=0,Start.listina!$K$7,Start.listina!$Y$4),Centrum!$V24,""),"")</f>
        <v/>
      </c>
      <c r="D24" s="42" t="str">
        <f ca="1">IF(TYPE(VLOOKUP(C24,Centrum!$A$3:$C$130,3,0))&gt;3," -",VLOOKUP(C24,Centrum!$A$3:$C$130,3,0))</f>
        <v xml:space="preserve"> - </v>
      </c>
      <c r="E24" s="1">
        <v>22</v>
      </c>
      <c r="F24">
        <f t="shared" ca="1" si="0"/>
        <v>0</v>
      </c>
      <c r="H24" s="1">
        <f ca="1">Centrum!$Y24</f>
        <v>2</v>
      </c>
      <c r="BG24" s="250" t="str">
        <f ca="1">VLOOKUP($A24,'KO64'!$G$6:$H$127,2,0)</f>
        <v xml:space="preserve"> - </v>
      </c>
      <c r="BH24" s="243">
        <f>VLOOKUP($A24,'KO64'!$G$6:$I$127,3,0)</f>
        <v>0</v>
      </c>
    </row>
    <row r="25" spans="1:62" x14ac:dyDescent="0.4">
      <c r="A25" s="1">
        <v>23</v>
      </c>
      <c r="B25" s="42" t="str">
        <f t="shared" ca="1" si="3"/>
        <v xml:space="preserve"> - </v>
      </c>
      <c r="C25" s="43" t="str">
        <f ca="1">IF(H25&gt;=IF(N(Start.listina!$Y$3)=0,1,Start.listina!$Y$3),IF(A25&lt;=IF(N(Start.listina!$Y$4)=0,Start.listina!$K$7,Start.listina!$Y$4),Centrum!$V25,""),"")</f>
        <v/>
      </c>
      <c r="D25" s="42" t="str">
        <f ca="1">IF(TYPE(VLOOKUP(C25,Centrum!$A$3:$C$130,3,0))&gt;3," -",VLOOKUP(C25,Centrum!$A$3:$C$130,3,0))</f>
        <v xml:space="preserve"> - </v>
      </c>
      <c r="E25" s="1">
        <v>23</v>
      </c>
      <c r="F25">
        <f t="shared" ca="1" si="0"/>
        <v>0</v>
      </c>
      <c r="H25" s="1">
        <f ca="1">Centrum!$Y25</f>
        <v>2</v>
      </c>
      <c r="BG25" s="250" t="str">
        <f ca="1">VLOOKUP($A25,'KO64'!$G$6:$H$127,2,0)</f>
        <v xml:space="preserve"> - </v>
      </c>
      <c r="BH25" s="243">
        <f>VLOOKUP($A25,'KO64'!$G$6:$I$127,3,0)</f>
        <v>0</v>
      </c>
    </row>
    <row r="26" spans="1:62" x14ac:dyDescent="0.4">
      <c r="A26" s="1">
        <v>24</v>
      </c>
      <c r="B26" s="42" t="str">
        <f t="shared" ca="1" si="3"/>
        <v xml:space="preserve"> - </v>
      </c>
      <c r="C26" s="43" t="str">
        <f ca="1">IF(H26&gt;=IF(N(Start.listina!$Y$3)=0,1,Start.listina!$Y$3),IF(A26&lt;=IF(N(Start.listina!$Y$4)=0,Start.listina!$K$7,Start.listina!$Y$4),Centrum!$V26,""),"")</f>
        <v/>
      </c>
      <c r="D26" s="42" t="str">
        <f ca="1">IF(TYPE(VLOOKUP(C26,Centrum!$A$3:$C$130,3,0))&gt;3," -",VLOOKUP(C26,Centrum!$A$3:$C$130,3,0))</f>
        <v xml:space="preserve"> - </v>
      </c>
      <c r="E26" s="1">
        <v>24</v>
      </c>
      <c r="F26">
        <f t="shared" ca="1" si="0"/>
        <v>0</v>
      </c>
      <c r="H26" s="1">
        <f ca="1">Centrum!$Y26</f>
        <v>2</v>
      </c>
      <c r="BG26" s="250" t="str">
        <f ca="1">VLOOKUP($A26,'KO64'!$G$6:$H$127,2,0)</f>
        <v xml:space="preserve"> - </v>
      </c>
      <c r="BH26" s="243">
        <f>VLOOKUP($A26,'KO64'!$G$6:$I$127,3,0)</f>
        <v>0</v>
      </c>
    </row>
    <row r="27" spans="1:62" x14ac:dyDescent="0.4">
      <c r="A27" s="1">
        <v>25</v>
      </c>
      <c r="B27" s="42" t="str">
        <f t="shared" ca="1" si="3"/>
        <v xml:space="preserve"> - </v>
      </c>
      <c r="C27" s="43" t="str">
        <f ca="1">IF(H27&gt;=IF(N(Start.listina!$Y$3)=0,1,Start.listina!$Y$3),IF(A27&lt;=IF(N(Start.listina!$Y$4)=0,Start.listina!$K$7,Start.listina!$Y$4),Centrum!$V27,""),"")</f>
        <v/>
      </c>
      <c r="D27" s="42" t="str">
        <f ca="1">IF(TYPE(VLOOKUP(C27,Centrum!$A$3:$C$130,3,0))&gt;3," -",VLOOKUP(C27,Centrum!$A$3:$C$130,3,0))</f>
        <v xml:space="preserve"> - </v>
      </c>
      <c r="E27" s="1">
        <v>25</v>
      </c>
      <c r="F27">
        <f t="shared" ca="1" si="0"/>
        <v>0</v>
      </c>
      <c r="H27" s="1">
        <f ca="1">Centrum!$Y27</f>
        <v>2</v>
      </c>
      <c r="BG27" s="250" t="str">
        <f ca="1">VLOOKUP($A27,'KO64'!$G$6:$H$127,2,0)</f>
        <v xml:space="preserve"> - </v>
      </c>
      <c r="BH27" s="243">
        <f>VLOOKUP($A27,'KO64'!$G$6:$I$127,3,0)</f>
        <v>0</v>
      </c>
    </row>
    <row r="28" spans="1:62" x14ac:dyDescent="0.4">
      <c r="A28" s="1">
        <v>26</v>
      </c>
      <c r="B28" s="42" t="str">
        <f t="shared" ca="1" si="3"/>
        <v xml:space="preserve"> - </v>
      </c>
      <c r="C28" s="43" t="str">
        <f ca="1">IF(H28&gt;=IF(N(Start.listina!$Y$3)=0,1,Start.listina!$Y$3),IF(A28&lt;=IF(N(Start.listina!$Y$4)=0,Start.listina!$K$7,Start.listina!$Y$4),Centrum!$V28,""),"")</f>
        <v/>
      </c>
      <c r="D28" s="42" t="str">
        <f ca="1">IF(TYPE(VLOOKUP(C28,Centrum!$A$3:$C$130,3,0))&gt;3," -",VLOOKUP(C28,Centrum!$A$3:$C$130,3,0))</f>
        <v xml:space="preserve"> - </v>
      </c>
      <c r="E28" s="1">
        <v>26</v>
      </c>
      <c r="F28">
        <f t="shared" ca="1" si="0"/>
        <v>0</v>
      </c>
      <c r="H28" s="1">
        <f ca="1">Centrum!$Y28</f>
        <v>2</v>
      </c>
      <c r="BG28" s="250" t="str">
        <f ca="1">VLOOKUP($A28,'KO64'!$G$6:$H$127,2,0)</f>
        <v xml:space="preserve"> - </v>
      </c>
      <c r="BH28" s="243">
        <f>VLOOKUP($A28,'KO64'!$G$6:$I$127,3,0)</f>
        <v>0</v>
      </c>
    </row>
    <row r="29" spans="1:62" x14ac:dyDescent="0.4">
      <c r="A29" s="1">
        <v>27</v>
      </c>
      <c r="B29" s="42" t="str">
        <f t="shared" ca="1" si="3"/>
        <v xml:space="preserve"> - </v>
      </c>
      <c r="C29" s="43" t="str">
        <f ca="1">IF(H29&gt;=IF(N(Start.listina!$Y$3)=0,1,Start.listina!$Y$3),IF(A29&lt;=IF(N(Start.listina!$Y$4)=0,Start.listina!$K$7,Start.listina!$Y$4),Centrum!$V29,""),"")</f>
        <v/>
      </c>
      <c r="D29" s="42" t="str">
        <f ca="1">IF(TYPE(VLOOKUP(C29,Centrum!$A$3:$C$130,3,0))&gt;3," -",VLOOKUP(C29,Centrum!$A$3:$C$130,3,0))</f>
        <v xml:space="preserve"> - </v>
      </c>
      <c r="E29" s="1">
        <v>27</v>
      </c>
      <c r="F29">
        <f t="shared" ca="1" si="0"/>
        <v>0</v>
      </c>
      <c r="H29" s="1">
        <f ca="1">Centrum!$Y29</f>
        <v>2</v>
      </c>
      <c r="BG29" s="250" t="str">
        <f ca="1">VLOOKUP($A29,'KO64'!$G$6:$H$127,2,0)</f>
        <v xml:space="preserve"> - </v>
      </c>
      <c r="BH29" s="243">
        <f>VLOOKUP($A29,'KO64'!$G$6:$I$127,3,0)</f>
        <v>0</v>
      </c>
    </row>
    <row r="30" spans="1:62" x14ac:dyDescent="0.4">
      <c r="A30" s="1">
        <v>28</v>
      </c>
      <c r="B30" s="42" t="str">
        <f t="shared" ca="1" si="3"/>
        <v xml:space="preserve"> - </v>
      </c>
      <c r="C30" s="43" t="str">
        <f ca="1">IF(H30&gt;=IF(N(Start.listina!$Y$3)=0,1,Start.listina!$Y$3),IF(A30&lt;=IF(N(Start.listina!$Y$4)=0,Start.listina!$K$7,Start.listina!$Y$4),Centrum!$V30,""),"")</f>
        <v/>
      </c>
      <c r="D30" s="42" t="str">
        <f ca="1">IF(TYPE(VLOOKUP(C30,Centrum!$A$3:$C$130,3,0))&gt;3," -",VLOOKUP(C30,Centrum!$A$3:$C$130,3,0))</f>
        <v xml:space="preserve"> - </v>
      </c>
      <c r="E30" s="1">
        <v>28</v>
      </c>
      <c r="F30">
        <f t="shared" ca="1" si="0"/>
        <v>0</v>
      </c>
      <c r="H30" s="1">
        <f ca="1">Centrum!$Y30</f>
        <v>2</v>
      </c>
      <c r="BG30" s="250" t="str">
        <f ca="1">VLOOKUP($A30,'KO64'!$G$6:$H$127,2,0)</f>
        <v xml:space="preserve"> - </v>
      </c>
      <c r="BH30" s="243">
        <f>VLOOKUP($A30,'KO64'!$G$6:$I$127,3,0)</f>
        <v>0</v>
      </c>
    </row>
    <row r="31" spans="1:62" x14ac:dyDescent="0.4">
      <c r="A31" s="1">
        <v>29</v>
      </c>
      <c r="B31" s="42" t="str">
        <f t="shared" ca="1" si="3"/>
        <v xml:space="preserve"> - </v>
      </c>
      <c r="C31" s="43" t="str">
        <f ca="1">IF(H31&gt;=IF(N(Start.listina!$Y$3)=0,1,Start.listina!$Y$3),IF(A31&lt;=IF(N(Start.listina!$Y$4)=0,Start.listina!$K$7,Start.listina!$Y$4),Centrum!$V31,""),"")</f>
        <v/>
      </c>
      <c r="D31" s="42" t="str">
        <f ca="1">IF(TYPE(VLOOKUP(C31,Centrum!$A$3:$C$130,3,0))&gt;3," -",VLOOKUP(C31,Centrum!$A$3:$C$130,3,0))</f>
        <v xml:space="preserve"> - </v>
      </c>
      <c r="E31" s="1">
        <v>29</v>
      </c>
      <c r="F31">
        <f t="shared" ca="1" si="0"/>
        <v>0</v>
      </c>
      <c r="H31" s="1">
        <f ca="1">Centrum!$Y31</f>
        <v>2</v>
      </c>
      <c r="BG31" s="250" t="str">
        <f ca="1">VLOOKUP($A31,'KO64'!$G$6:$H$127,2,0)</f>
        <v xml:space="preserve"> - </v>
      </c>
      <c r="BH31" s="243">
        <f>VLOOKUP($A31,'KO64'!$G$6:$I$127,3,0)</f>
        <v>0</v>
      </c>
    </row>
    <row r="32" spans="1:62" x14ac:dyDescent="0.4">
      <c r="A32" s="1">
        <v>30</v>
      </c>
      <c r="B32" s="42" t="str">
        <f t="shared" ca="1" si="3"/>
        <v xml:space="preserve"> - </v>
      </c>
      <c r="C32" s="43" t="str">
        <f ca="1">IF(H32&gt;=IF(N(Start.listina!$Y$3)=0,1,Start.listina!$Y$3),IF(A32&lt;=IF(N(Start.listina!$Y$4)=0,Start.listina!$K$7,Start.listina!$Y$4),Centrum!$V32,""),"")</f>
        <v/>
      </c>
      <c r="D32" s="42" t="str">
        <f ca="1">IF(TYPE(VLOOKUP(C32,Centrum!$A$3:$C$130,3,0))&gt;3," -",VLOOKUP(C32,Centrum!$A$3:$C$130,3,0))</f>
        <v xml:space="preserve"> - </v>
      </c>
      <c r="E32" s="1">
        <v>30</v>
      </c>
      <c r="F32">
        <f t="shared" ca="1" si="0"/>
        <v>0</v>
      </c>
      <c r="H32" s="1">
        <f ca="1">Centrum!$Y32</f>
        <v>2</v>
      </c>
      <c r="BG32" s="250" t="str">
        <f ca="1">VLOOKUP($A32,'KO64'!$G$6:$H$127,2,0)</f>
        <v xml:space="preserve"> - </v>
      </c>
      <c r="BH32" s="243">
        <f>VLOOKUP($A32,'KO64'!$G$6:$I$127,3,0)</f>
        <v>0</v>
      </c>
    </row>
    <row r="33" spans="1:60" x14ac:dyDescent="0.4">
      <c r="A33" s="1">
        <v>31</v>
      </c>
      <c r="B33" s="42" t="str">
        <f t="shared" ca="1" si="3"/>
        <v xml:space="preserve"> - </v>
      </c>
      <c r="C33" s="43" t="str">
        <f ca="1">IF(H33&gt;=IF(N(Start.listina!$Y$3)=0,1,Start.listina!$Y$3),IF(A33&lt;=IF(N(Start.listina!$Y$4)=0,Start.listina!$K$7,Start.listina!$Y$4),Centrum!$V33,""),"")</f>
        <v/>
      </c>
      <c r="D33" s="42" t="str">
        <f ca="1">IF(TYPE(VLOOKUP(C33,Centrum!$A$3:$C$130,3,0))&gt;3," -",VLOOKUP(C33,Centrum!$A$3:$C$130,3,0))</f>
        <v xml:space="preserve"> - </v>
      </c>
      <c r="E33" s="1">
        <v>31</v>
      </c>
      <c r="F33">
        <f t="shared" ca="1" si="0"/>
        <v>0</v>
      </c>
      <c r="H33" s="1">
        <f ca="1">Centrum!$Y33</f>
        <v>2</v>
      </c>
      <c r="BG33" s="250" t="str">
        <f ca="1">VLOOKUP($A33,'KO64'!$G$6:$H$127,2,0)</f>
        <v xml:space="preserve"> - </v>
      </c>
      <c r="BH33" s="243">
        <f>VLOOKUP($A33,'KO64'!$G$6:$I$127,3,0)</f>
        <v>0</v>
      </c>
    </row>
    <row r="34" spans="1:60" x14ac:dyDescent="0.4">
      <c r="A34" s="1">
        <v>32</v>
      </c>
      <c r="B34" s="42" t="str">
        <f t="shared" ca="1" si="3"/>
        <v xml:space="preserve"> - </v>
      </c>
      <c r="C34" s="43" t="str">
        <f ca="1">IF(H34&gt;=IF(N(Start.listina!$Y$3)=0,1,Start.listina!$Y$3),IF(A34&lt;=IF(N(Start.listina!$Y$4)=0,Start.listina!$K$7,Start.listina!$Y$4),Centrum!$V34,""),"")</f>
        <v/>
      </c>
      <c r="D34" s="42" t="str">
        <f ca="1">IF(TYPE(VLOOKUP(C34,Centrum!$A$3:$C$130,3,0))&gt;3," -",VLOOKUP(C34,Centrum!$A$3:$C$130,3,0))</f>
        <v xml:space="preserve"> - </v>
      </c>
      <c r="E34" s="1">
        <v>32</v>
      </c>
      <c r="F34">
        <f ca="1">IF(E34&gt;$E$2,IF($F$2&gt;0,IF(MOD(E34,2)=0,-1,1),0),0)</f>
        <v>0</v>
      </c>
      <c r="H34" s="1">
        <f ca="1">Centrum!$Y34</f>
        <v>2</v>
      </c>
      <c r="BG34" s="250" t="str">
        <f ca="1">VLOOKUP($A34,'KO64'!$G$6:$H$127,2,0)</f>
        <v xml:space="preserve"> - </v>
      </c>
      <c r="BH34" s="243">
        <f>VLOOKUP($A34,'KO64'!$G$6:$I$127,3,0)</f>
        <v>0</v>
      </c>
    </row>
    <row r="35" spans="1:60" x14ac:dyDescent="0.4">
      <c r="A35" s="1">
        <v>33</v>
      </c>
      <c r="B35" s="42" t="str">
        <f t="shared" ca="1" si="3"/>
        <v xml:space="preserve"> - </v>
      </c>
      <c r="C35" s="43" t="str">
        <f ca="1">IF(H35&gt;=IF(N(Start.listina!$Y$3)=0,1,Start.listina!$Y$3),IF(A35&lt;=IF(N(Start.listina!$Y$4)=0,Start.listina!$K$7,Start.listina!$Y$4),Centrum!$V35,""),"")</f>
        <v/>
      </c>
      <c r="D35" s="42" t="str">
        <f ca="1">IF(TYPE(VLOOKUP(C35,Centrum!$A$3:$C$130,3,0))&gt;3," -",VLOOKUP(C35,Centrum!$A$3:$C$130,3,0))</f>
        <v xml:space="preserve"> - </v>
      </c>
      <c r="E35" s="1">
        <v>33</v>
      </c>
      <c r="F35">
        <f t="shared" ca="1" si="0"/>
        <v>0</v>
      </c>
      <c r="H35" s="1">
        <f ca="1">Centrum!$Y35</f>
        <v>2</v>
      </c>
    </row>
    <row r="36" spans="1:60" x14ac:dyDescent="0.4">
      <c r="A36" s="1">
        <v>34</v>
      </c>
      <c r="B36" s="42" t="str">
        <f t="shared" ca="1" si="3"/>
        <v xml:space="preserve"> - </v>
      </c>
      <c r="C36" s="43" t="str">
        <f ca="1">IF(H36&gt;=IF(N(Start.listina!$Y$3)=0,1,Start.listina!$Y$3),IF(A36&lt;=IF(N(Start.listina!$Y$4)=0,Start.listina!$K$7,Start.listina!$Y$4),Centrum!$V36,""),"")</f>
        <v/>
      </c>
      <c r="D36" s="42" t="str">
        <f ca="1">IF(TYPE(VLOOKUP(C36,Centrum!$A$3:$C$130,3,0))&gt;3," -",VLOOKUP(C36,Centrum!$A$3:$C$130,3,0))</f>
        <v xml:space="preserve"> - </v>
      </c>
      <c r="E36" s="1">
        <v>34</v>
      </c>
      <c r="F36">
        <f t="shared" ca="1" si="0"/>
        <v>0</v>
      </c>
      <c r="H36" s="1">
        <f ca="1">Centrum!$Y36</f>
        <v>2</v>
      </c>
    </row>
    <row r="37" spans="1:60" x14ac:dyDescent="0.4">
      <c r="A37" s="1">
        <v>35</v>
      </c>
      <c r="B37" s="42" t="str">
        <f t="shared" ca="1" si="3"/>
        <v xml:space="preserve"> - </v>
      </c>
      <c r="C37" s="43" t="str">
        <f ca="1">IF(H37&gt;=IF(N(Start.listina!$Y$3)=0,1,Start.listina!$Y$3),IF(A37&lt;=IF(N(Start.listina!$Y$4)=0,Start.listina!$K$7,Start.listina!$Y$4),Centrum!$V37,""),"")</f>
        <v/>
      </c>
      <c r="D37" s="42" t="str">
        <f ca="1">IF(TYPE(VLOOKUP(C37,Centrum!$A$3:$C$130,3,0))&gt;3," -",VLOOKUP(C37,Centrum!$A$3:$C$130,3,0))</f>
        <v xml:space="preserve"> - </v>
      </c>
      <c r="E37" s="1">
        <v>35</v>
      </c>
      <c r="F37">
        <f t="shared" ca="1" si="0"/>
        <v>0</v>
      </c>
      <c r="H37" s="1">
        <f ca="1">Centrum!$Y37</f>
        <v>2</v>
      </c>
    </row>
    <row r="38" spans="1:60" x14ac:dyDescent="0.4">
      <c r="A38" s="1">
        <v>36</v>
      </c>
      <c r="B38" s="42" t="str">
        <f t="shared" ca="1" si="3"/>
        <v xml:space="preserve"> - </v>
      </c>
      <c r="C38" s="43" t="str">
        <f ca="1">IF(H38&gt;=IF(N(Start.listina!$Y$3)=0,1,Start.listina!$Y$3),IF(A38&lt;=IF(N(Start.listina!$Y$4)=0,Start.listina!$K$7,Start.listina!$Y$4),Centrum!$V38,""),"")</f>
        <v/>
      </c>
      <c r="D38" s="42" t="str">
        <f ca="1">IF(TYPE(VLOOKUP(C38,Centrum!$A$3:$C$130,3,0))&gt;3," -",VLOOKUP(C38,Centrum!$A$3:$C$130,3,0))</f>
        <v xml:space="preserve"> - </v>
      </c>
      <c r="E38" s="1">
        <v>36</v>
      </c>
      <c r="F38">
        <f t="shared" ca="1" si="0"/>
        <v>0</v>
      </c>
      <c r="H38" s="1">
        <f ca="1">Centrum!$Y38</f>
        <v>2</v>
      </c>
    </row>
    <row r="39" spans="1:60" x14ac:dyDescent="0.4">
      <c r="A39" s="1">
        <v>37</v>
      </c>
      <c r="B39" s="42" t="str">
        <f t="shared" ca="1" si="3"/>
        <v xml:space="preserve"> - </v>
      </c>
      <c r="C39" s="43" t="str">
        <f ca="1">IF(H39&gt;=IF(N(Start.listina!$Y$3)=0,1,Start.listina!$Y$3),IF(A39&lt;=IF(N(Start.listina!$Y$4)=0,Start.listina!$K$7,Start.listina!$Y$4),Centrum!$V39,""),"")</f>
        <v/>
      </c>
      <c r="D39" s="42" t="str">
        <f ca="1">IF(TYPE(VLOOKUP(C39,Centrum!$A$3:$C$130,3,0))&gt;3," -",VLOOKUP(C39,Centrum!$A$3:$C$130,3,0))</f>
        <v xml:space="preserve"> - </v>
      </c>
      <c r="E39" s="1">
        <v>37</v>
      </c>
      <c r="F39">
        <f t="shared" ca="1" si="0"/>
        <v>0</v>
      </c>
      <c r="H39" s="1">
        <f ca="1">Centrum!$Y39</f>
        <v>2</v>
      </c>
    </row>
    <row r="40" spans="1:60" x14ac:dyDescent="0.4">
      <c r="A40" s="1">
        <v>38</v>
      </c>
      <c r="B40" s="42" t="str">
        <f t="shared" ca="1" si="3"/>
        <v xml:space="preserve"> - </v>
      </c>
      <c r="C40" s="43" t="str">
        <f ca="1">IF(H40&gt;=IF(N(Start.listina!$Y$3)=0,1,Start.listina!$Y$3),IF(A40&lt;=IF(N(Start.listina!$Y$4)=0,Start.listina!$K$7,Start.listina!$Y$4),Centrum!$V40,""),"")</f>
        <v/>
      </c>
      <c r="D40" s="42" t="str">
        <f ca="1">IF(TYPE(VLOOKUP(C40,Centrum!$A$3:$C$130,3,0))&gt;3," -",VLOOKUP(C40,Centrum!$A$3:$C$130,3,0))</f>
        <v xml:space="preserve"> - </v>
      </c>
      <c r="E40" s="1">
        <v>38</v>
      </c>
      <c r="F40">
        <f t="shared" ca="1" si="0"/>
        <v>0</v>
      </c>
      <c r="H40" s="1">
        <f ca="1">Centrum!$Y40</f>
        <v>2</v>
      </c>
    </row>
    <row r="41" spans="1:60" x14ac:dyDescent="0.4">
      <c r="A41" s="1">
        <v>39</v>
      </c>
      <c r="B41" s="42" t="str">
        <f t="shared" ca="1" si="3"/>
        <v xml:space="preserve"> - </v>
      </c>
      <c r="C41" s="43" t="str">
        <f ca="1">IF(H41&gt;=IF(N(Start.listina!$Y$3)=0,1,Start.listina!$Y$3),IF(A41&lt;=IF(N(Start.listina!$Y$4)=0,Start.listina!$K$7,Start.listina!$Y$4),Centrum!$V41,""),"")</f>
        <v/>
      </c>
      <c r="D41" s="42" t="str">
        <f ca="1">IF(TYPE(VLOOKUP(C41,Centrum!$A$3:$C$130,3,0))&gt;3," -",VLOOKUP(C41,Centrum!$A$3:$C$130,3,0))</f>
        <v xml:space="preserve"> - </v>
      </c>
      <c r="E41" s="1">
        <v>39</v>
      </c>
      <c r="F41">
        <f t="shared" ca="1" si="0"/>
        <v>0</v>
      </c>
      <c r="H41" s="1">
        <f ca="1">Centrum!$Y41</f>
        <v>2</v>
      </c>
    </row>
    <row r="42" spans="1:60" x14ac:dyDescent="0.4">
      <c r="A42" s="1">
        <v>40</v>
      </c>
      <c r="B42" s="42" t="str">
        <f t="shared" ca="1" si="3"/>
        <v xml:space="preserve"> - </v>
      </c>
      <c r="C42" s="43" t="str">
        <f ca="1">IF(H42&gt;=IF(N(Start.listina!$Y$3)=0,1,Start.listina!$Y$3),IF(A42&lt;=IF(N(Start.listina!$Y$4)=0,Start.listina!$K$7,Start.listina!$Y$4),Centrum!$V42,""),"")</f>
        <v/>
      </c>
      <c r="D42" s="42" t="str">
        <f ca="1">IF(TYPE(VLOOKUP(C42,Centrum!$A$3:$C$130,3,0))&gt;3," -",VLOOKUP(C42,Centrum!$A$3:$C$130,3,0))</f>
        <v xml:space="preserve"> - </v>
      </c>
      <c r="E42" s="1">
        <v>40</v>
      </c>
      <c r="F42">
        <f t="shared" ca="1" si="0"/>
        <v>0</v>
      </c>
      <c r="H42" s="1">
        <f ca="1">Centrum!$Y42</f>
        <v>2</v>
      </c>
    </row>
    <row r="43" spans="1:60" x14ac:dyDescent="0.4">
      <c r="A43" s="1">
        <v>41</v>
      </c>
      <c r="B43" s="42" t="str">
        <f t="shared" ca="1" si="3"/>
        <v xml:space="preserve"> - </v>
      </c>
      <c r="C43" s="43" t="str">
        <f ca="1">IF(H43&gt;=IF(N(Start.listina!$Y$3)=0,1,Start.listina!$Y$3),IF(A43&lt;=IF(N(Start.listina!$Y$4)=0,Start.listina!$K$7,Start.listina!$Y$4),Centrum!$V43,""),"")</f>
        <v/>
      </c>
      <c r="D43" s="42" t="str">
        <f ca="1">IF(TYPE(VLOOKUP(C43,Centrum!$A$3:$C$130,3,0))&gt;3," -",VLOOKUP(C43,Centrum!$A$3:$C$130,3,0))</f>
        <v xml:space="preserve"> - </v>
      </c>
      <c r="E43" s="1">
        <v>41</v>
      </c>
      <c r="F43">
        <f t="shared" ca="1" si="0"/>
        <v>0</v>
      </c>
      <c r="H43" s="1">
        <f ca="1">Centrum!$Y43</f>
        <v>1</v>
      </c>
    </row>
    <row r="44" spans="1:60" x14ac:dyDescent="0.4">
      <c r="A44" s="1">
        <v>42</v>
      </c>
      <c r="B44" s="42" t="str">
        <f t="shared" ca="1" si="3"/>
        <v xml:space="preserve"> - </v>
      </c>
      <c r="C44" s="43" t="str">
        <f ca="1">IF(H44&gt;=IF(N(Start.listina!$Y$3)=0,1,Start.listina!$Y$3),IF(A44&lt;=IF(N(Start.listina!$Y$4)=0,Start.listina!$K$7,Start.listina!$Y$4),Centrum!$V44,""),"")</f>
        <v/>
      </c>
      <c r="D44" s="42" t="str">
        <f ca="1">IF(TYPE(VLOOKUP(C44,Centrum!$A$3:$C$130,3,0))&gt;3," -",VLOOKUP(C44,Centrum!$A$3:$C$130,3,0))</f>
        <v xml:space="preserve"> - </v>
      </c>
      <c r="E44" s="1">
        <v>42</v>
      </c>
      <c r="F44">
        <f t="shared" ca="1" si="0"/>
        <v>0</v>
      </c>
      <c r="H44" s="1">
        <f ca="1">Centrum!$Y44</f>
        <v>1</v>
      </c>
    </row>
    <row r="45" spans="1:60" x14ac:dyDescent="0.4">
      <c r="A45" s="1">
        <v>43</v>
      </c>
      <c r="B45" s="42" t="str">
        <f t="shared" ca="1" si="3"/>
        <v xml:space="preserve"> - </v>
      </c>
      <c r="C45" s="43" t="str">
        <f ca="1">IF(H45&gt;=IF(N(Start.listina!$Y$3)=0,1,Start.listina!$Y$3),IF(A45&lt;=IF(N(Start.listina!$Y$4)=0,Start.listina!$K$7,Start.listina!$Y$4),Centrum!$V45,""),"")</f>
        <v/>
      </c>
      <c r="D45" s="42" t="str">
        <f ca="1">IF(TYPE(VLOOKUP(C45,Centrum!$A$3:$C$130,3,0))&gt;3," -",VLOOKUP(C45,Centrum!$A$3:$C$130,3,0))</f>
        <v xml:space="preserve"> - </v>
      </c>
      <c r="E45" s="1">
        <v>43</v>
      </c>
      <c r="F45">
        <f t="shared" ca="1" si="0"/>
        <v>0</v>
      </c>
      <c r="H45" s="1">
        <f ca="1">Centrum!$Y45</f>
        <v>1</v>
      </c>
    </row>
    <row r="46" spans="1:60" x14ac:dyDescent="0.4">
      <c r="A46" s="1">
        <v>44</v>
      </c>
      <c r="B46" s="42" t="str">
        <f t="shared" ca="1" si="3"/>
        <v xml:space="preserve"> - </v>
      </c>
      <c r="C46" s="43" t="str">
        <f ca="1">IF(H46&gt;=IF(N(Start.listina!$Y$3)=0,1,Start.listina!$Y$3),IF(A46&lt;=IF(N(Start.listina!$Y$4)=0,Start.listina!$K$7,Start.listina!$Y$4),Centrum!$V46,""),"")</f>
        <v/>
      </c>
      <c r="D46" s="42" t="str">
        <f ca="1">IF(TYPE(VLOOKUP(C46,Centrum!$A$3:$C$130,3,0))&gt;3," -",VLOOKUP(C46,Centrum!$A$3:$C$130,3,0))</f>
        <v xml:space="preserve"> - </v>
      </c>
      <c r="E46" s="1">
        <v>44</v>
      </c>
      <c r="F46">
        <f t="shared" ca="1" si="0"/>
        <v>0</v>
      </c>
      <c r="H46" s="1">
        <f ca="1">Centrum!$Y46</f>
        <v>1</v>
      </c>
    </row>
    <row r="47" spans="1:60" x14ac:dyDescent="0.4">
      <c r="A47" s="1">
        <v>45</v>
      </c>
      <c r="B47" s="42" t="str">
        <f t="shared" ca="1" si="3"/>
        <v xml:space="preserve"> - </v>
      </c>
      <c r="C47" s="43" t="str">
        <f ca="1">IF(H47&gt;=IF(N(Start.listina!$Y$3)=0,1,Start.listina!$Y$3),IF(A47&lt;=IF(N(Start.listina!$Y$4)=0,Start.listina!$K$7,Start.listina!$Y$4),Centrum!$V47,""),"")</f>
        <v/>
      </c>
      <c r="D47" s="42" t="str">
        <f ca="1">IF(TYPE(VLOOKUP(C47,Centrum!$A$3:$C$130,3,0))&gt;3," -",VLOOKUP(C47,Centrum!$A$3:$C$130,3,0))</f>
        <v xml:space="preserve"> - </v>
      </c>
      <c r="E47" s="1">
        <v>45</v>
      </c>
      <c r="F47">
        <f t="shared" ca="1" si="0"/>
        <v>0</v>
      </c>
      <c r="H47" s="1">
        <f ca="1">Centrum!$Y47</f>
        <v>1</v>
      </c>
    </row>
    <row r="48" spans="1:60" x14ac:dyDescent="0.4">
      <c r="A48" s="1">
        <v>46</v>
      </c>
      <c r="B48" s="42" t="str">
        <f t="shared" ca="1" si="3"/>
        <v xml:space="preserve"> - </v>
      </c>
      <c r="C48" s="43" t="str">
        <f ca="1">IF(H48&gt;=IF(N(Start.listina!$Y$3)=0,1,Start.listina!$Y$3),IF(A48&lt;=IF(N(Start.listina!$Y$4)=0,Start.listina!$K$7,Start.listina!$Y$4),Centrum!$V48,""),"")</f>
        <v/>
      </c>
      <c r="D48" s="42" t="str">
        <f ca="1">IF(TYPE(VLOOKUP(C48,Centrum!$A$3:$C$130,3,0))&gt;3," -",VLOOKUP(C48,Centrum!$A$3:$C$130,3,0))</f>
        <v xml:space="preserve"> - </v>
      </c>
      <c r="E48" s="1">
        <v>46</v>
      </c>
      <c r="F48">
        <f t="shared" ca="1" si="0"/>
        <v>0</v>
      </c>
      <c r="H48" s="1">
        <f ca="1">Centrum!$Y48</f>
        <v>1</v>
      </c>
    </row>
    <row r="49" spans="1:8" x14ac:dyDescent="0.4">
      <c r="A49" s="1">
        <v>47</v>
      </c>
      <c r="B49" s="42" t="str">
        <f t="shared" ca="1" si="3"/>
        <v xml:space="preserve"> - </v>
      </c>
      <c r="C49" s="43" t="str">
        <f ca="1">IF(H49&gt;=IF(N(Start.listina!$Y$3)=0,1,Start.listina!$Y$3),IF(A49&lt;=IF(N(Start.listina!$Y$4)=0,Start.listina!$K$7,Start.listina!$Y$4),Centrum!$V49,""),"")</f>
        <v/>
      </c>
      <c r="D49" s="42" t="str">
        <f ca="1">IF(TYPE(VLOOKUP(C49,Centrum!$A$3:$C$130,3,0))&gt;3," -",VLOOKUP(C49,Centrum!$A$3:$C$130,3,0))</f>
        <v xml:space="preserve"> - </v>
      </c>
      <c r="E49" s="1">
        <v>47</v>
      </c>
      <c r="F49">
        <f t="shared" ca="1" si="0"/>
        <v>0</v>
      </c>
      <c r="H49" s="1">
        <f ca="1">Centrum!$Y49</f>
        <v>1</v>
      </c>
    </row>
    <row r="50" spans="1:8" x14ac:dyDescent="0.4">
      <c r="A50" s="1">
        <v>48</v>
      </c>
      <c r="B50" s="42" t="str">
        <f t="shared" ca="1" si="3"/>
        <v xml:space="preserve"> - </v>
      </c>
      <c r="C50" s="43" t="str">
        <f ca="1">IF(H50&gt;=IF(N(Start.listina!$Y$3)=0,1,Start.listina!$Y$3),IF(A50&lt;=IF(N(Start.listina!$Y$4)=0,Start.listina!$K$7,Start.listina!$Y$4),Centrum!$V50,""),"")</f>
        <v/>
      </c>
      <c r="D50" s="42" t="str">
        <f ca="1">IF(TYPE(VLOOKUP(C50,Centrum!$A$3:$C$130,3,0))&gt;3," -",VLOOKUP(C50,Centrum!$A$3:$C$130,3,0))</f>
        <v xml:space="preserve"> - </v>
      </c>
      <c r="E50" s="1">
        <v>48</v>
      </c>
      <c r="F50">
        <f t="shared" ca="1" si="0"/>
        <v>0</v>
      </c>
      <c r="H50" s="1">
        <f ca="1">Centrum!$Y50</f>
        <v>1</v>
      </c>
    </row>
    <row r="51" spans="1:8" x14ac:dyDescent="0.4">
      <c r="A51" s="1">
        <v>49</v>
      </c>
      <c r="B51" s="42" t="str">
        <f t="shared" ca="1" si="3"/>
        <v xml:space="preserve"> - </v>
      </c>
      <c r="C51" s="43" t="str">
        <f ca="1">IF(H51&gt;=IF(N(Start.listina!$Y$3)=0,1,Start.listina!$Y$3),IF(A51&lt;=IF(N(Start.listina!$Y$4)=0,Start.listina!$K$7,Start.listina!$Y$4),Centrum!$V51,""),"")</f>
        <v/>
      </c>
      <c r="D51" s="42" t="str">
        <f ca="1">IF(TYPE(VLOOKUP(C51,Centrum!$A$3:$C$130,3,0))&gt;3," -",VLOOKUP(C51,Centrum!$A$3:$C$130,3,0))</f>
        <v xml:space="preserve"> - </v>
      </c>
      <c r="E51" s="1">
        <v>49</v>
      </c>
      <c r="F51">
        <f t="shared" ca="1" si="0"/>
        <v>0</v>
      </c>
      <c r="H51" s="1">
        <f ca="1">Centrum!$Y51</f>
        <v>1</v>
      </c>
    </row>
    <row r="52" spans="1:8" x14ac:dyDescent="0.4">
      <c r="A52" s="1">
        <v>50</v>
      </c>
      <c r="B52" s="42" t="str">
        <f t="shared" ca="1" si="3"/>
        <v xml:space="preserve"> - </v>
      </c>
      <c r="C52" s="43" t="str">
        <f ca="1">IF(H52&gt;=IF(N(Start.listina!$Y$3)=0,1,Start.listina!$Y$3),IF(A52&lt;=IF(N(Start.listina!$Y$4)=0,Start.listina!$K$7,Start.listina!$Y$4),Centrum!$V52,""),"")</f>
        <v/>
      </c>
      <c r="D52" s="42" t="str">
        <f ca="1">IF(TYPE(VLOOKUP(C52,Centrum!$A$3:$C$130,3,0))&gt;3," -",VLOOKUP(C52,Centrum!$A$3:$C$130,3,0))</f>
        <v xml:space="preserve"> - </v>
      </c>
      <c r="E52" s="1">
        <v>50</v>
      </c>
      <c r="F52">
        <f t="shared" ca="1" si="0"/>
        <v>0</v>
      </c>
      <c r="H52" s="1">
        <f ca="1">Centrum!$Y52</f>
        <v>1</v>
      </c>
    </row>
    <row r="53" spans="1:8" x14ac:dyDescent="0.4">
      <c r="A53" s="1">
        <v>51</v>
      </c>
      <c r="B53" s="42" t="str">
        <f t="shared" ca="1" si="3"/>
        <v xml:space="preserve"> - </v>
      </c>
      <c r="C53" s="43" t="str">
        <f ca="1">IF(H53&gt;=IF(N(Start.listina!$Y$3)=0,1,Start.listina!$Y$3),IF(A53&lt;=IF(N(Start.listina!$Y$4)=0,Start.listina!$K$7,Start.listina!$Y$4),Centrum!$V53,""),"")</f>
        <v/>
      </c>
      <c r="D53" s="42" t="str">
        <f ca="1">IF(TYPE(VLOOKUP(C53,Centrum!$A$3:$C$130,3,0))&gt;3," -",VLOOKUP(C53,Centrum!$A$3:$C$130,3,0))</f>
        <v xml:space="preserve"> - </v>
      </c>
      <c r="E53" s="1">
        <v>51</v>
      </c>
      <c r="F53">
        <f t="shared" ca="1" si="0"/>
        <v>0</v>
      </c>
      <c r="H53" s="1">
        <f ca="1">Centrum!$Y53</f>
        <v>1</v>
      </c>
    </row>
    <row r="54" spans="1:8" x14ac:dyDescent="0.4">
      <c r="A54" s="1">
        <v>52</v>
      </c>
      <c r="B54" s="42" t="str">
        <f t="shared" ca="1" si="3"/>
        <v xml:space="preserve"> - </v>
      </c>
      <c r="C54" s="43" t="str">
        <f ca="1">IF(H54&gt;=IF(N(Start.listina!$Y$3)=0,1,Start.listina!$Y$3),IF(A54&lt;=IF(N(Start.listina!$Y$4)=0,Start.listina!$K$7,Start.listina!$Y$4),Centrum!$V54,""),"")</f>
        <v/>
      </c>
      <c r="D54" s="42" t="str">
        <f ca="1">IF(TYPE(VLOOKUP(C54,Centrum!$A$3:$C$130,3,0))&gt;3," -",VLOOKUP(C54,Centrum!$A$3:$C$130,3,0))</f>
        <v xml:space="preserve"> - </v>
      </c>
      <c r="E54" s="1">
        <v>52</v>
      </c>
      <c r="F54">
        <f t="shared" ca="1" si="0"/>
        <v>0</v>
      </c>
      <c r="H54" s="1">
        <f ca="1">Centrum!$Y54</f>
        <v>1</v>
      </c>
    </row>
    <row r="55" spans="1:8" x14ac:dyDescent="0.4">
      <c r="A55" s="1">
        <v>53</v>
      </c>
      <c r="B55" s="42" t="str">
        <f t="shared" ca="1" si="3"/>
        <v xml:space="preserve"> - </v>
      </c>
      <c r="C55" s="43" t="str">
        <f ca="1">IF(H55&gt;=IF(N(Start.listina!$Y$3)=0,1,Start.listina!$Y$3),IF(A55&lt;=IF(N(Start.listina!$Y$4)=0,Start.listina!$K$7,Start.listina!$Y$4),Centrum!$V55,""),"")</f>
        <v/>
      </c>
      <c r="D55" s="42" t="str">
        <f ca="1">IF(TYPE(VLOOKUP(C55,Centrum!$A$3:$C$130,3,0))&gt;3," -",VLOOKUP(C55,Centrum!$A$3:$C$130,3,0))</f>
        <v xml:space="preserve"> - </v>
      </c>
      <c r="E55" s="1">
        <v>53</v>
      </c>
      <c r="F55">
        <f t="shared" ca="1" si="0"/>
        <v>0</v>
      </c>
      <c r="H55" s="1">
        <f ca="1">Centrum!$Y55</f>
        <v>1</v>
      </c>
    </row>
    <row r="56" spans="1:8" x14ac:dyDescent="0.4">
      <c r="A56" s="1">
        <v>54</v>
      </c>
      <c r="B56" s="42" t="str">
        <f t="shared" ca="1" si="3"/>
        <v xml:space="preserve"> - </v>
      </c>
      <c r="C56" s="43" t="str">
        <f ca="1">IF(H56&gt;=IF(N(Start.listina!$Y$3)=0,1,Start.listina!$Y$3),IF(A56&lt;=IF(N(Start.listina!$Y$4)=0,Start.listina!$K$7,Start.listina!$Y$4),Centrum!$V56,""),"")</f>
        <v/>
      </c>
      <c r="D56" s="42" t="str">
        <f ca="1">IF(TYPE(VLOOKUP(C56,Centrum!$A$3:$C$130,3,0))&gt;3," -",VLOOKUP(C56,Centrum!$A$3:$C$130,3,0))</f>
        <v xml:space="preserve"> - </v>
      </c>
      <c r="E56" s="1">
        <v>54</v>
      </c>
      <c r="F56">
        <f t="shared" ca="1" si="0"/>
        <v>0</v>
      </c>
      <c r="H56" s="1">
        <f ca="1">Centrum!$Y56</f>
        <v>1</v>
      </c>
    </row>
    <row r="57" spans="1:8" x14ac:dyDescent="0.4">
      <c r="A57" s="1">
        <v>55</v>
      </c>
      <c r="B57" s="42" t="str">
        <f t="shared" ca="1" si="3"/>
        <v xml:space="preserve"> - </v>
      </c>
      <c r="C57" s="43" t="str">
        <f ca="1">IF(H57&gt;=IF(N(Start.listina!$Y$3)=0,1,Start.listina!$Y$3),IF(A57&lt;=IF(N(Start.listina!$Y$4)=0,Start.listina!$K$7,Start.listina!$Y$4),Centrum!$V57,""),"")</f>
        <v/>
      </c>
      <c r="D57" s="42" t="str">
        <f ca="1">IF(TYPE(VLOOKUP(C57,Centrum!$A$3:$C$130,3,0))&gt;3," -",VLOOKUP(C57,Centrum!$A$3:$C$130,3,0))</f>
        <v xml:space="preserve"> - </v>
      </c>
      <c r="E57" s="1">
        <v>55</v>
      </c>
      <c r="F57">
        <f t="shared" ca="1" si="0"/>
        <v>0</v>
      </c>
      <c r="H57" s="1">
        <f ca="1">Centrum!$Y57</f>
        <v>0</v>
      </c>
    </row>
    <row r="58" spans="1:8" x14ac:dyDescent="0.4">
      <c r="A58" s="1">
        <v>56</v>
      </c>
      <c r="B58" s="42" t="str">
        <f t="shared" ca="1" si="3"/>
        <v xml:space="preserve"> - </v>
      </c>
      <c r="C58" s="43" t="str">
        <f ca="1">IF(H58&gt;=IF(N(Start.listina!$Y$3)=0,1,Start.listina!$Y$3),IF(A58&lt;=IF(N(Start.listina!$Y$4)=0,Start.listina!$K$7,Start.listina!$Y$4),Centrum!$V58,""),"")</f>
        <v/>
      </c>
      <c r="D58" s="42" t="str">
        <f ca="1">IF(TYPE(VLOOKUP(C58,Centrum!$A$3:$C$130,3,0))&gt;3," -",VLOOKUP(C58,Centrum!$A$3:$C$130,3,0))</f>
        <v xml:space="preserve"> - </v>
      </c>
      <c r="E58" s="1">
        <v>56</v>
      </c>
      <c r="F58">
        <f t="shared" ca="1" si="0"/>
        <v>0</v>
      </c>
      <c r="H58" s="1">
        <f ca="1">Centrum!$Y58</f>
        <v>0</v>
      </c>
    </row>
    <row r="59" spans="1:8" x14ac:dyDescent="0.4">
      <c r="A59" s="1">
        <v>57</v>
      </c>
      <c r="B59" s="42" t="str">
        <f t="shared" ca="1" si="3"/>
        <v xml:space="preserve"> - </v>
      </c>
      <c r="C59" s="43" t="str">
        <f ca="1">IF(H59&gt;=IF(N(Start.listina!$Y$3)=0,1,Start.listina!$Y$3),IF(A59&lt;=IF(N(Start.listina!$Y$4)=0,Start.listina!$K$7,Start.listina!$Y$4),Centrum!$V59,""),"")</f>
        <v/>
      </c>
      <c r="D59" s="42" t="str">
        <f ca="1">IF(TYPE(VLOOKUP(C59,Centrum!$A$3:$C$130,3,0))&gt;3," -",VLOOKUP(C59,Centrum!$A$3:$C$130,3,0))</f>
        <v xml:space="preserve"> - </v>
      </c>
      <c r="E59" s="1">
        <v>57</v>
      </c>
      <c r="F59">
        <f t="shared" ca="1" si="0"/>
        <v>0</v>
      </c>
      <c r="H59" s="1">
        <f ca="1">Centrum!$Y59</f>
        <v>0</v>
      </c>
    </row>
    <row r="60" spans="1:8" x14ac:dyDescent="0.4">
      <c r="A60" s="1">
        <v>58</v>
      </c>
      <c r="B60" s="42" t="str">
        <f t="shared" ca="1" si="3"/>
        <v xml:space="preserve"> - </v>
      </c>
      <c r="C60" s="43" t="str">
        <f ca="1">IF(H60&gt;=IF(N(Start.listina!$Y$3)=0,1,Start.listina!$Y$3),IF(A60&lt;=IF(N(Start.listina!$Y$4)=0,Start.listina!$K$7,Start.listina!$Y$4),Centrum!$V60,""),"")</f>
        <v/>
      </c>
      <c r="D60" s="42" t="str">
        <f ca="1">IF(TYPE(VLOOKUP(C60,Centrum!$A$3:$C$130,3,0))&gt;3," -",VLOOKUP(C60,Centrum!$A$3:$C$130,3,0))</f>
        <v xml:space="preserve"> - </v>
      </c>
      <c r="E60" s="1">
        <v>58</v>
      </c>
      <c r="F60">
        <f t="shared" ca="1" si="0"/>
        <v>0</v>
      </c>
      <c r="H60" s="1">
        <f ca="1">Centrum!$Y60</f>
        <v>0</v>
      </c>
    </row>
    <row r="61" spans="1:8" x14ac:dyDescent="0.4">
      <c r="A61" s="1">
        <v>59</v>
      </c>
      <c r="B61" s="42" t="str">
        <f t="shared" ca="1" si="3"/>
        <v xml:space="preserve"> - </v>
      </c>
      <c r="C61" s="43" t="str">
        <f ca="1">IF(H61&gt;=IF(N(Start.listina!$Y$3)=0,1,Start.listina!$Y$3),IF(A61&lt;=IF(N(Start.listina!$Y$4)=0,Start.listina!$K$7,Start.listina!$Y$4),Centrum!$V61,""),"")</f>
        <v/>
      </c>
      <c r="D61" s="42" t="str">
        <f ca="1">IF(TYPE(VLOOKUP(C61,Centrum!$A$3:$C$130,3,0))&gt;3," -",VLOOKUP(C61,Centrum!$A$3:$C$130,3,0))</f>
        <v xml:space="preserve"> - </v>
      </c>
      <c r="E61" s="1">
        <v>59</v>
      </c>
      <c r="F61">
        <f t="shared" ca="1" si="0"/>
        <v>0</v>
      </c>
      <c r="H61" s="1">
        <f ca="1">Centrum!$Y61</f>
        <v>0</v>
      </c>
    </row>
    <row r="62" spans="1:8" x14ac:dyDescent="0.4">
      <c r="A62" s="1">
        <v>60</v>
      </c>
      <c r="B62" s="42" t="str">
        <f t="shared" ca="1" si="3"/>
        <v xml:space="preserve"> - </v>
      </c>
      <c r="C62" s="43" t="str">
        <f ca="1">IF(H62&gt;=IF(N(Start.listina!$Y$3)=0,1,Start.listina!$Y$3),IF(A62&lt;=IF(N(Start.listina!$Y$4)=0,Start.listina!$K$7,Start.listina!$Y$4),Centrum!$V62,""),"")</f>
        <v/>
      </c>
      <c r="D62" s="42" t="str">
        <f ca="1">IF(TYPE(VLOOKUP(C62,Centrum!$A$3:$C$130,3,0))&gt;3," -",VLOOKUP(C62,Centrum!$A$3:$C$130,3,0))</f>
        <v xml:space="preserve"> - </v>
      </c>
      <c r="E62" s="1">
        <v>60</v>
      </c>
      <c r="F62">
        <f t="shared" ca="1" si="0"/>
        <v>0</v>
      </c>
      <c r="H62" s="1">
        <f ca="1">Centrum!$Y62</f>
        <v>0</v>
      </c>
    </row>
    <row r="63" spans="1:8" x14ac:dyDescent="0.4">
      <c r="A63" s="1">
        <v>61</v>
      </c>
      <c r="B63" s="42" t="str">
        <f t="shared" ca="1" si="3"/>
        <v xml:space="preserve"> - </v>
      </c>
      <c r="C63" s="43" t="str">
        <f ca="1">IF(H63&gt;=IF(N(Start.listina!$Y$3)=0,1,Start.listina!$Y$3),IF(A63&lt;=IF(N(Start.listina!$Y$4)=0,Start.listina!$K$7,Start.listina!$Y$4),Centrum!$V63,""),"")</f>
        <v/>
      </c>
      <c r="D63" s="42" t="str">
        <f ca="1">IF(TYPE(VLOOKUP(C63,Centrum!$A$3:$C$130,3,0))&gt;3," -",VLOOKUP(C63,Centrum!$A$3:$C$130,3,0))</f>
        <v xml:space="preserve"> - </v>
      </c>
      <c r="E63" s="1">
        <v>61</v>
      </c>
      <c r="F63">
        <f t="shared" ca="1" si="0"/>
        <v>0</v>
      </c>
      <c r="H63" s="1">
        <f ca="1">Centrum!$Y63</f>
        <v>0</v>
      </c>
    </row>
    <row r="64" spans="1:8" x14ac:dyDescent="0.4">
      <c r="A64" s="1">
        <v>62</v>
      </c>
      <c r="B64" s="42" t="str">
        <f t="shared" ca="1" si="3"/>
        <v xml:space="preserve"> - </v>
      </c>
      <c r="C64" s="43" t="str">
        <f ca="1">IF(H64&gt;=IF(N(Start.listina!$Y$3)=0,1,Start.listina!$Y$3),IF(A64&lt;=IF(N(Start.listina!$Y$4)=0,Start.listina!$K$7,Start.listina!$Y$4),Centrum!$V64,""),"")</f>
        <v/>
      </c>
      <c r="D64" s="42" t="str">
        <f ca="1">IF(TYPE(VLOOKUP(C64,Centrum!$A$3:$C$130,3,0))&gt;3," -",VLOOKUP(C64,Centrum!$A$3:$C$130,3,0))</f>
        <v xml:space="preserve"> - </v>
      </c>
      <c r="E64" s="1">
        <v>62</v>
      </c>
      <c r="F64">
        <f t="shared" ca="1" si="0"/>
        <v>0</v>
      </c>
      <c r="H64" s="1">
        <f ca="1">Centrum!$Y64</f>
        <v>0</v>
      </c>
    </row>
    <row r="65" spans="1:8" x14ac:dyDescent="0.4">
      <c r="A65" s="1">
        <v>63</v>
      </c>
      <c r="B65" s="42" t="str">
        <f t="shared" ca="1" si="3"/>
        <v xml:space="preserve"> - </v>
      </c>
      <c r="C65" s="43" t="str">
        <f ca="1">IF(H65&gt;=IF(N(Start.listina!$Y$3)=0,1,Start.listina!$Y$3),IF(A65&lt;=IF(N(Start.listina!$Y$4)=0,Start.listina!$K$7,Start.listina!$Y$4),Centrum!$V65,""),"")</f>
        <v/>
      </c>
      <c r="D65" s="42" t="str">
        <f ca="1">IF(TYPE(VLOOKUP(C65,Centrum!$A$3:$C$130,3,0))&gt;3," -",VLOOKUP(C65,Centrum!$A$3:$C$130,3,0))</f>
        <v xml:space="preserve"> - </v>
      </c>
      <c r="E65" s="1">
        <v>63</v>
      </c>
      <c r="F65">
        <f t="shared" ca="1" si="0"/>
        <v>0</v>
      </c>
      <c r="H65" s="1">
        <f ca="1">Centrum!$Y65</f>
        <v>0</v>
      </c>
    </row>
    <row r="66" spans="1:8" x14ac:dyDescent="0.4">
      <c r="A66" s="1">
        <v>64</v>
      </c>
      <c r="B66" s="42" t="str">
        <f t="shared" ca="1" si="3"/>
        <v xml:space="preserve"> - </v>
      </c>
      <c r="C66" s="43" t="str">
        <f ca="1">IF(H66&gt;=IF(N(Start.listina!$Y$3)=0,1,Start.listina!$Y$3),IF(A66&lt;=IF(N(Start.listina!$Y$4)=0,Start.listina!$K$7,Start.listina!$Y$4),Centrum!$V66,""),"")</f>
        <v/>
      </c>
      <c r="D66" s="42" t="str">
        <f ca="1">IF(TYPE(VLOOKUP(C66,Centrum!$A$3:$C$130,3,0))&gt;3," -",VLOOKUP(C66,Centrum!$A$3:$C$130,3,0))</f>
        <v xml:space="preserve"> - </v>
      </c>
      <c r="E66" s="1">
        <v>64</v>
      </c>
      <c r="F66">
        <f t="shared" ca="1" si="0"/>
        <v>0</v>
      </c>
      <c r="H66" s="1">
        <f ca="1">Centrum!$Y66</f>
        <v>0</v>
      </c>
    </row>
    <row r="67" spans="1:8" x14ac:dyDescent="0.4">
      <c r="A67" s="1">
        <v>65</v>
      </c>
      <c r="C67" s="43" t="str">
        <f ca="1">IF(H67&gt;=IF(N(Start.listina!$Y$3)=0,1,Start.listina!$Y$3),IF(A67&lt;=IF(N(Start.listina!$Y$4)=0,Start.listina!$K$7,Start.listina!$Y$4),Centrum!$V67,""),"")</f>
        <v/>
      </c>
      <c r="D67" s="42" t="str">
        <f ca="1">IF(TYPE(VLOOKUP(C67,Centrum!$A$3:$C$130,3,0))&gt;3," -",VLOOKUP(C67,Centrum!$A$3:$C$130,3,0))</f>
        <v xml:space="preserve"> - </v>
      </c>
      <c r="H67" s="1">
        <f ca="1">Centrum!$Y67</f>
        <v>0</v>
      </c>
    </row>
    <row r="68" spans="1:8" x14ac:dyDescent="0.4">
      <c r="A68" s="1">
        <v>66</v>
      </c>
      <c r="C68" s="43" t="str">
        <f ca="1">IF(H68&gt;=IF(N(Start.listina!$Y$3)=0,1,Start.listina!$Y$3),IF(A68&lt;=IF(N(Start.listina!$Y$4)=0,Start.listina!$K$7,Start.listina!$Y$4),Centrum!$V68,""),"")</f>
        <v/>
      </c>
      <c r="D68" s="42" t="str">
        <f ca="1">IF(TYPE(VLOOKUP(C68,Centrum!$A$3:$C$130,3,0))&gt;3," -",VLOOKUP(C68,Centrum!$A$3:$C$130,3,0))</f>
        <v xml:space="preserve"> - </v>
      </c>
      <c r="H68" s="1">
        <f ca="1">Centrum!$Y68</f>
        <v>0</v>
      </c>
    </row>
    <row r="69" spans="1:8" x14ac:dyDescent="0.4">
      <c r="A69" s="1">
        <v>67</v>
      </c>
      <c r="C69" s="43" t="str">
        <f ca="1">IF(H69&gt;=IF(N(Start.listina!$Y$3)=0,1,Start.listina!$Y$3),IF(A69&lt;=IF(N(Start.listina!$Y$4)=0,Start.listina!$K$7,Start.listina!$Y$4),Centrum!$V69,""),"")</f>
        <v/>
      </c>
      <c r="D69" s="42" t="str">
        <f ca="1">IF(TYPE(VLOOKUP(C69,Centrum!$A$3:$C$130,3,0))&gt;3," -",VLOOKUP(C69,Centrum!$A$3:$C$130,3,0))</f>
        <v xml:space="preserve"> - </v>
      </c>
      <c r="H69" s="1">
        <f ca="1">Centrum!$Y69</f>
        <v>0</v>
      </c>
    </row>
    <row r="70" spans="1:8" x14ac:dyDescent="0.4">
      <c r="A70" s="1">
        <v>68</v>
      </c>
      <c r="C70" s="43" t="str">
        <f ca="1">IF(H70&gt;=IF(N(Start.listina!$Y$3)=0,1,Start.listina!$Y$3),IF(A70&lt;=IF(N(Start.listina!$Y$4)=0,Start.listina!$K$7,Start.listina!$Y$4),Centrum!$V70,""),"")</f>
        <v/>
      </c>
      <c r="D70" s="42" t="str">
        <f ca="1">IF(TYPE(VLOOKUP(C70,Centrum!$A$3:$C$130,3,0))&gt;3," -",VLOOKUP(C70,Centrum!$A$3:$C$130,3,0))</f>
        <v xml:space="preserve"> - </v>
      </c>
      <c r="H70" s="1">
        <f ca="1">Centrum!$Y70</f>
        <v>0</v>
      </c>
    </row>
    <row r="71" spans="1:8" x14ac:dyDescent="0.4">
      <c r="A71" s="1">
        <v>69</v>
      </c>
      <c r="C71" s="43" t="str">
        <f ca="1">IF(H71&gt;=IF(N(Start.listina!$Y$3)=0,1,Start.listina!$Y$3),IF(A71&lt;=IF(N(Start.listina!$Y$4)=0,Start.listina!$K$7,Start.listina!$Y$4),Centrum!$V71,""),"")</f>
        <v/>
      </c>
      <c r="D71" s="42" t="str">
        <f ca="1">IF(TYPE(VLOOKUP(C71,Centrum!$A$3:$C$130,3,0))&gt;3," -",VLOOKUP(C71,Centrum!$A$3:$C$130,3,0))</f>
        <v xml:space="preserve"> - </v>
      </c>
      <c r="H71" s="1">
        <f ca="1">Centrum!$Y71</f>
        <v>0</v>
      </c>
    </row>
    <row r="72" spans="1:8" x14ac:dyDescent="0.4">
      <c r="A72" s="1">
        <v>70</v>
      </c>
      <c r="C72" s="43" t="str">
        <f ca="1">IF(H72&gt;=IF(N(Start.listina!$Y$3)=0,1,Start.listina!$Y$3),IF(A72&lt;=IF(N(Start.listina!$Y$4)=0,Start.listina!$K$7,Start.listina!$Y$4),Centrum!$V72,""),"")</f>
        <v/>
      </c>
      <c r="D72" s="42" t="str">
        <f ca="1">IF(TYPE(VLOOKUP(C72,Centrum!$A$3:$C$130,3,0))&gt;3," -",VLOOKUP(C72,Centrum!$A$3:$C$130,3,0))</f>
        <v xml:space="preserve"> - </v>
      </c>
      <c r="H72" s="1">
        <f ca="1">Centrum!$Y72</f>
        <v>0</v>
      </c>
    </row>
    <row r="73" spans="1:8" x14ac:dyDescent="0.4">
      <c r="A73" s="1">
        <v>71</v>
      </c>
      <c r="C73" s="43" t="str">
        <f ca="1">IF(H73&gt;=IF(N(Start.listina!$Y$3)=0,1,Start.listina!$Y$3),IF(A73&lt;=IF(N(Start.listina!$Y$4)=0,Start.listina!$K$7,Start.listina!$Y$4),Centrum!$V73,""),"")</f>
        <v/>
      </c>
      <c r="D73" s="42" t="str">
        <f ca="1">IF(TYPE(VLOOKUP(C73,Centrum!$A$3:$C$130,3,0))&gt;3," -",VLOOKUP(C73,Centrum!$A$3:$C$130,3,0))</f>
        <v xml:space="preserve"> - </v>
      </c>
      <c r="H73" s="1">
        <f ca="1">Centrum!$Y73</f>
        <v>0</v>
      </c>
    </row>
    <row r="74" spans="1:8" x14ac:dyDescent="0.4">
      <c r="A74" s="1">
        <v>72</v>
      </c>
      <c r="C74" s="43" t="str">
        <f ca="1">IF(H74&gt;=IF(N(Start.listina!$Y$3)=0,1,Start.listina!$Y$3),IF(A74&lt;=IF(N(Start.listina!$Y$4)=0,Start.listina!$K$7,Start.listina!$Y$4),Centrum!$V74,""),"")</f>
        <v/>
      </c>
      <c r="D74" s="42" t="str">
        <f ca="1">IF(TYPE(VLOOKUP(C74,Centrum!$A$3:$C$130,3,0))&gt;3," -",VLOOKUP(C74,Centrum!$A$3:$C$130,3,0))</f>
        <v xml:space="preserve"> - </v>
      </c>
      <c r="H74" s="1">
        <f ca="1">Centrum!$Y74</f>
        <v>0</v>
      </c>
    </row>
    <row r="75" spans="1:8" x14ac:dyDescent="0.4">
      <c r="A75" s="1">
        <v>73</v>
      </c>
      <c r="C75" s="43" t="str">
        <f ca="1">IF(H75&gt;=IF(N(Start.listina!$Y$3)=0,1,Start.listina!$Y$3),IF(A75&lt;=IF(N(Start.listina!$Y$4)=0,Start.listina!$K$7,Start.listina!$Y$4),Centrum!$V75,""),"")</f>
        <v/>
      </c>
      <c r="D75" s="42" t="str">
        <f ca="1">IF(TYPE(VLOOKUP(C75,Centrum!$A$3:$C$130,3,0))&gt;3," -",VLOOKUP(C75,Centrum!$A$3:$C$130,3,0))</f>
        <v xml:space="preserve"> - </v>
      </c>
      <c r="H75" s="1">
        <f ca="1">Centrum!$Y75</f>
        <v>0</v>
      </c>
    </row>
    <row r="76" spans="1:8" x14ac:dyDescent="0.4">
      <c r="A76" s="1">
        <v>74</v>
      </c>
      <c r="C76" s="43" t="str">
        <f ca="1">IF(H76&gt;=IF(N(Start.listina!$Y$3)=0,1,Start.listina!$Y$3),IF(A76&lt;=IF(N(Start.listina!$Y$4)=0,Start.listina!$K$7,Start.listina!$Y$4),Centrum!$V76,""),"")</f>
        <v/>
      </c>
      <c r="D76" s="42" t="str">
        <f ca="1">IF(TYPE(VLOOKUP(C76,Centrum!$A$3:$C$130,3,0))&gt;3," -",VLOOKUP(C76,Centrum!$A$3:$C$130,3,0))</f>
        <v xml:space="preserve"> - </v>
      </c>
      <c r="H76" s="1">
        <f ca="1">Centrum!$Y76</f>
        <v>0</v>
      </c>
    </row>
    <row r="77" spans="1:8" x14ac:dyDescent="0.4">
      <c r="A77" s="1">
        <v>75</v>
      </c>
      <c r="C77" s="43" t="str">
        <f ca="1">IF(H77&gt;=IF(N(Start.listina!$Y$3)=0,1,Start.listina!$Y$3),IF(A77&lt;=IF(N(Start.listina!$Y$4)=0,Start.listina!$K$7,Start.listina!$Y$4),Centrum!$V77,""),"")</f>
        <v/>
      </c>
      <c r="D77" s="42" t="str">
        <f ca="1">IF(TYPE(VLOOKUP(C77,Centrum!$A$3:$C$130,3,0))&gt;3," -",VLOOKUP(C77,Centrum!$A$3:$C$130,3,0))</f>
        <v xml:space="preserve"> - </v>
      </c>
      <c r="H77" s="1">
        <f ca="1">Centrum!$Y77</f>
        <v>0</v>
      </c>
    </row>
    <row r="78" spans="1:8" x14ac:dyDescent="0.4">
      <c r="A78" s="1">
        <v>76</v>
      </c>
      <c r="C78" s="43" t="str">
        <f ca="1">IF(H78&gt;=IF(N(Start.listina!$Y$3)=0,1,Start.listina!$Y$3),IF(A78&lt;=IF(N(Start.listina!$Y$4)=0,Start.listina!$K$7,Start.listina!$Y$4),Centrum!$V78,""),"")</f>
        <v/>
      </c>
      <c r="D78" s="42" t="str">
        <f ca="1">IF(TYPE(VLOOKUP(C78,Centrum!$A$3:$C$130,3,0))&gt;3," -",VLOOKUP(C78,Centrum!$A$3:$C$130,3,0))</f>
        <v xml:space="preserve"> - </v>
      </c>
      <c r="H78" s="1">
        <f ca="1">Centrum!$Y78</f>
        <v>0</v>
      </c>
    </row>
    <row r="79" spans="1:8" x14ac:dyDescent="0.4">
      <c r="A79" s="1">
        <v>77</v>
      </c>
      <c r="C79" s="43" t="str">
        <f ca="1">IF(H79&gt;=IF(N(Start.listina!$Y$3)=0,1,Start.listina!$Y$3),IF(A79&lt;=IF(N(Start.listina!$Y$4)=0,Start.listina!$K$7,Start.listina!$Y$4),Centrum!$V79,""),"")</f>
        <v/>
      </c>
      <c r="D79" s="42" t="str">
        <f ca="1">IF(TYPE(VLOOKUP(C79,Centrum!$A$3:$C$130,3,0))&gt;3," -",VLOOKUP(C79,Centrum!$A$3:$C$130,3,0))</f>
        <v xml:space="preserve"> - </v>
      </c>
      <c r="H79" s="1">
        <f ca="1">Centrum!$Y79</f>
        <v>0</v>
      </c>
    </row>
    <row r="80" spans="1:8" x14ac:dyDescent="0.4">
      <c r="A80" s="1">
        <v>78</v>
      </c>
      <c r="C80" s="43" t="str">
        <f ca="1">IF(H80&gt;=IF(N(Start.listina!$Y$3)=0,1,Start.listina!$Y$3),IF(A80&lt;=IF(N(Start.listina!$Y$4)=0,Start.listina!$K$7,Start.listina!$Y$4),Centrum!$V80,""),"")</f>
        <v/>
      </c>
      <c r="D80" s="42" t="str">
        <f ca="1">IF(TYPE(VLOOKUP(C80,Centrum!$A$3:$C$130,3,0))&gt;3," -",VLOOKUP(C80,Centrum!$A$3:$C$130,3,0))</f>
        <v xml:space="preserve"> - </v>
      </c>
      <c r="H80" s="1">
        <f ca="1">Centrum!$Y80</f>
        <v>0</v>
      </c>
    </row>
    <row r="81" spans="1:8" x14ac:dyDescent="0.4">
      <c r="A81" s="1">
        <v>79</v>
      </c>
      <c r="C81" s="43" t="str">
        <f ca="1">IF(H81&gt;=IF(N(Start.listina!$Y$3)=0,1,Start.listina!$Y$3),IF(A81&lt;=IF(N(Start.listina!$Y$4)=0,Start.listina!$K$7,Start.listina!$Y$4),Centrum!$V81,""),"")</f>
        <v/>
      </c>
      <c r="D81" s="42" t="str">
        <f ca="1">IF(TYPE(VLOOKUP(C81,Centrum!$A$3:$C$130,3,0))&gt;3," -",VLOOKUP(C81,Centrum!$A$3:$C$130,3,0))</f>
        <v xml:space="preserve"> - </v>
      </c>
      <c r="H81" s="1">
        <f ca="1">Centrum!$Y81</f>
        <v>0</v>
      </c>
    </row>
    <row r="82" spans="1:8" x14ac:dyDescent="0.4">
      <c r="A82" s="1">
        <v>80</v>
      </c>
      <c r="C82" s="43" t="str">
        <f ca="1">IF(H82&gt;=IF(N(Start.listina!$Y$3)=0,1,Start.listina!$Y$3),IF(A82&lt;=IF(N(Start.listina!$Y$4)=0,Start.listina!$K$7,Start.listina!$Y$4),Centrum!$V82,""),"")</f>
        <v/>
      </c>
      <c r="D82" s="42" t="str">
        <f ca="1">IF(TYPE(VLOOKUP(C82,Centrum!$A$3:$C$130,3,0))&gt;3," -",VLOOKUP(C82,Centrum!$A$3:$C$130,3,0))</f>
        <v xml:space="preserve"> - </v>
      </c>
      <c r="H82" s="1">
        <f ca="1">Centrum!$Y82</f>
        <v>0</v>
      </c>
    </row>
    <row r="83" spans="1:8" x14ac:dyDescent="0.4">
      <c r="A83" s="1">
        <v>81</v>
      </c>
      <c r="C83" s="43" t="str">
        <f ca="1">IF(H83&gt;=IF(N(Start.listina!$Y$3)=0,1,Start.listina!$Y$3),IF(A83&lt;=IF(N(Start.listina!$Y$4)=0,Start.listina!$K$7,Start.listina!$Y$4),Centrum!$V83,""),"")</f>
        <v/>
      </c>
      <c r="D83" s="42" t="str">
        <f ca="1">IF(TYPE(VLOOKUP(C83,Centrum!$A$3:$C$130,3,0))&gt;3," -",VLOOKUP(C83,Centrum!$A$3:$C$130,3,0))</f>
        <v xml:space="preserve"> - </v>
      </c>
      <c r="H83" s="1">
        <f ca="1">Centrum!$Y83</f>
        <v>0</v>
      </c>
    </row>
    <row r="84" spans="1:8" x14ac:dyDescent="0.4">
      <c r="A84" s="1">
        <v>82</v>
      </c>
      <c r="C84" s="43" t="str">
        <f ca="1">IF(H84&gt;=IF(N(Start.listina!$Y$3)=0,1,Start.listina!$Y$3),IF(A84&lt;=IF(N(Start.listina!$Y$4)=0,Start.listina!$K$7,Start.listina!$Y$4),Centrum!$V84,""),"")</f>
        <v/>
      </c>
      <c r="D84" s="42" t="str">
        <f ca="1">IF(TYPE(VLOOKUP(C84,Centrum!$A$3:$C$130,3,0))&gt;3," -",VLOOKUP(C84,Centrum!$A$3:$C$130,3,0))</f>
        <v xml:space="preserve"> - </v>
      </c>
      <c r="H84" s="1">
        <f ca="1">Centrum!$Y84</f>
        <v>0</v>
      </c>
    </row>
    <row r="85" spans="1:8" x14ac:dyDescent="0.4">
      <c r="A85" s="1">
        <v>83</v>
      </c>
      <c r="C85" s="43" t="str">
        <f ca="1">IF(H85&gt;=IF(N(Start.listina!$Y$3)=0,1,Start.listina!$Y$3),IF(A85&lt;=IF(N(Start.listina!$Y$4)=0,Start.listina!$K$7,Start.listina!$Y$4),Centrum!$V85,""),"")</f>
        <v/>
      </c>
      <c r="D85" s="42" t="str">
        <f ca="1">IF(TYPE(VLOOKUP(C85,Centrum!$A$3:$C$130,3,0))&gt;3," -",VLOOKUP(C85,Centrum!$A$3:$C$130,3,0))</f>
        <v xml:space="preserve"> - </v>
      </c>
      <c r="H85" s="1">
        <f ca="1">Centrum!$Y85</f>
        <v>0</v>
      </c>
    </row>
    <row r="86" spans="1:8" x14ac:dyDescent="0.4">
      <c r="A86" s="1">
        <v>84</v>
      </c>
      <c r="C86" s="43" t="str">
        <f ca="1">IF(H86&gt;=IF(N(Start.listina!$Y$3)=0,1,Start.listina!$Y$3),IF(A86&lt;=IF(N(Start.listina!$Y$4)=0,Start.listina!$K$7,Start.listina!$Y$4),Centrum!$V86,""),"")</f>
        <v/>
      </c>
      <c r="D86" s="42" t="str">
        <f ca="1">IF(TYPE(VLOOKUP(C86,Centrum!$A$3:$C$130,3,0))&gt;3," -",VLOOKUP(C86,Centrum!$A$3:$C$130,3,0))</f>
        <v xml:space="preserve"> - </v>
      </c>
      <c r="H86" s="1">
        <f ca="1">Centrum!$Y86</f>
        <v>0</v>
      </c>
    </row>
    <row r="87" spans="1:8" x14ac:dyDescent="0.4">
      <c r="A87" s="1">
        <v>85</v>
      </c>
      <c r="C87" s="43" t="str">
        <f ca="1">IF(H87&gt;=IF(N(Start.listina!$Y$3)=0,1,Start.listina!$Y$3),IF(A87&lt;=IF(N(Start.listina!$Y$4)=0,Start.listina!$K$7,Start.listina!$Y$4),Centrum!$V87,""),"")</f>
        <v/>
      </c>
      <c r="D87" s="42" t="str">
        <f ca="1">IF(TYPE(VLOOKUP(C87,Centrum!$A$3:$C$130,3,0))&gt;3," -",VLOOKUP(C87,Centrum!$A$3:$C$130,3,0))</f>
        <v xml:space="preserve"> - </v>
      </c>
      <c r="H87" s="1">
        <f ca="1">Centrum!$Y87</f>
        <v>0</v>
      </c>
    </row>
    <row r="88" spans="1:8" x14ac:dyDescent="0.4">
      <c r="A88" s="1">
        <v>86</v>
      </c>
      <c r="C88" s="43" t="str">
        <f ca="1">IF(H88&gt;=IF(N(Start.listina!$Y$3)=0,1,Start.listina!$Y$3),IF(A88&lt;=IF(N(Start.listina!$Y$4)=0,Start.listina!$K$7,Start.listina!$Y$4),Centrum!$V88,""),"")</f>
        <v/>
      </c>
      <c r="D88" s="42" t="str">
        <f ca="1">IF(TYPE(VLOOKUP(C88,Centrum!$A$3:$C$130,3,0))&gt;3," -",VLOOKUP(C88,Centrum!$A$3:$C$130,3,0))</f>
        <v xml:space="preserve"> - </v>
      </c>
      <c r="H88" s="1">
        <f ca="1">Centrum!$Y88</f>
        <v>0</v>
      </c>
    </row>
    <row r="89" spans="1:8" x14ac:dyDescent="0.4">
      <c r="A89" s="1">
        <v>87</v>
      </c>
      <c r="C89" s="43" t="str">
        <f ca="1">IF(H89&gt;=IF(N(Start.listina!$Y$3)=0,1,Start.listina!$Y$3),IF(A89&lt;=IF(N(Start.listina!$Y$4)=0,Start.listina!$K$7,Start.listina!$Y$4),Centrum!$V89,""),"")</f>
        <v/>
      </c>
      <c r="D89" s="42" t="str">
        <f ca="1">IF(TYPE(VLOOKUP(C89,Centrum!$A$3:$C$130,3,0))&gt;3," -",VLOOKUP(C89,Centrum!$A$3:$C$130,3,0))</f>
        <v xml:space="preserve"> - </v>
      </c>
      <c r="H89" s="1">
        <f ca="1">Centrum!$Y89</f>
        <v>0</v>
      </c>
    </row>
    <row r="90" spans="1:8" x14ac:dyDescent="0.4">
      <c r="A90" s="1">
        <v>88</v>
      </c>
      <c r="C90" s="43" t="str">
        <f ca="1">IF(H90&gt;=IF(N(Start.listina!$Y$3)=0,1,Start.listina!$Y$3),IF(A90&lt;=IF(N(Start.listina!$Y$4)=0,Start.listina!$K$7,Start.listina!$Y$4),Centrum!$V90,""),"")</f>
        <v/>
      </c>
      <c r="D90" s="42" t="str">
        <f ca="1">IF(TYPE(VLOOKUP(C90,Centrum!$A$3:$C$130,3,0))&gt;3," -",VLOOKUP(C90,Centrum!$A$3:$C$130,3,0))</f>
        <v xml:space="preserve"> - </v>
      </c>
      <c r="H90" s="1">
        <f ca="1">Centrum!$Y90</f>
        <v>0</v>
      </c>
    </row>
    <row r="91" spans="1:8" x14ac:dyDescent="0.4">
      <c r="A91" s="1">
        <v>89</v>
      </c>
      <c r="C91" s="43" t="str">
        <f ca="1">IF(H91&gt;=IF(N(Start.listina!$Y$3)=0,1,Start.listina!$Y$3),IF(A91&lt;=IF(N(Start.listina!$Y$4)=0,Start.listina!$K$7,Start.listina!$Y$4),Centrum!$V91,""),"")</f>
        <v/>
      </c>
      <c r="D91" s="42" t="str">
        <f ca="1">IF(TYPE(VLOOKUP(C91,Centrum!$A$3:$C$130,3,0))&gt;3," -",VLOOKUP(C91,Centrum!$A$3:$C$130,3,0))</f>
        <v xml:space="preserve"> - </v>
      </c>
      <c r="H91" s="1">
        <f ca="1">Centrum!$Y91</f>
        <v>0</v>
      </c>
    </row>
    <row r="92" spans="1:8" x14ac:dyDescent="0.4">
      <c r="A92" s="1">
        <v>90</v>
      </c>
      <c r="C92" s="43" t="str">
        <f ca="1">IF(H92&gt;=IF(N(Start.listina!$Y$3)=0,1,Start.listina!$Y$3),IF(A92&lt;=IF(N(Start.listina!$Y$4)=0,Start.listina!$K$7,Start.listina!$Y$4),Centrum!$V92,""),"")</f>
        <v/>
      </c>
      <c r="D92" s="42" t="str">
        <f ca="1">IF(TYPE(VLOOKUP(C92,Centrum!$A$3:$C$130,3,0))&gt;3," -",VLOOKUP(C92,Centrum!$A$3:$C$130,3,0))</f>
        <v xml:space="preserve"> - </v>
      </c>
      <c r="H92" s="1">
        <f ca="1">Centrum!$Y92</f>
        <v>0</v>
      </c>
    </row>
    <row r="93" spans="1:8" x14ac:dyDescent="0.4">
      <c r="A93" s="1">
        <v>91</v>
      </c>
      <c r="C93" s="43" t="str">
        <f ca="1">IF(H93&gt;=IF(N(Start.listina!$Y$3)=0,1,Start.listina!$Y$3),IF(A93&lt;=IF(N(Start.listina!$Y$4)=0,Start.listina!$K$7,Start.listina!$Y$4),Centrum!$V93,""),"")</f>
        <v/>
      </c>
      <c r="D93" s="42" t="str">
        <f ca="1">IF(TYPE(VLOOKUP(C93,Centrum!$A$3:$C$130,3,0))&gt;3," -",VLOOKUP(C93,Centrum!$A$3:$C$130,3,0))</f>
        <v xml:space="preserve"> - </v>
      </c>
      <c r="H93" s="1">
        <f ca="1">Centrum!$Y93</f>
        <v>0</v>
      </c>
    </row>
    <row r="94" spans="1:8" x14ac:dyDescent="0.4">
      <c r="A94" s="1">
        <v>92</v>
      </c>
      <c r="C94" s="43" t="str">
        <f ca="1">IF(H94&gt;=IF(N(Start.listina!$Y$3)=0,1,Start.listina!$Y$3),IF(A94&lt;=IF(N(Start.listina!$Y$4)=0,Start.listina!$K$7,Start.listina!$Y$4),Centrum!$V94,""),"")</f>
        <v/>
      </c>
      <c r="D94" s="42" t="str">
        <f ca="1">IF(TYPE(VLOOKUP(C94,Centrum!$A$3:$C$130,3,0))&gt;3," -",VLOOKUP(C94,Centrum!$A$3:$C$130,3,0))</f>
        <v xml:space="preserve"> - </v>
      </c>
      <c r="H94" s="1">
        <f ca="1">Centrum!$Y94</f>
        <v>0</v>
      </c>
    </row>
    <row r="95" spans="1:8" x14ac:dyDescent="0.4">
      <c r="A95" s="1">
        <v>93</v>
      </c>
      <c r="C95" s="43" t="str">
        <f ca="1">IF(H95&gt;=IF(N(Start.listina!$Y$3)=0,1,Start.listina!$Y$3),IF(A95&lt;=IF(N(Start.listina!$Y$4)=0,Start.listina!$K$7,Start.listina!$Y$4),Centrum!$V95,""),"")</f>
        <v/>
      </c>
      <c r="D95" s="42" t="str">
        <f ca="1">IF(TYPE(VLOOKUP(C95,Centrum!$A$3:$C$130,3,0))&gt;3," -",VLOOKUP(C95,Centrum!$A$3:$C$130,3,0))</f>
        <v xml:space="preserve"> - </v>
      </c>
      <c r="H95" s="1">
        <f ca="1">Centrum!$Y95</f>
        <v>0</v>
      </c>
    </row>
    <row r="96" spans="1:8" x14ac:dyDescent="0.4">
      <c r="A96" s="1">
        <v>94</v>
      </c>
      <c r="C96" s="43" t="str">
        <f ca="1">IF(H96&gt;=IF(N(Start.listina!$Y$3)=0,1,Start.listina!$Y$3),IF(A96&lt;=IF(N(Start.listina!$Y$4)=0,Start.listina!$K$7,Start.listina!$Y$4),Centrum!$V96,""),"")</f>
        <v/>
      </c>
      <c r="D96" s="42" t="str">
        <f ca="1">IF(TYPE(VLOOKUP(C96,Centrum!$A$3:$C$130,3,0))&gt;3," -",VLOOKUP(C96,Centrum!$A$3:$C$130,3,0))</f>
        <v xml:space="preserve"> - </v>
      </c>
      <c r="H96" s="1">
        <f ca="1">Centrum!$Y96</f>
        <v>0</v>
      </c>
    </row>
    <row r="97" spans="1:8" x14ac:dyDescent="0.4">
      <c r="A97" s="1">
        <v>95</v>
      </c>
      <c r="C97" s="43" t="str">
        <f ca="1">IF(H97&gt;=IF(N(Start.listina!$Y$3)=0,1,Start.listina!$Y$3),IF(A97&lt;=IF(N(Start.listina!$Y$4)=0,Start.listina!$K$7,Start.listina!$Y$4),Centrum!$V97,""),"")</f>
        <v/>
      </c>
      <c r="D97" s="42" t="str">
        <f ca="1">IF(TYPE(VLOOKUP(C97,Centrum!$A$3:$C$130,3,0))&gt;3," -",VLOOKUP(C97,Centrum!$A$3:$C$130,3,0))</f>
        <v xml:space="preserve"> - </v>
      </c>
      <c r="H97" s="1">
        <f ca="1">Centrum!$Y97</f>
        <v>0</v>
      </c>
    </row>
    <row r="98" spans="1:8" x14ac:dyDescent="0.4">
      <c r="A98" s="1">
        <v>96</v>
      </c>
      <c r="C98" s="43" t="str">
        <f ca="1">IF(H98&gt;=IF(N(Start.listina!$Y$3)=0,1,Start.listina!$Y$3),IF(A98&lt;=IF(N(Start.listina!$Y$4)=0,Start.listina!$K$7,Start.listina!$Y$4),Centrum!$V98,""),"")</f>
        <v/>
      </c>
      <c r="D98" s="42" t="str">
        <f ca="1">IF(TYPE(VLOOKUP(C98,Centrum!$A$3:$C$130,3,0))&gt;3," -",VLOOKUP(C98,Centrum!$A$3:$C$130,3,0))</f>
        <v xml:space="preserve"> - </v>
      </c>
      <c r="H98" s="1">
        <f ca="1">Centrum!$Y98</f>
        <v>0</v>
      </c>
    </row>
    <row r="99" spans="1:8" x14ac:dyDescent="0.4">
      <c r="A99" s="1">
        <v>97</v>
      </c>
      <c r="C99" s="43" t="str">
        <f ca="1">IF(H99&gt;=IF(N(Start.listina!$Y$3)=0,1,Start.listina!$Y$3),IF(A99&lt;=IF(N(Start.listina!$Y$4)=0,Start.listina!$K$7,Start.listina!$Y$4),Centrum!$V99,""),"")</f>
        <v/>
      </c>
      <c r="D99" s="42" t="str">
        <f ca="1">IF(TYPE(VLOOKUP(C99,Centrum!$A$3:$C$130,3,0))&gt;3," -",VLOOKUP(C99,Centrum!$A$3:$C$130,3,0))</f>
        <v xml:space="preserve"> - </v>
      </c>
      <c r="H99" s="1">
        <f ca="1">Centrum!$Y99</f>
        <v>0</v>
      </c>
    </row>
    <row r="100" spans="1:8" x14ac:dyDescent="0.4">
      <c r="A100" s="1">
        <v>98</v>
      </c>
      <c r="C100" s="43" t="str">
        <f ca="1">IF(H100&gt;=IF(N(Start.listina!$Y$3)=0,1,Start.listina!$Y$3),IF(A100&lt;=IF(N(Start.listina!$Y$4)=0,Start.listina!$K$7,Start.listina!$Y$4),Centrum!$V100,""),"")</f>
        <v/>
      </c>
      <c r="D100" s="42" t="str">
        <f ca="1">IF(TYPE(VLOOKUP(C100,Centrum!$A$3:$C$130,3,0))&gt;3," -",VLOOKUP(C100,Centrum!$A$3:$C$130,3,0))</f>
        <v xml:space="preserve"> - </v>
      </c>
      <c r="H100" s="1">
        <f ca="1">Centrum!$Y100</f>
        <v>0</v>
      </c>
    </row>
    <row r="101" spans="1:8" x14ac:dyDescent="0.4">
      <c r="A101" s="1">
        <v>99</v>
      </c>
      <c r="C101" s="43" t="str">
        <f ca="1">IF(H101&gt;=IF(N(Start.listina!$Y$3)=0,1,Start.listina!$Y$3),IF(A101&lt;=IF(N(Start.listina!$Y$4)=0,Start.listina!$K$7,Start.listina!$Y$4),Centrum!$V101,""),"")</f>
        <v/>
      </c>
      <c r="D101" s="42" t="str">
        <f ca="1">IF(TYPE(VLOOKUP(C101,Centrum!$A$3:$C$130,3,0))&gt;3," -",VLOOKUP(C101,Centrum!$A$3:$C$130,3,0))</f>
        <v xml:space="preserve"> - </v>
      </c>
      <c r="H101" s="1">
        <f ca="1">Centrum!$Y101</f>
        <v>0</v>
      </c>
    </row>
    <row r="102" spans="1:8" x14ac:dyDescent="0.4">
      <c r="A102" s="1">
        <v>100</v>
      </c>
      <c r="C102" s="43" t="str">
        <f ca="1">IF(H102&gt;=IF(N(Start.listina!$Y$3)=0,1,Start.listina!$Y$3),IF(A102&lt;=IF(N(Start.listina!$Y$4)=0,Start.listina!$K$7,Start.listina!$Y$4),Centrum!$V102,""),"")</f>
        <v/>
      </c>
      <c r="D102" s="42" t="str">
        <f ca="1">IF(TYPE(VLOOKUP(C102,Centrum!$A$3:$C$130,3,0))&gt;3," -",VLOOKUP(C102,Centrum!$A$3:$C$130,3,0))</f>
        <v xml:space="preserve"> - </v>
      </c>
      <c r="H102" s="1">
        <f ca="1">Centrum!$Y102</f>
        <v>0</v>
      </c>
    </row>
    <row r="103" spans="1:8" x14ac:dyDescent="0.4">
      <c r="A103" s="1">
        <v>101</v>
      </c>
      <c r="C103" s="43" t="str">
        <f ca="1">IF(H103&gt;=IF(N(Start.listina!$Y$3)=0,1,Start.listina!$Y$3),IF(A103&lt;=IF(N(Start.listina!$Y$4)=0,Start.listina!$K$7,Start.listina!$Y$4),Centrum!$V103,""),"")</f>
        <v/>
      </c>
      <c r="D103" s="42" t="str">
        <f ca="1">IF(TYPE(VLOOKUP(C103,Centrum!$A$3:$C$130,3,0))&gt;3," -",VLOOKUP(C103,Centrum!$A$3:$C$130,3,0))</f>
        <v xml:space="preserve"> - </v>
      </c>
      <c r="H103" s="1">
        <f ca="1">Centrum!$Y103</f>
        <v>0</v>
      </c>
    </row>
    <row r="104" spans="1:8" x14ac:dyDescent="0.4">
      <c r="A104" s="1">
        <v>102</v>
      </c>
      <c r="C104" s="43" t="str">
        <f ca="1">IF(H104&gt;=IF(N(Start.listina!$Y$3)=0,1,Start.listina!$Y$3),IF(A104&lt;=IF(N(Start.listina!$Y$4)=0,Start.listina!$K$7,Start.listina!$Y$4),Centrum!$V104,""),"")</f>
        <v/>
      </c>
      <c r="D104" s="42" t="str">
        <f ca="1">IF(TYPE(VLOOKUP(C104,Centrum!$A$3:$C$130,3,0))&gt;3," -",VLOOKUP(C104,Centrum!$A$3:$C$130,3,0))</f>
        <v xml:space="preserve"> - </v>
      </c>
      <c r="H104" s="1">
        <f ca="1">Centrum!$Y104</f>
        <v>0</v>
      </c>
    </row>
    <row r="105" spans="1:8" x14ac:dyDescent="0.4">
      <c r="A105" s="1">
        <v>103</v>
      </c>
      <c r="C105" s="43" t="str">
        <f ca="1">IF(H105&gt;=IF(N(Start.listina!$Y$3)=0,1,Start.listina!$Y$3),IF(A105&lt;=IF(N(Start.listina!$Y$4)=0,Start.listina!$K$7,Start.listina!$Y$4),Centrum!$V105,""),"")</f>
        <v/>
      </c>
      <c r="D105" s="42" t="str">
        <f ca="1">IF(TYPE(VLOOKUP(C105,Centrum!$A$3:$C$130,3,0))&gt;3," -",VLOOKUP(C105,Centrum!$A$3:$C$130,3,0))</f>
        <v xml:space="preserve"> - </v>
      </c>
      <c r="H105" s="1">
        <f ca="1">Centrum!$Y105</f>
        <v>0</v>
      </c>
    </row>
    <row r="106" spans="1:8" x14ac:dyDescent="0.4">
      <c r="A106" s="1">
        <v>104</v>
      </c>
      <c r="C106" s="43" t="str">
        <f ca="1">IF(H106&gt;=IF(N(Start.listina!$Y$3)=0,1,Start.listina!$Y$3),IF(A106&lt;=IF(N(Start.listina!$Y$4)=0,Start.listina!$K$7,Start.listina!$Y$4),Centrum!$V106,""),"")</f>
        <v/>
      </c>
      <c r="D106" s="42" t="str">
        <f ca="1">IF(TYPE(VLOOKUP(C106,Centrum!$A$3:$C$130,3,0))&gt;3," -",VLOOKUP(C106,Centrum!$A$3:$C$130,3,0))</f>
        <v xml:space="preserve"> - </v>
      </c>
      <c r="H106" s="1">
        <f ca="1">Centrum!$Y106</f>
        <v>0</v>
      </c>
    </row>
    <row r="107" spans="1:8" x14ac:dyDescent="0.4">
      <c r="A107" s="1">
        <v>105</v>
      </c>
      <c r="C107" s="43" t="str">
        <f ca="1">IF(H107&gt;=IF(N(Start.listina!$Y$3)=0,1,Start.listina!$Y$3),IF(A107&lt;=IF(N(Start.listina!$Y$4)=0,Start.listina!$K$7,Start.listina!$Y$4),Centrum!$V107,""),"")</f>
        <v/>
      </c>
      <c r="D107" s="42" t="str">
        <f ca="1">IF(TYPE(VLOOKUP(C107,Centrum!$A$3:$C$130,3,0))&gt;3," -",VLOOKUP(C107,Centrum!$A$3:$C$130,3,0))</f>
        <v xml:space="preserve"> - </v>
      </c>
      <c r="H107" s="1">
        <f ca="1">Centrum!$Y107</f>
        <v>0</v>
      </c>
    </row>
    <row r="108" spans="1:8" x14ac:dyDescent="0.4">
      <c r="A108" s="1">
        <v>106</v>
      </c>
      <c r="C108" s="43" t="str">
        <f ca="1">IF(H108&gt;=IF(N(Start.listina!$Y$3)=0,1,Start.listina!$Y$3),IF(A108&lt;=IF(N(Start.listina!$Y$4)=0,Start.listina!$K$7,Start.listina!$Y$4),Centrum!$V108,""),"")</f>
        <v/>
      </c>
      <c r="D108" s="42" t="str">
        <f ca="1">IF(TYPE(VLOOKUP(C108,Centrum!$A$3:$C$130,3,0))&gt;3," -",VLOOKUP(C108,Centrum!$A$3:$C$130,3,0))</f>
        <v xml:space="preserve"> - </v>
      </c>
      <c r="H108" s="1">
        <f ca="1">Centrum!$Y108</f>
        <v>0</v>
      </c>
    </row>
    <row r="109" spans="1:8" x14ac:dyDescent="0.4">
      <c r="A109" s="1">
        <v>107</v>
      </c>
      <c r="C109" s="43" t="str">
        <f ca="1">IF(H109&gt;=IF(N(Start.listina!$Y$3)=0,1,Start.listina!$Y$3),IF(A109&lt;=IF(N(Start.listina!$Y$4)=0,Start.listina!$K$7,Start.listina!$Y$4),Centrum!$V109,""),"")</f>
        <v/>
      </c>
      <c r="D109" s="42" t="str">
        <f ca="1">IF(TYPE(VLOOKUP(C109,Centrum!$A$3:$C$130,3,0))&gt;3," -",VLOOKUP(C109,Centrum!$A$3:$C$130,3,0))</f>
        <v xml:space="preserve"> - </v>
      </c>
      <c r="H109" s="1">
        <f ca="1">Centrum!$Y109</f>
        <v>0</v>
      </c>
    </row>
    <row r="110" spans="1:8" x14ac:dyDescent="0.4">
      <c r="A110" s="1">
        <v>108</v>
      </c>
      <c r="C110" s="43" t="str">
        <f ca="1">IF(H110&gt;=IF(N(Start.listina!$Y$3)=0,1,Start.listina!$Y$3),IF(A110&lt;=IF(N(Start.listina!$Y$4)=0,Start.listina!$K$7,Start.listina!$Y$4),Centrum!$V110,""),"")</f>
        <v/>
      </c>
      <c r="D110" s="42" t="str">
        <f ca="1">IF(TYPE(VLOOKUP(C110,Centrum!$A$3:$C$130,3,0))&gt;3," -",VLOOKUP(C110,Centrum!$A$3:$C$130,3,0))</f>
        <v xml:space="preserve"> - </v>
      </c>
      <c r="H110" s="1">
        <f ca="1">Centrum!$Y110</f>
        <v>0</v>
      </c>
    </row>
    <row r="111" spans="1:8" x14ac:dyDescent="0.4">
      <c r="A111" s="1">
        <v>109</v>
      </c>
      <c r="C111" s="43" t="str">
        <f ca="1">IF(H111&gt;=IF(N(Start.listina!$Y$3)=0,1,Start.listina!$Y$3),IF(A111&lt;=IF(N(Start.listina!$Y$4)=0,Start.listina!$K$7,Start.listina!$Y$4),Centrum!$V111,""),"")</f>
        <v/>
      </c>
      <c r="D111" s="42" t="str">
        <f ca="1">IF(TYPE(VLOOKUP(C111,Centrum!$A$3:$C$130,3,0))&gt;3," -",VLOOKUP(C111,Centrum!$A$3:$C$130,3,0))</f>
        <v xml:space="preserve"> - </v>
      </c>
      <c r="H111" s="1">
        <f ca="1">Centrum!$Y111</f>
        <v>0</v>
      </c>
    </row>
    <row r="112" spans="1:8" x14ac:dyDescent="0.4">
      <c r="A112" s="1">
        <v>110</v>
      </c>
      <c r="C112" s="43" t="str">
        <f ca="1">IF(H112&gt;=IF(N(Start.listina!$Y$3)=0,1,Start.listina!$Y$3),IF(A112&lt;=IF(N(Start.listina!$Y$4)=0,Start.listina!$K$7,Start.listina!$Y$4),Centrum!$V112,""),"")</f>
        <v/>
      </c>
      <c r="D112" s="42" t="str">
        <f ca="1">IF(TYPE(VLOOKUP(C112,Centrum!$A$3:$C$130,3,0))&gt;3," -",VLOOKUP(C112,Centrum!$A$3:$C$130,3,0))</f>
        <v xml:space="preserve"> - </v>
      </c>
      <c r="H112" s="1">
        <f ca="1">Centrum!$Y112</f>
        <v>0</v>
      </c>
    </row>
    <row r="113" spans="1:8" x14ac:dyDescent="0.4">
      <c r="A113" s="1">
        <v>111</v>
      </c>
      <c r="C113" s="43" t="str">
        <f ca="1">IF(H113&gt;=IF(N(Start.listina!$Y$3)=0,1,Start.listina!$Y$3),IF(A113&lt;=IF(N(Start.listina!$Y$4)=0,Start.listina!$K$7,Start.listina!$Y$4),Centrum!$V113,""),"")</f>
        <v/>
      </c>
      <c r="D113" s="42" t="str">
        <f ca="1">IF(TYPE(VLOOKUP(C113,Centrum!$A$3:$C$130,3,0))&gt;3," -",VLOOKUP(C113,Centrum!$A$3:$C$130,3,0))</f>
        <v xml:space="preserve"> - </v>
      </c>
      <c r="H113" s="1">
        <f ca="1">Centrum!$Y113</f>
        <v>0</v>
      </c>
    </row>
    <row r="114" spans="1:8" x14ac:dyDescent="0.4">
      <c r="A114" s="1">
        <v>112</v>
      </c>
      <c r="C114" s="43" t="str">
        <f ca="1">IF(H114&gt;=IF(N(Start.listina!$Y$3)=0,1,Start.listina!$Y$3),IF(A114&lt;=IF(N(Start.listina!$Y$4)=0,Start.listina!$K$7,Start.listina!$Y$4),Centrum!$V114,""),"")</f>
        <v/>
      </c>
      <c r="D114" s="42" t="str">
        <f ca="1">IF(TYPE(VLOOKUP(C114,Centrum!$A$3:$C$130,3,0))&gt;3," -",VLOOKUP(C114,Centrum!$A$3:$C$130,3,0))</f>
        <v xml:space="preserve"> - </v>
      </c>
      <c r="H114" s="1">
        <f ca="1">Centrum!$Y114</f>
        <v>0</v>
      </c>
    </row>
    <row r="115" spans="1:8" x14ac:dyDescent="0.4">
      <c r="A115" s="1">
        <v>113</v>
      </c>
      <c r="C115" s="43" t="str">
        <f ca="1">IF(H115&gt;=IF(N(Start.listina!$Y$3)=0,1,Start.listina!$Y$3),IF(A115&lt;=IF(N(Start.listina!$Y$4)=0,Start.listina!$K$7,Start.listina!$Y$4),Centrum!$V115,""),"")</f>
        <v/>
      </c>
      <c r="D115" s="42" t="str">
        <f ca="1">IF(TYPE(VLOOKUP(C115,Centrum!$A$3:$C$130,3,0))&gt;3," -",VLOOKUP(C115,Centrum!$A$3:$C$130,3,0))</f>
        <v xml:space="preserve"> - </v>
      </c>
      <c r="H115" s="1">
        <f ca="1">Centrum!$Y115</f>
        <v>0</v>
      </c>
    </row>
    <row r="116" spans="1:8" x14ac:dyDescent="0.4">
      <c r="A116" s="1">
        <v>114</v>
      </c>
      <c r="C116" s="43" t="str">
        <f ca="1">IF(H116&gt;=IF(N(Start.listina!$Y$3)=0,1,Start.listina!$Y$3),IF(A116&lt;=IF(N(Start.listina!$Y$4)=0,Start.listina!$K$7,Start.listina!$Y$4),Centrum!$V116,""),"")</f>
        <v/>
      </c>
      <c r="D116" s="42" t="str">
        <f ca="1">IF(TYPE(VLOOKUP(C116,Centrum!$A$3:$C$130,3,0))&gt;3," -",VLOOKUP(C116,Centrum!$A$3:$C$130,3,0))</f>
        <v xml:space="preserve"> - </v>
      </c>
      <c r="H116" s="1">
        <f ca="1">Centrum!$Y116</f>
        <v>0</v>
      </c>
    </row>
    <row r="117" spans="1:8" x14ac:dyDescent="0.4">
      <c r="A117" s="1">
        <v>115</v>
      </c>
      <c r="C117" s="43" t="str">
        <f ca="1">IF(H117&gt;=IF(N(Start.listina!$Y$3)=0,1,Start.listina!$Y$3),IF(A117&lt;=IF(N(Start.listina!$Y$4)=0,Start.listina!$K$7,Start.listina!$Y$4),Centrum!$V117,""),"")</f>
        <v/>
      </c>
      <c r="D117" s="42" t="str">
        <f ca="1">IF(TYPE(VLOOKUP(C117,Centrum!$A$3:$C$130,3,0))&gt;3," -",VLOOKUP(C117,Centrum!$A$3:$C$130,3,0))</f>
        <v xml:space="preserve"> - </v>
      </c>
      <c r="H117" s="1">
        <f ca="1">Centrum!$Y117</f>
        <v>0</v>
      </c>
    </row>
    <row r="118" spans="1:8" x14ac:dyDescent="0.4">
      <c r="A118" s="1">
        <v>116</v>
      </c>
      <c r="C118" s="43" t="str">
        <f ca="1">IF(H118&gt;=IF(N(Start.listina!$Y$3)=0,1,Start.listina!$Y$3),IF(A118&lt;=IF(N(Start.listina!$Y$4)=0,Start.listina!$K$7,Start.listina!$Y$4),Centrum!$V118,""),"")</f>
        <v/>
      </c>
      <c r="D118" s="42" t="str">
        <f ca="1">IF(TYPE(VLOOKUP(C118,Centrum!$A$3:$C$130,3,0))&gt;3," -",VLOOKUP(C118,Centrum!$A$3:$C$130,3,0))</f>
        <v xml:space="preserve"> - </v>
      </c>
      <c r="H118" s="1">
        <f ca="1">Centrum!$Y118</f>
        <v>0</v>
      </c>
    </row>
    <row r="119" spans="1:8" x14ac:dyDescent="0.4">
      <c r="A119" s="1">
        <v>117</v>
      </c>
      <c r="C119" s="43" t="str">
        <f ca="1">IF(H119&gt;=IF(N(Start.listina!$Y$3)=0,1,Start.listina!$Y$3),IF(A119&lt;=IF(N(Start.listina!$Y$4)=0,Start.listina!$K$7,Start.listina!$Y$4),Centrum!$V119,""),"")</f>
        <v/>
      </c>
      <c r="D119" s="42" t="str">
        <f ca="1">IF(TYPE(VLOOKUP(C119,Centrum!$A$3:$C$130,3,0))&gt;3," -",VLOOKUP(C119,Centrum!$A$3:$C$130,3,0))</f>
        <v xml:space="preserve"> - </v>
      </c>
      <c r="H119" s="1">
        <f ca="1">Centrum!$Y119</f>
        <v>0</v>
      </c>
    </row>
    <row r="120" spans="1:8" x14ac:dyDescent="0.4">
      <c r="A120" s="1">
        <v>118</v>
      </c>
      <c r="C120" s="43" t="str">
        <f ca="1">IF(H120&gt;=IF(N(Start.listina!$Y$3)=0,1,Start.listina!$Y$3),IF(A120&lt;=IF(N(Start.listina!$Y$4)=0,Start.listina!$K$7,Start.listina!$Y$4),Centrum!$V120,""),"")</f>
        <v/>
      </c>
      <c r="D120" s="42" t="str">
        <f ca="1">IF(TYPE(VLOOKUP(C120,Centrum!$A$3:$C$130,3,0))&gt;3," -",VLOOKUP(C120,Centrum!$A$3:$C$130,3,0))</f>
        <v xml:space="preserve"> - </v>
      </c>
      <c r="H120" s="1">
        <f ca="1">Centrum!$Y120</f>
        <v>0</v>
      </c>
    </row>
    <row r="121" spans="1:8" x14ac:dyDescent="0.4">
      <c r="A121" s="1">
        <v>119</v>
      </c>
      <c r="C121" s="43" t="str">
        <f ca="1">IF(H121&gt;=IF(N(Start.listina!$Y$3)=0,1,Start.listina!$Y$3),IF(A121&lt;=IF(N(Start.listina!$Y$4)=0,Start.listina!$K$7,Start.listina!$Y$4),Centrum!$V121,""),"")</f>
        <v/>
      </c>
      <c r="D121" s="42" t="str">
        <f ca="1">IF(TYPE(VLOOKUP(C121,Centrum!$A$3:$C$130,3,0))&gt;3," -",VLOOKUP(C121,Centrum!$A$3:$C$130,3,0))</f>
        <v xml:space="preserve"> - </v>
      </c>
      <c r="H121" s="1">
        <f ca="1">Centrum!$Y121</f>
        <v>0</v>
      </c>
    </row>
    <row r="122" spans="1:8" x14ac:dyDescent="0.4">
      <c r="A122" s="1">
        <v>120</v>
      </c>
      <c r="C122" s="43" t="str">
        <f ca="1">IF(H122&gt;=IF(N(Start.listina!$Y$3)=0,1,Start.listina!$Y$3),IF(A122&lt;=IF(N(Start.listina!$Y$4)=0,Start.listina!$K$7,Start.listina!$Y$4),Centrum!$V122,""),"")</f>
        <v/>
      </c>
      <c r="D122" s="42" t="str">
        <f ca="1">IF(TYPE(VLOOKUP(C122,Centrum!$A$3:$C$130,3,0))&gt;3," -",VLOOKUP(C122,Centrum!$A$3:$C$130,3,0))</f>
        <v xml:space="preserve"> - </v>
      </c>
      <c r="H122" s="1">
        <f ca="1">Centrum!$Y122</f>
        <v>0</v>
      </c>
    </row>
    <row r="123" spans="1:8" x14ac:dyDescent="0.4">
      <c r="A123" s="1">
        <v>121</v>
      </c>
      <c r="C123" s="43" t="str">
        <f ca="1">IF(H123&gt;=IF(N(Start.listina!$Y$3)=0,1,Start.listina!$Y$3),IF(A123&lt;=IF(N(Start.listina!$Y$4)=0,Start.listina!$K$7,Start.listina!$Y$4),Centrum!$V123,""),"")</f>
        <v/>
      </c>
      <c r="D123" s="42" t="str">
        <f ca="1">IF(TYPE(VLOOKUP(C123,Centrum!$A$3:$C$130,3,0))&gt;3," -",VLOOKUP(C123,Centrum!$A$3:$C$130,3,0))</f>
        <v xml:space="preserve"> - </v>
      </c>
      <c r="H123" s="1">
        <f ca="1">Centrum!$Y123</f>
        <v>0</v>
      </c>
    </row>
    <row r="124" spans="1:8" x14ac:dyDescent="0.4">
      <c r="A124" s="1">
        <v>122</v>
      </c>
      <c r="C124" s="43" t="str">
        <f ca="1">IF(H124&gt;=IF(N(Start.listina!$Y$3)=0,1,Start.listina!$Y$3),IF(A124&lt;=IF(N(Start.listina!$Y$4)=0,Start.listina!$K$7,Start.listina!$Y$4),Centrum!$V124,""),"")</f>
        <v/>
      </c>
      <c r="D124" s="42" t="str">
        <f ca="1">IF(TYPE(VLOOKUP(C124,Centrum!$A$3:$C$130,3,0))&gt;3," -",VLOOKUP(C124,Centrum!$A$3:$C$130,3,0))</f>
        <v xml:space="preserve"> - </v>
      </c>
      <c r="H124" s="1">
        <f ca="1">Centrum!$Y124</f>
        <v>0</v>
      </c>
    </row>
    <row r="125" spans="1:8" x14ac:dyDescent="0.4">
      <c r="A125" s="1">
        <v>123</v>
      </c>
      <c r="C125" s="43" t="str">
        <f ca="1">IF(H125&gt;=IF(N(Start.listina!$Y$3)=0,1,Start.listina!$Y$3),IF(A125&lt;=IF(N(Start.listina!$Y$4)=0,Start.listina!$K$7,Start.listina!$Y$4),Centrum!$V125,""),"")</f>
        <v/>
      </c>
      <c r="D125" s="42" t="str">
        <f ca="1">IF(TYPE(VLOOKUP(C125,Centrum!$A$3:$C$130,3,0))&gt;3," -",VLOOKUP(C125,Centrum!$A$3:$C$130,3,0))</f>
        <v xml:space="preserve"> - </v>
      </c>
      <c r="H125" s="1">
        <f ca="1">Centrum!$Y125</f>
        <v>0</v>
      </c>
    </row>
    <row r="126" spans="1:8" x14ac:dyDescent="0.4">
      <c r="A126" s="1">
        <v>124</v>
      </c>
      <c r="C126" s="43" t="str">
        <f ca="1">IF(H126&gt;=IF(N(Start.listina!$Y$3)=0,1,Start.listina!$Y$3),IF(A126&lt;=IF(N(Start.listina!$Y$4)=0,Start.listina!$K$7,Start.listina!$Y$4),Centrum!$V126,""),"")</f>
        <v/>
      </c>
      <c r="D126" s="42" t="str">
        <f ca="1">IF(TYPE(VLOOKUP(C126,Centrum!$A$3:$C$130,3,0))&gt;3," -",VLOOKUP(C126,Centrum!$A$3:$C$130,3,0))</f>
        <v xml:space="preserve"> - </v>
      </c>
      <c r="H126" s="1">
        <f ca="1">Centrum!$Y126</f>
        <v>0</v>
      </c>
    </row>
    <row r="127" spans="1:8" x14ac:dyDescent="0.4">
      <c r="A127" s="1">
        <v>125</v>
      </c>
      <c r="C127" s="43" t="str">
        <f ca="1">IF(H127&gt;=IF(N(Start.listina!$Y$3)=0,1,Start.listina!$Y$3),IF(A127&lt;=IF(N(Start.listina!$Y$4)=0,Start.listina!$K$7,Start.listina!$Y$4),Centrum!$V127,""),"")</f>
        <v/>
      </c>
      <c r="D127" s="42" t="str">
        <f ca="1">IF(TYPE(VLOOKUP(C127,Centrum!$A$3:$C$130,3,0))&gt;3," -",VLOOKUP(C127,Centrum!$A$3:$C$130,3,0))</f>
        <v xml:space="preserve"> - </v>
      </c>
      <c r="H127" s="1">
        <f ca="1">Centrum!$Y127</f>
        <v>0</v>
      </c>
    </row>
    <row r="128" spans="1:8" x14ac:dyDescent="0.4">
      <c r="A128" s="1">
        <v>126</v>
      </c>
      <c r="C128" s="43" t="str">
        <f ca="1">IF(H128&gt;=IF(N(Start.listina!$Y$3)=0,1,Start.listina!$Y$3),IF(A128&lt;=IF(N(Start.listina!$Y$4)=0,Start.listina!$K$7,Start.listina!$Y$4),Centrum!$V128,""),"")</f>
        <v/>
      </c>
      <c r="D128" s="42" t="str">
        <f ca="1">IF(TYPE(VLOOKUP(C128,Centrum!$A$3:$C$130,3,0))&gt;3," -",VLOOKUP(C128,Centrum!$A$3:$C$130,3,0))</f>
        <v xml:space="preserve"> - </v>
      </c>
      <c r="H128" s="1">
        <f ca="1">Centrum!$Y128</f>
        <v>0</v>
      </c>
    </row>
    <row r="129" spans="1:8" x14ac:dyDescent="0.4">
      <c r="A129" s="1">
        <v>127</v>
      </c>
      <c r="C129" s="43" t="str">
        <f ca="1">IF(H129&gt;=IF(N(Start.listina!$Y$3)=0,1,Start.listina!$Y$3),IF(A129&lt;=IF(N(Start.listina!$Y$4)=0,Start.listina!$K$7,Start.listina!$Y$4),Centrum!$V129,""),"")</f>
        <v/>
      </c>
      <c r="D129" s="42" t="str">
        <f ca="1">IF(TYPE(VLOOKUP(C129,Centrum!$A$3:$C$130,3,0))&gt;3," -",VLOOKUP(C129,Centrum!$A$3:$C$130,3,0))</f>
        <v xml:space="preserve"> - </v>
      </c>
      <c r="H129" s="1">
        <f ca="1">Centrum!$Y129</f>
        <v>0</v>
      </c>
    </row>
    <row r="130" spans="1:8" x14ac:dyDescent="0.4">
      <c r="A130" s="1">
        <v>128</v>
      </c>
      <c r="C130" s="43" t="str">
        <f ca="1">IF(H130&gt;=IF(N(Start.listina!$Y$3)=0,1,Start.listina!$Y$3),IF(A130&lt;=IF(N(Start.listina!$Y$4)=0,Start.listina!$K$7,Start.listina!$Y$4),Centrum!$V130,""),"")</f>
        <v/>
      </c>
      <c r="D130" s="42" t="str">
        <f ca="1">IF(TYPE(VLOOKUP(C130,Centrum!$A$3:$C$130,3,0))&gt;3," -",VLOOKUP(C130,Centrum!$A$3:$C$130,3,0))</f>
        <v xml:space="preserve"> - </v>
      </c>
      <c r="H130" s="1">
        <f ca="1">Centrum!$Y130</f>
        <v>0</v>
      </c>
    </row>
  </sheetData>
  <sheetProtection sheet="1" objects="1" scenarios="1"/>
  <phoneticPr fontId="0" type="noConversion"/>
  <pageMargins left="0.78740157499999996" right="0.78740157499999996" top="0.984251969" bottom="0.984251969" header="0.4921259845" footer="0.4921259845"/>
  <headerFooter alignWithMargins="0"/>
  <legacy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List26">
    <tabColor theme="3" tint="-0.249977111117893"/>
    <pageSetUpPr fitToPage="1"/>
  </sheetPr>
  <dimension ref="A1:AI66"/>
  <sheetViews>
    <sheetView view="pageBreakPreview" zoomScaleNormal="100" workbookViewId="0">
      <pane xSplit="7" ySplit="2" topLeftCell="H3" activePane="bottomRight" state="frozen"/>
      <selection pane="topRight" activeCell="G8" sqref="G8"/>
      <selection pane="bottomLeft" activeCell="G8" sqref="G8"/>
      <selection pane="bottomRight" activeCell="U12" sqref="U12"/>
    </sheetView>
  </sheetViews>
  <sheetFormatPr defaultRowHeight="12" x14ac:dyDescent="0.4"/>
  <cols>
    <col min="1" max="1" width="2" hidden="1" customWidth="1"/>
    <col min="2" max="2" width="1.75" hidden="1" customWidth="1"/>
    <col min="3" max="3" width="4.4140625" hidden="1" customWidth="1"/>
    <col min="4" max="4" width="4" hidden="1" customWidth="1"/>
    <col min="5" max="6" width="41.75" customWidth="1"/>
    <col min="7" max="7" width="5.4140625" customWidth="1"/>
    <col min="8" max="9" width="6.4140625" customWidth="1"/>
    <col min="10" max="10" width="26.83203125" hidden="1" customWidth="1"/>
    <col min="11" max="17" width="9.1640625" hidden="1" customWidth="1"/>
    <col min="18" max="18" width="0" hidden="1" customWidth="1"/>
  </cols>
  <sheetData>
    <row r="1" spans="3:35" ht="30.9" thickBot="1" x14ac:dyDescent="0.5">
      <c r="E1" s="284" t="s">
        <v>1632</v>
      </c>
      <c r="F1" s="277" t="str">
        <f>Start.listina!$K$4</f>
        <v>Turnaj Piráta Morgana</v>
      </c>
      <c r="G1" s="1"/>
      <c r="H1" s="476" t="str">
        <f>Start.listina!$K$3</f>
        <v>28.04.2024</v>
      </c>
      <c r="I1" s="477"/>
      <c r="J1" s="1"/>
      <c r="K1" t="s">
        <v>1633</v>
      </c>
      <c r="L1" s="1"/>
      <c r="M1" s="1"/>
      <c r="N1" s="1"/>
      <c r="O1" s="1"/>
      <c r="P1" s="1"/>
      <c r="Q1" s="1"/>
      <c r="R1" s="1"/>
      <c r="S1" s="1"/>
      <c r="T1" s="1"/>
      <c r="U1" s="1"/>
      <c r="V1" s="1"/>
      <c r="W1" s="1"/>
      <c r="X1" s="1"/>
      <c r="Y1" s="1"/>
      <c r="Z1" s="1"/>
      <c r="AA1" s="1"/>
      <c r="AB1" s="1"/>
      <c r="AC1" s="1"/>
      <c r="AD1" s="1"/>
      <c r="AE1" s="1"/>
      <c r="AF1" s="1"/>
      <c r="AG1" s="1"/>
      <c r="AH1" s="1"/>
      <c r="AI1" s="1"/>
    </row>
    <row r="2" spans="3:35" ht="42.65" customHeight="1" thickTop="1" thickBot="1" x14ac:dyDescent="0.45">
      <c r="D2" s="243">
        <v>37</v>
      </c>
      <c r="E2" s="8" t="s">
        <v>1634</v>
      </c>
      <c r="F2" s="8" t="s">
        <v>1635</v>
      </c>
      <c r="G2" s="273" t="s">
        <v>1636</v>
      </c>
      <c r="H2" s="474" t="s">
        <v>1637</v>
      </c>
      <c r="I2" s="475"/>
      <c r="K2" s="279" t="s">
        <v>1638</v>
      </c>
      <c r="L2" s="279" t="s">
        <v>1639</v>
      </c>
      <c r="M2" s="279" t="s">
        <v>1591</v>
      </c>
      <c r="N2" s="280" t="s">
        <v>1596</v>
      </c>
      <c r="O2" s="279" t="s">
        <v>1638</v>
      </c>
      <c r="P2" s="279" t="s">
        <v>1591</v>
      </c>
      <c r="Q2" s="280" t="s">
        <v>1596</v>
      </c>
    </row>
    <row r="3" spans="3:35" ht="21" x14ac:dyDescent="0.4">
      <c r="C3" s="278">
        <f ca="1">IF(ROW()-2&gt;Start.listina!$N$7,"",INDIRECT(ADDRESS(ROW(),$D$2,1,1,"Centrum")))</f>
        <v>1</v>
      </c>
      <c r="D3" s="278">
        <f ca="1">IF(ROW()-2&gt;Start.listina!$O$7,"",INDIRECT(ADDRESS(ROW()+Start.listina!$N$7,$D$2,1,1,"Centrum")))</f>
        <v>29</v>
      </c>
      <c r="E3" s="276" t="str">
        <f ca="1">IF(TYPE(VLOOKUP(C3,Centrum!$A$3:$C$130,3,0))&gt;3," - ",VLOOKUP(C3,Centrum!$A$3:$C$130,3,0))</f>
        <v>1 PC Sokol Lipník - Vavrovič ml. Petr</v>
      </c>
      <c r="F3" s="276" t="str">
        <f ca="1">IF(TYPE(VLOOKUP(D3,Centrum!$A$3:$C$130,3,0))&gt;3," - ",VLOOKUP(D3,Centrum!$A$3:$C$130,3,0))</f>
        <v>29 PC Mimo Done - Zikmunda Martin</v>
      </c>
      <c r="G3" s="439">
        <f ca="1">IF(ROW()-2&gt;Start.listina!$O$7,"",ROW()-2)</f>
        <v>1</v>
      </c>
      <c r="H3" s="272">
        <v>13</v>
      </c>
      <c r="I3" s="274">
        <v>9</v>
      </c>
      <c r="K3" s="275">
        <f t="shared" ref="K3:K65" ca="1" si="0">IF(TRIM($F3)="-","",$D3)</f>
        <v>29</v>
      </c>
      <c r="L3" s="275">
        <f t="shared" ref="L3:L65" ca="1" si="1">IF(TRIM($E3)="-","",$C3)</f>
        <v>1</v>
      </c>
      <c r="M3" s="275">
        <f t="shared" ref="M3:M65" ca="1" si="2">IF(AND(TRIM($E3)&lt;&gt;"-",$H3&gt;$I3),1,0)</f>
        <v>1</v>
      </c>
      <c r="N3" s="275">
        <f ca="1">IF(TRIM($E3)="-",0,$H3-$I3)</f>
        <v>4</v>
      </c>
      <c r="O3" s="275">
        <f t="shared" ref="O3:O65" ca="1" si="3">IF(TRIM($F3)="-","",$D3)</f>
        <v>29</v>
      </c>
      <c r="P3" s="275">
        <f t="shared" ref="P3:P65" ca="1" si="4">IF(AND(TRIM($F3)&lt;&gt;"-",$I3&gt;$H3),1,0)</f>
        <v>0</v>
      </c>
      <c r="Q3" s="281">
        <f t="shared" ref="Q3:Q65" ca="1" si="5">IF(TRIM($F3)="-",0,$I3-$H3)</f>
        <v>-4</v>
      </c>
    </row>
    <row r="4" spans="3:35" ht="21" x14ac:dyDescent="0.4">
      <c r="C4" s="278">
        <f ca="1">IF(ROW()-2&gt;Start.listina!$N$7,"",INDIRECT(ADDRESS(ROW(),$D$2,1,1,"Centrum")))</f>
        <v>2</v>
      </c>
      <c r="D4" s="278">
        <f ca="1">IF(ROW()-2&gt;Start.listina!$O$7,"",INDIRECT(ADDRESS(ROW()+Start.listina!$N$7,$D$2,1,1,"Centrum")))</f>
        <v>30</v>
      </c>
      <c r="E4" s="276" t="str">
        <f ca="1">IF(TYPE(VLOOKUP(C4,Centrum!$A$3:$C$130,3,0))&gt;3," - ",VLOOKUP(C4,Centrum!$A$3:$C$130,3,0))</f>
        <v>2 PLUK Jablonec - Lukáš Vojtěch</v>
      </c>
      <c r="F4" s="276" t="str">
        <f ca="1">IF(TYPE(VLOOKUP(D4,Centrum!$A$3:$C$130,3,0))&gt;3," - ",VLOOKUP(D4,Centrum!$A$3:$C$130,3,0))</f>
        <v>30 PC Přítkov - Blaščák Ondřej</v>
      </c>
      <c r="G4" s="439">
        <f ca="1">IF(ROW()-2&gt;Start.listina!$O$7,"",ROW()-2)</f>
        <v>2</v>
      </c>
      <c r="H4" s="272">
        <v>13</v>
      </c>
      <c r="I4" s="274">
        <v>0</v>
      </c>
      <c r="K4" s="275">
        <f t="shared" ca="1" si="0"/>
        <v>30</v>
      </c>
      <c r="L4" s="275">
        <f t="shared" ca="1" si="1"/>
        <v>2</v>
      </c>
      <c r="M4" s="275">
        <f t="shared" ca="1" si="2"/>
        <v>1</v>
      </c>
      <c r="N4" s="275">
        <f t="shared" ref="N4:N66" ca="1" si="6">IF(TRIM($E4)="-",0,$H4-$I4)</f>
        <v>13</v>
      </c>
      <c r="O4" s="275">
        <f t="shared" ca="1" si="3"/>
        <v>30</v>
      </c>
      <c r="P4" s="275">
        <f t="shared" ca="1" si="4"/>
        <v>0</v>
      </c>
      <c r="Q4" s="282">
        <f t="shared" ca="1" si="5"/>
        <v>-13</v>
      </c>
    </row>
    <row r="5" spans="3:35" ht="21" x14ac:dyDescent="0.4">
      <c r="C5" s="278">
        <f ca="1">IF(ROW()-2&gt;Start.listina!$N$7,"",INDIRECT(ADDRESS(ROW(),$D$2,1,1,"Centrum")))</f>
        <v>3</v>
      </c>
      <c r="D5" s="278">
        <f ca="1">IF(ROW()-2&gt;Start.listina!$O$7,"",INDIRECT(ADDRESS(ROW()+Start.listina!$N$7,$D$2,1,1,"Centrum")))</f>
        <v>31</v>
      </c>
      <c r="E5" s="276" t="str">
        <f ca="1">IF(TYPE(VLOOKUP(C5,Centrum!$A$3:$C$130,3,0))&gt;3," - ",VLOOKUP(C5,Centrum!$A$3:$C$130,3,0))</f>
        <v>3 PC Sokol Lipník - Froňková Kateřina</v>
      </c>
      <c r="F5" s="276" t="str">
        <f ca="1">IF(TYPE(VLOOKUP(D5,Centrum!$A$3:$C$130,3,0))&gt;3," - ",VLOOKUP(D5,Centrum!$A$3:$C$130,3,0))</f>
        <v>31 SK Pétanque Řepy - Holoubek Pavel</v>
      </c>
      <c r="G5" s="439">
        <f ca="1">IF(ROW()-2&gt;Start.listina!$O$7,"",ROW()-2)</f>
        <v>3</v>
      </c>
      <c r="H5" s="272">
        <v>13</v>
      </c>
      <c r="I5" s="274">
        <v>1</v>
      </c>
      <c r="K5" s="275">
        <f t="shared" ca="1" si="0"/>
        <v>31</v>
      </c>
      <c r="L5" s="275">
        <f t="shared" ca="1" si="1"/>
        <v>3</v>
      </c>
      <c r="M5" s="275">
        <f t="shared" ca="1" si="2"/>
        <v>1</v>
      </c>
      <c r="N5" s="275">
        <f t="shared" ca="1" si="6"/>
        <v>12</v>
      </c>
      <c r="O5" s="275">
        <f t="shared" ca="1" si="3"/>
        <v>31</v>
      </c>
      <c r="P5" s="275">
        <f t="shared" ca="1" si="4"/>
        <v>0</v>
      </c>
      <c r="Q5" s="282">
        <f t="shared" ca="1" si="5"/>
        <v>-12</v>
      </c>
    </row>
    <row r="6" spans="3:35" ht="21" x14ac:dyDescent="0.4">
      <c r="C6" s="278">
        <f ca="1">IF(ROW()-2&gt;Start.listina!$N$7,"",INDIRECT(ADDRESS(ROW(),$D$2,1,1,"Centrum")))</f>
        <v>4</v>
      </c>
      <c r="D6" s="278">
        <f ca="1">IF(ROW()-2&gt;Start.listina!$O$7,"",INDIRECT(ADDRESS(ROW()+Start.listina!$N$7,$D$2,1,1,"Centrum")))</f>
        <v>32</v>
      </c>
      <c r="E6" s="276" t="str">
        <f ca="1">IF(TYPE(VLOOKUP(C6,Centrum!$A$3:$C$130,3,0))&gt;3," - ",VLOOKUP(C6,Centrum!$A$3:$C$130,3,0))</f>
        <v>4 1. KPK Vrchlabí - Srnský Lubomír</v>
      </c>
      <c r="F6" s="276" t="str">
        <f ca="1">IF(TYPE(VLOOKUP(D6,Centrum!$A$3:$C$130,3,0))&gt;3," - ",VLOOKUP(D6,Centrum!$A$3:$C$130,3,0))</f>
        <v>32 SK Pétanque Řepy - Vodehnal Zdeněk</v>
      </c>
      <c r="G6" s="439">
        <f ca="1">IF(ROW()-2&gt;Start.listina!$O$7,"",ROW()-2)</f>
        <v>4</v>
      </c>
      <c r="H6" s="272">
        <v>12</v>
      </c>
      <c r="I6" s="274">
        <v>11</v>
      </c>
      <c r="K6" s="275">
        <f t="shared" ca="1" si="0"/>
        <v>32</v>
      </c>
      <c r="L6" s="275">
        <f t="shared" ca="1" si="1"/>
        <v>4</v>
      </c>
      <c r="M6" s="275">
        <f t="shared" ca="1" si="2"/>
        <v>1</v>
      </c>
      <c r="N6" s="275">
        <f t="shared" ca="1" si="6"/>
        <v>1</v>
      </c>
      <c r="O6" s="275">
        <f t="shared" ca="1" si="3"/>
        <v>32</v>
      </c>
      <c r="P6" s="275">
        <f t="shared" ca="1" si="4"/>
        <v>0</v>
      </c>
      <c r="Q6" s="282">
        <f t="shared" ca="1" si="5"/>
        <v>-1</v>
      </c>
    </row>
    <row r="7" spans="3:35" ht="21" x14ac:dyDescent="0.4">
      <c r="C7" s="278">
        <f ca="1">IF(ROW()-2&gt;Start.listina!$N$7,"",INDIRECT(ADDRESS(ROW(),$D$2,1,1,"Centrum")))</f>
        <v>5</v>
      </c>
      <c r="D7" s="278">
        <f ca="1">IF(ROW()-2&gt;Start.listina!$O$7,"",INDIRECT(ADDRESS(ROW()+Start.listina!$N$7,$D$2,1,1,"Centrum")))</f>
        <v>33</v>
      </c>
      <c r="E7" s="276" t="str">
        <f ca="1">IF(TYPE(VLOOKUP(C7,Centrum!$A$3:$C$130,3,0))&gt;3," - ",VLOOKUP(C7,Centrum!$A$3:$C$130,3,0))</f>
        <v>5 CdP Loděnice - Dlouhá Ivana</v>
      </c>
      <c r="F7" s="276" t="str">
        <f ca="1">IF(TYPE(VLOOKUP(D7,Centrum!$A$3:$C$130,3,0))&gt;3," - ",VLOOKUP(D7,Centrum!$A$3:$C$130,3,0))</f>
        <v>33 SK Pétanque Řepy - Müllerová Jiřina</v>
      </c>
      <c r="G7" s="439">
        <f ca="1">IF(ROW()-2&gt;Start.listina!$O$7,"",ROW()-2)</f>
        <v>5</v>
      </c>
      <c r="H7" s="272">
        <v>13</v>
      </c>
      <c r="I7" s="274">
        <v>6</v>
      </c>
      <c r="K7" s="275">
        <f t="shared" ca="1" si="0"/>
        <v>33</v>
      </c>
      <c r="L7" s="275">
        <f t="shared" ca="1" si="1"/>
        <v>5</v>
      </c>
      <c r="M7" s="275">
        <f t="shared" ca="1" si="2"/>
        <v>1</v>
      </c>
      <c r="N7" s="275">
        <f t="shared" ca="1" si="6"/>
        <v>7</v>
      </c>
      <c r="O7" s="275">
        <f t="shared" ca="1" si="3"/>
        <v>33</v>
      </c>
      <c r="P7" s="275">
        <f t="shared" ca="1" si="4"/>
        <v>0</v>
      </c>
      <c r="Q7" s="282">
        <f t="shared" ca="1" si="5"/>
        <v>-7</v>
      </c>
    </row>
    <row r="8" spans="3:35" ht="21" x14ac:dyDescent="0.4">
      <c r="C8" s="278">
        <f ca="1">IF(ROW()-2&gt;Start.listina!$N$7,"",INDIRECT(ADDRESS(ROW(),$D$2,1,1,"Centrum")))</f>
        <v>6</v>
      </c>
      <c r="D8" s="278">
        <f ca="1">IF(ROW()-2&gt;Start.listina!$O$7,"",INDIRECT(ADDRESS(ROW()+Start.listina!$N$7,$D$2,1,1,"Centrum")))</f>
        <v>34</v>
      </c>
      <c r="E8" s="276" t="str">
        <f ca="1">IF(TYPE(VLOOKUP(C8,Centrum!$A$3:$C$130,3,0))&gt;3," - ",VLOOKUP(C8,Centrum!$A$3:$C$130,3,0))</f>
        <v>6 CdP Loděnice - Kamaryt Josef</v>
      </c>
      <c r="F8" s="276" t="str">
        <f ca="1">IF(TYPE(VLOOKUP(D8,Centrum!$A$3:$C$130,3,0))&gt;3," - ",VLOOKUP(D8,Centrum!$A$3:$C$130,3,0))</f>
        <v>34 1. KPK Vrchlabí - Šebek Viktor</v>
      </c>
      <c r="G8" s="439">
        <f ca="1">IF(ROW()-2&gt;Start.listina!$O$7,"",ROW()-2)</f>
        <v>6</v>
      </c>
      <c r="H8" s="272">
        <v>0</v>
      </c>
      <c r="I8" s="274">
        <v>13</v>
      </c>
      <c r="K8" s="275">
        <f t="shared" ca="1" si="0"/>
        <v>34</v>
      </c>
      <c r="L8" s="275">
        <f t="shared" ca="1" si="1"/>
        <v>6</v>
      </c>
      <c r="M8" s="275">
        <f t="shared" ca="1" si="2"/>
        <v>0</v>
      </c>
      <c r="N8" s="275">
        <f t="shared" ca="1" si="6"/>
        <v>-13</v>
      </c>
      <c r="O8" s="275">
        <f t="shared" ca="1" si="3"/>
        <v>34</v>
      </c>
      <c r="P8" s="275">
        <f t="shared" ca="1" si="4"/>
        <v>1</v>
      </c>
      <c r="Q8" s="282">
        <f t="shared" ca="1" si="5"/>
        <v>13</v>
      </c>
    </row>
    <row r="9" spans="3:35" ht="21" x14ac:dyDescent="0.4">
      <c r="C9" s="278">
        <f ca="1">IF(ROW()-2&gt;Start.listina!$N$7,"",INDIRECT(ADDRESS(ROW(),$D$2,1,1,"Centrum")))</f>
        <v>7</v>
      </c>
      <c r="D9" s="278">
        <f ca="1">IF(ROW()-2&gt;Start.listina!$O$7,"",INDIRECT(ADDRESS(ROW()+Start.listina!$N$7,$D$2,1,1,"Centrum")))</f>
        <v>35</v>
      </c>
      <c r="E9" s="276" t="str">
        <f ca="1">IF(TYPE(VLOOKUP(C9,Centrum!$A$3:$C$130,3,0))&gt;3," - ",VLOOKUP(C9,Centrum!$A$3:$C$130,3,0))</f>
        <v>7 1. KPK Vrchlabí - Semeniv Maryana Khrystyna</v>
      </c>
      <c r="F9" s="276" t="str">
        <f ca="1">IF(TYPE(VLOOKUP(D9,Centrum!$A$3:$C$130,3,0))&gt;3," - ",VLOOKUP(D9,Centrum!$A$3:$C$130,3,0))</f>
        <v>35 SK Pétanque Řepy - Josífková Eva</v>
      </c>
      <c r="G9" s="439">
        <f ca="1">IF(ROW()-2&gt;Start.listina!$O$7,"",ROW()-2)</f>
        <v>7</v>
      </c>
      <c r="H9" s="272">
        <v>13</v>
      </c>
      <c r="I9" s="274">
        <v>6</v>
      </c>
      <c r="K9" s="275">
        <f t="shared" ca="1" si="0"/>
        <v>35</v>
      </c>
      <c r="L9" s="275">
        <f t="shared" ca="1" si="1"/>
        <v>7</v>
      </c>
      <c r="M9" s="275">
        <f t="shared" ca="1" si="2"/>
        <v>1</v>
      </c>
      <c r="N9" s="275">
        <f t="shared" ca="1" si="6"/>
        <v>7</v>
      </c>
      <c r="O9" s="275">
        <f t="shared" ca="1" si="3"/>
        <v>35</v>
      </c>
      <c r="P9" s="275">
        <f t="shared" ca="1" si="4"/>
        <v>0</v>
      </c>
      <c r="Q9" s="282">
        <f t="shared" ca="1" si="5"/>
        <v>-7</v>
      </c>
    </row>
    <row r="10" spans="3:35" ht="21" x14ac:dyDescent="0.4">
      <c r="C10" s="278">
        <f ca="1">IF(ROW()-2&gt;Start.listina!$N$7,"",INDIRECT(ADDRESS(ROW(),$D$2,1,1,"Centrum")))</f>
        <v>8</v>
      </c>
      <c r="D10" s="278">
        <f ca="1">IF(ROW()-2&gt;Start.listina!$O$7,"",INDIRECT(ADDRESS(ROW()+Start.listina!$N$7,$D$2,1,1,"Centrum")))</f>
        <v>36</v>
      </c>
      <c r="E10" s="276" t="str">
        <f ca="1">IF(TYPE(VLOOKUP(C10,Centrum!$A$3:$C$130,3,0))&gt;3," - ",VLOOKUP(C10,Centrum!$A$3:$C$130,3,0))</f>
        <v>8 PC Damníkov - Brandes Michael</v>
      </c>
      <c r="F10" s="276" t="str">
        <f ca="1">IF(TYPE(VLOOKUP(D10,Centrum!$A$3:$C$130,3,0))&gt;3," - ",VLOOKUP(D10,Centrum!$A$3:$C$130,3,0))</f>
        <v>36 FRAPECO - Ondryáš Jiří</v>
      </c>
      <c r="G10" s="439">
        <f ca="1">IF(ROW()-2&gt;Start.listina!$O$7,"",ROW()-2)</f>
        <v>8</v>
      </c>
      <c r="H10" s="272">
        <v>13</v>
      </c>
      <c r="I10" s="274">
        <v>5</v>
      </c>
      <c r="K10" s="275">
        <f t="shared" ca="1" si="0"/>
        <v>36</v>
      </c>
      <c r="L10" s="275">
        <f t="shared" ca="1" si="1"/>
        <v>8</v>
      </c>
      <c r="M10" s="275">
        <f t="shared" ca="1" si="2"/>
        <v>1</v>
      </c>
      <c r="N10" s="275">
        <f t="shared" ca="1" si="6"/>
        <v>8</v>
      </c>
      <c r="O10" s="275">
        <f t="shared" ca="1" si="3"/>
        <v>36</v>
      </c>
      <c r="P10" s="275">
        <f t="shared" ca="1" si="4"/>
        <v>0</v>
      </c>
      <c r="Q10" s="282">
        <f t="shared" ca="1" si="5"/>
        <v>-8</v>
      </c>
    </row>
    <row r="11" spans="3:35" ht="21" x14ac:dyDescent="0.4">
      <c r="C11" s="278">
        <f ca="1">IF(ROW()-2&gt;Start.listina!$N$7,"",INDIRECT(ADDRESS(ROW(),$D$2,1,1,"Centrum")))</f>
        <v>9</v>
      </c>
      <c r="D11" s="278">
        <f ca="1">IF(ROW()-2&gt;Start.listina!$O$7,"",INDIRECT(ADDRESS(ROW()+Start.listina!$N$7,$D$2,1,1,"Centrum")))</f>
        <v>37</v>
      </c>
      <c r="E11" s="276" t="str">
        <f ca="1">IF(TYPE(VLOOKUP(C11,Centrum!$A$3:$C$130,3,0))&gt;3," - ",VLOOKUP(C11,Centrum!$A$3:$C$130,3,0))</f>
        <v>9 UBU Únětice - Palas Pavel</v>
      </c>
      <c r="F11" s="276" t="str">
        <f ca="1">IF(TYPE(VLOOKUP(D11,Centrum!$A$3:$C$130,3,0))&gt;3," - ",VLOOKUP(D11,Centrum!$A$3:$C$130,3,0))</f>
        <v>37 SK Pétanque Řepy - Konopová Marta</v>
      </c>
      <c r="G11" s="439">
        <f ca="1">IF(ROW()-2&gt;Start.listina!$O$7,"",ROW()-2)</f>
        <v>9</v>
      </c>
      <c r="H11" s="272">
        <v>13</v>
      </c>
      <c r="I11" s="274">
        <v>6</v>
      </c>
      <c r="K11" s="275">
        <f t="shared" ca="1" si="0"/>
        <v>37</v>
      </c>
      <c r="L11" s="275">
        <f t="shared" ca="1" si="1"/>
        <v>9</v>
      </c>
      <c r="M11" s="275">
        <f t="shared" ca="1" si="2"/>
        <v>1</v>
      </c>
      <c r="N11" s="275">
        <f t="shared" ca="1" si="6"/>
        <v>7</v>
      </c>
      <c r="O11" s="275">
        <f t="shared" ca="1" si="3"/>
        <v>37</v>
      </c>
      <c r="P11" s="275">
        <f t="shared" ca="1" si="4"/>
        <v>0</v>
      </c>
      <c r="Q11" s="282">
        <f t="shared" ca="1" si="5"/>
        <v>-7</v>
      </c>
    </row>
    <row r="12" spans="3:35" ht="21" x14ac:dyDescent="0.4">
      <c r="C12" s="278">
        <f ca="1">IF(ROW()-2&gt;Start.listina!$N$7,"",INDIRECT(ADDRESS(ROW(),$D$2,1,1,"Centrum")))</f>
        <v>10</v>
      </c>
      <c r="D12" s="278">
        <f ca="1">IF(ROW()-2&gt;Start.listina!$O$7,"",INDIRECT(ADDRESS(ROW()+Start.listina!$N$7,$D$2,1,1,"Centrum")))</f>
        <v>38</v>
      </c>
      <c r="E12" s="276" t="str">
        <f ca="1">IF(TYPE(VLOOKUP(C12,Centrum!$A$3:$C$130,3,0))&gt;3," - ",VLOOKUP(C12,Centrum!$A$3:$C$130,3,0))</f>
        <v>10 JAPKO - Stejskal Václav</v>
      </c>
      <c r="F12" s="276" t="str">
        <f ca="1">IF(TYPE(VLOOKUP(D12,Centrum!$A$3:$C$130,3,0))&gt;3," - ",VLOOKUP(D12,Centrum!$A$3:$C$130,3,0))</f>
        <v>38 C.T.P. Club Ořech - Glaser Vladimír</v>
      </c>
      <c r="G12" s="439">
        <f ca="1">IF(ROW()-2&gt;Start.listina!$O$7,"",ROW()-2)</f>
        <v>10</v>
      </c>
      <c r="H12" s="272">
        <v>13</v>
      </c>
      <c r="I12" s="274">
        <v>6</v>
      </c>
      <c r="K12" s="275">
        <f t="shared" ca="1" si="0"/>
        <v>38</v>
      </c>
      <c r="L12" s="275">
        <f t="shared" ca="1" si="1"/>
        <v>10</v>
      </c>
      <c r="M12" s="275">
        <f t="shared" ca="1" si="2"/>
        <v>1</v>
      </c>
      <c r="N12" s="275">
        <f t="shared" ca="1" si="6"/>
        <v>7</v>
      </c>
      <c r="O12" s="275">
        <f t="shared" ca="1" si="3"/>
        <v>38</v>
      </c>
      <c r="P12" s="275">
        <f t="shared" ca="1" si="4"/>
        <v>0</v>
      </c>
      <c r="Q12" s="282">
        <f t="shared" ca="1" si="5"/>
        <v>-7</v>
      </c>
    </row>
    <row r="13" spans="3:35" ht="21" x14ac:dyDescent="0.4">
      <c r="C13" s="278">
        <f ca="1">IF(ROW()-2&gt;Start.listina!$N$7,"",INDIRECT(ADDRESS(ROW(),$D$2,1,1,"Centrum")))</f>
        <v>11</v>
      </c>
      <c r="D13" s="278">
        <f ca="1">IF(ROW()-2&gt;Start.listina!$O$7,"",INDIRECT(ADDRESS(ROW()+Start.listina!$N$7,$D$2,1,1,"Centrum")))</f>
        <v>39</v>
      </c>
      <c r="E13" s="276" t="str">
        <f ca="1">IF(TYPE(VLOOKUP(C13,Centrum!$A$3:$C$130,3,0))&gt;3," - ",VLOOKUP(C13,Centrum!$A$3:$C$130,3,0))</f>
        <v>11 Petank Club Praha - Klouda Aleš</v>
      </c>
      <c r="F13" s="276" t="str">
        <f ca="1">IF(TYPE(VLOOKUP(D13,Centrum!$A$3:$C$130,3,0))&gt;3," - ",VLOOKUP(D13,Centrum!$A$3:$C$130,3,0))</f>
        <v>39 PC Přítkov - Šnejdr Josef</v>
      </c>
      <c r="G13" s="439">
        <f ca="1">IF(ROW()-2&gt;Start.listina!$O$7,"",ROW()-2)</f>
        <v>11</v>
      </c>
      <c r="H13" s="272">
        <v>12</v>
      </c>
      <c r="I13" s="274">
        <v>13</v>
      </c>
      <c r="K13" s="275">
        <f t="shared" ca="1" si="0"/>
        <v>39</v>
      </c>
      <c r="L13" s="275">
        <f t="shared" ca="1" si="1"/>
        <v>11</v>
      </c>
      <c r="M13" s="275">
        <f t="shared" ca="1" si="2"/>
        <v>0</v>
      </c>
      <c r="N13" s="275">
        <f t="shared" ca="1" si="6"/>
        <v>-1</v>
      </c>
      <c r="O13" s="275">
        <f t="shared" ca="1" si="3"/>
        <v>39</v>
      </c>
      <c r="P13" s="275">
        <f t="shared" ca="1" si="4"/>
        <v>1</v>
      </c>
      <c r="Q13" s="282">
        <f t="shared" ca="1" si="5"/>
        <v>1</v>
      </c>
    </row>
    <row r="14" spans="3:35" ht="21" x14ac:dyDescent="0.4">
      <c r="C14" s="278">
        <f ca="1">IF(ROW()-2&gt;Start.listina!$N$7,"",INDIRECT(ADDRESS(ROW(),$D$2,1,1,"Centrum")))</f>
        <v>12</v>
      </c>
      <c r="D14" s="278">
        <f ca="1">IF(ROW()-2&gt;Start.listina!$O$7,"",INDIRECT(ADDRESS(ROW()+Start.listina!$N$7,$D$2,1,1,"Centrum")))</f>
        <v>40</v>
      </c>
      <c r="E14" s="276" t="str">
        <f ca="1">IF(TYPE(VLOOKUP(C14,Centrum!$A$3:$C$130,3,0))&gt;3," - ",VLOOKUP(C14,Centrum!$A$3:$C$130,3,0))</f>
        <v>12 PC Mimo Done - Heller Jan</v>
      </c>
      <c r="F14" s="276" t="str">
        <f ca="1">IF(TYPE(VLOOKUP(D14,Centrum!$A$3:$C$130,3,0))&gt;3," - ",VLOOKUP(D14,Centrum!$A$3:$C$130,3,0))</f>
        <v>40 SKP Kulová osma - Krhovská Dana</v>
      </c>
      <c r="G14" s="439">
        <f ca="1">IF(ROW()-2&gt;Start.listina!$O$7,"",ROW()-2)</f>
        <v>12</v>
      </c>
      <c r="H14" s="272">
        <v>13</v>
      </c>
      <c r="I14" s="274">
        <v>11</v>
      </c>
      <c r="K14" s="275">
        <f t="shared" ca="1" si="0"/>
        <v>40</v>
      </c>
      <c r="L14" s="275">
        <f t="shared" ca="1" si="1"/>
        <v>12</v>
      </c>
      <c r="M14" s="275">
        <f t="shared" ca="1" si="2"/>
        <v>1</v>
      </c>
      <c r="N14" s="275">
        <f t="shared" ca="1" si="6"/>
        <v>2</v>
      </c>
      <c r="O14" s="275">
        <f t="shared" ca="1" si="3"/>
        <v>40</v>
      </c>
      <c r="P14" s="275">
        <f t="shared" ca="1" si="4"/>
        <v>0</v>
      </c>
      <c r="Q14" s="282">
        <f t="shared" ca="1" si="5"/>
        <v>-2</v>
      </c>
    </row>
    <row r="15" spans="3:35" ht="21" x14ac:dyDescent="0.4">
      <c r="C15" s="278">
        <f ca="1">IF(ROW()-2&gt;Start.listina!$N$7,"",INDIRECT(ADDRESS(ROW(),$D$2,1,1,"Centrum")))</f>
        <v>13</v>
      </c>
      <c r="D15" s="278">
        <f ca="1">IF(ROW()-2&gt;Start.listina!$O$7,"",INDIRECT(ADDRESS(ROW()+Start.listina!$N$7,$D$2,1,1,"Centrum")))</f>
        <v>41</v>
      </c>
      <c r="E15" s="276" t="str">
        <f ca="1">IF(TYPE(VLOOKUP(C15,Centrum!$A$3:$C$130,3,0))&gt;3," - ",VLOOKUP(C15,Centrum!$A$3:$C$130,3,0))</f>
        <v>13 PC Sokol Lipník - Froňková Blanka</v>
      </c>
      <c r="F15" s="276" t="str">
        <f ca="1">IF(TYPE(VLOOKUP(D15,Centrum!$A$3:$C$130,3,0))&gt;3," - ",VLOOKUP(D15,Centrum!$A$3:$C$130,3,0))</f>
        <v>41 SKMZ Sport - Kovář Petr</v>
      </c>
      <c r="G15" s="439">
        <f ca="1">IF(ROW()-2&gt;Start.listina!$O$7,"",ROW()-2)</f>
        <v>13</v>
      </c>
      <c r="H15" s="272">
        <v>13</v>
      </c>
      <c r="I15" s="274">
        <v>4</v>
      </c>
      <c r="K15" s="275">
        <f t="shared" ca="1" si="0"/>
        <v>41</v>
      </c>
      <c r="L15" s="275">
        <f t="shared" ca="1" si="1"/>
        <v>13</v>
      </c>
      <c r="M15" s="275">
        <f t="shared" ca="1" si="2"/>
        <v>1</v>
      </c>
      <c r="N15" s="275">
        <f t="shared" ca="1" si="6"/>
        <v>9</v>
      </c>
      <c r="O15" s="275">
        <f t="shared" ca="1" si="3"/>
        <v>41</v>
      </c>
      <c r="P15" s="275">
        <f t="shared" ca="1" si="4"/>
        <v>0</v>
      </c>
      <c r="Q15" s="282">
        <f t="shared" ca="1" si="5"/>
        <v>-9</v>
      </c>
    </row>
    <row r="16" spans="3:35" ht="21" x14ac:dyDescent="0.4">
      <c r="C16" s="278">
        <f ca="1">IF(ROW()-2&gt;Start.listina!$N$7,"",INDIRECT(ADDRESS(ROW(),$D$2,1,1,"Centrum")))</f>
        <v>14</v>
      </c>
      <c r="D16" s="278">
        <f ca="1">IF(ROW()-2&gt;Start.listina!$O$7,"",INDIRECT(ADDRESS(ROW()+Start.listina!$N$7,$D$2,1,1,"Centrum")))</f>
        <v>42</v>
      </c>
      <c r="E16" s="276" t="str">
        <f ca="1">IF(TYPE(VLOOKUP(C16,Centrum!$A$3:$C$130,3,0))&gt;3," - ",VLOOKUP(C16,Centrum!$A$3:$C$130,3,0))</f>
        <v>14 PC Sokol Lipník - Morávek Petr</v>
      </c>
      <c r="F16" s="276" t="str">
        <f ca="1">IF(TYPE(VLOOKUP(D16,Centrum!$A$3:$C$130,3,0))&gt;3," - ",VLOOKUP(D16,Centrum!$A$3:$C$130,3,0))</f>
        <v>42 C.T.P. Club Ořech - Leiský Leander</v>
      </c>
      <c r="G16" s="439">
        <f ca="1">IF(ROW()-2&gt;Start.listina!$O$7,"",ROW()-2)</f>
        <v>14</v>
      </c>
      <c r="H16" s="272">
        <v>13</v>
      </c>
      <c r="I16" s="274">
        <v>2</v>
      </c>
      <c r="K16" s="275">
        <f t="shared" ca="1" si="0"/>
        <v>42</v>
      </c>
      <c r="L16" s="275">
        <f t="shared" ca="1" si="1"/>
        <v>14</v>
      </c>
      <c r="M16" s="275">
        <f t="shared" ca="1" si="2"/>
        <v>1</v>
      </c>
      <c r="N16" s="275">
        <f t="shared" ca="1" si="6"/>
        <v>11</v>
      </c>
      <c r="O16" s="275">
        <f t="shared" ca="1" si="3"/>
        <v>42</v>
      </c>
      <c r="P16" s="275">
        <f t="shared" ca="1" si="4"/>
        <v>0</v>
      </c>
      <c r="Q16" s="282">
        <f t="shared" ca="1" si="5"/>
        <v>-11</v>
      </c>
    </row>
    <row r="17" spans="3:17" ht="21" x14ac:dyDescent="0.4">
      <c r="C17" s="278">
        <f ca="1">IF(ROW()-2&gt;Start.listina!$N$7,"",INDIRECT(ADDRESS(ROW(),$D$2,1,1,"Centrum")))</f>
        <v>15</v>
      </c>
      <c r="D17" s="278">
        <f ca="1">IF(ROW()-2&gt;Start.listina!$O$7,"",INDIRECT(ADDRESS(ROW()+Start.listina!$N$7,$D$2,1,1,"Centrum")))</f>
        <v>43</v>
      </c>
      <c r="E17" s="276" t="str">
        <f ca="1">IF(TYPE(VLOOKUP(C17,Centrum!$A$3:$C$130,3,0))&gt;3," - ",VLOOKUP(C17,Centrum!$A$3:$C$130,3,0))</f>
        <v>15 Sokol Kostomlaty - Vlach Jaromír</v>
      </c>
      <c r="F17" s="276" t="str">
        <f ca="1">IF(TYPE(VLOOKUP(D17,Centrum!$A$3:$C$130,3,0))&gt;3," - ",VLOOKUP(D17,Centrum!$A$3:$C$130,3,0))</f>
        <v xml:space="preserve">43   - Mika, Dánsko  </v>
      </c>
      <c r="G17" s="439">
        <f ca="1">IF(ROW()-2&gt;Start.listina!$O$7,"",ROW()-2)</f>
        <v>15</v>
      </c>
      <c r="H17" s="272">
        <v>13</v>
      </c>
      <c r="I17" s="274">
        <v>3</v>
      </c>
      <c r="K17" s="275">
        <f t="shared" ca="1" si="0"/>
        <v>43</v>
      </c>
      <c r="L17" s="275">
        <f t="shared" ca="1" si="1"/>
        <v>15</v>
      </c>
      <c r="M17" s="275">
        <f t="shared" ca="1" si="2"/>
        <v>1</v>
      </c>
      <c r="N17" s="275">
        <f t="shared" ca="1" si="6"/>
        <v>10</v>
      </c>
      <c r="O17" s="275">
        <f t="shared" ca="1" si="3"/>
        <v>43</v>
      </c>
      <c r="P17" s="275">
        <f t="shared" ca="1" si="4"/>
        <v>0</v>
      </c>
      <c r="Q17" s="282">
        <f t="shared" ca="1" si="5"/>
        <v>-10</v>
      </c>
    </row>
    <row r="18" spans="3:17" ht="21" x14ac:dyDescent="0.4">
      <c r="C18" s="278">
        <f ca="1">IF(ROW()-2&gt;Start.listina!$N$7,"",INDIRECT(ADDRESS(ROW(),$D$2,1,1,"Centrum")))</f>
        <v>16</v>
      </c>
      <c r="D18" s="278">
        <f ca="1">IF(ROW()-2&gt;Start.listina!$O$7,"",INDIRECT(ADDRESS(ROW()+Start.listina!$N$7,$D$2,1,1,"Centrum")))</f>
        <v>44</v>
      </c>
      <c r="E18" s="276" t="str">
        <f ca="1">IF(TYPE(VLOOKUP(C18,Centrum!$A$3:$C$130,3,0))&gt;3," - ",VLOOKUP(C18,Centrum!$A$3:$C$130,3,0))</f>
        <v>16 PC Sokol Lipník - Vyoral Hynek</v>
      </c>
      <c r="F18" s="276" t="str">
        <f ca="1">IF(TYPE(VLOOKUP(D18,Centrum!$A$3:$C$130,3,0))&gt;3," - ",VLOOKUP(D18,Centrum!$A$3:$C$130,3,0))</f>
        <v xml:space="preserve">44   - michael dánsko  </v>
      </c>
      <c r="G18" s="439">
        <f ca="1">IF(ROW()-2&gt;Start.listina!$O$7,"",ROW()-2)</f>
        <v>16</v>
      </c>
      <c r="H18" s="272">
        <v>9</v>
      </c>
      <c r="I18" s="274">
        <v>13</v>
      </c>
      <c r="K18" s="275">
        <f t="shared" ca="1" si="0"/>
        <v>44</v>
      </c>
      <c r="L18" s="275">
        <f t="shared" ca="1" si="1"/>
        <v>16</v>
      </c>
      <c r="M18" s="275">
        <f t="shared" ca="1" si="2"/>
        <v>0</v>
      </c>
      <c r="N18" s="275">
        <f t="shared" ca="1" si="6"/>
        <v>-4</v>
      </c>
      <c r="O18" s="275">
        <f t="shared" ca="1" si="3"/>
        <v>44</v>
      </c>
      <c r="P18" s="275">
        <f t="shared" ca="1" si="4"/>
        <v>1</v>
      </c>
      <c r="Q18" s="282">
        <f t="shared" ca="1" si="5"/>
        <v>4</v>
      </c>
    </row>
    <row r="19" spans="3:17" ht="21" x14ac:dyDescent="0.4">
      <c r="C19" s="278">
        <f ca="1">IF(ROW()-2&gt;Start.listina!$N$7,"",INDIRECT(ADDRESS(ROW(),$D$2,1,1,"Centrum")))</f>
        <v>17</v>
      </c>
      <c r="D19" s="278">
        <f ca="1">IF(ROW()-2&gt;Start.listina!$O$7,"",INDIRECT(ADDRESS(ROW()+Start.listina!$N$7,$D$2,1,1,"Centrum")))</f>
        <v>45</v>
      </c>
      <c r="E19" s="276" t="str">
        <f ca="1">IF(TYPE(VLOOKUP(C19,Centrum!$A$3:$C$130,3,0))&gt;3," - ",VLOOKUP(C19,Centrum!$A$3:$C$130,3,0))</f>
        <v>17 PC Damníkov - Brandes Valter</v>
      </c>
      <c r="F19" s="276" t="str">
        <f ca="1">IF(TYPE(VLOOKUP(D19,Centrum!$A$3:$C$130,3,0))&gt;3," - ",VLOOKUP(D19,Centrum!$A$3:$C$130,3,0))</f>
        <v xml:space="preserve">45   - kim, Dánsko  </v>
      </c>
      <c r="G19" s="439">
        <f ca="1">IF(ROW()-2&gt;Start.listina!$O$7,"",ROW()-2)</f>
        <v>17</v>
      </c>
      <c r="H19" s="272">
        <v>13</v>
      </c>
      <c r="I19" s="274">
        <v>10</v>
      </c>
      <c r="K19" s="275">
        <f t="shared" ca="1" si="0"/>
        <v>45</v>
      </c>
      <c r="L19" s="275">
        <f t="shared" ca="1" si="1"/>
        <v>17</v>
      </c>
      <c r="M19" s="275">
        <f t="shared" ca="1" si="2"/>
        <v>1</v>
      </c>
      <c r="N19" s="275">
        <f t="shared" ca="1" si="6"/>
        <v>3</v>
      </c>
      <c r="O19" s="275">
        <f t="shared" ca="1" si="3"/>
        <v>45</v>
      </c>
      <c r="P19" s="275">
        <f t="shared" ca="1" si="4"/>
        <v>0</v>
      </c>
      <c r="Q19" s="282">
        <f t="shared" ca="1" si="5"/>
        <v>-3</v>
      </c>
    </row>
    <row r="20" spans="3:17" ht="21" x14ac:dyDescent="0.4">
      <c r="C20" s="278">
        <f ca="1">IF(ROW()-2&gt;Start.listina!$N$7,"",INDIRECT(ADDRESS(ROW(),$D$2,1,1,"Centrum")))</f>
        <v>18</v>
      </c>
      <c r="D20" s="278">
        <f ca="1">IF(ROW()-2&gt;Start.listina!$O$7,"",INDIRECT(ADDRESS(ROW()+Start.listina!$N$7,$D$2,1,1,"Centrum")))</f>
        <v>46</v>
      </c>
      <c r="E20" s="276" t="str">
        <f ca="1">IF(TYPE(VLOOKUP(C20,Centrum!$A$3:$C$130,3,0))&gt;3," - ",VLOOKUP(C20,Centrum!$A$3:$C$130,3,0))</f>
        <v>18 Petank Club Praha - Kašparová Barbora</v>
      </c>
      <c r="F20" s="276" t="str">
        <f ca="1">IF(TYPE(VLOOKUP(D20,Centrum!$A$3:$C$130,3,0))&gt;3," - ",VLOOKUP(D20,Centrum!$A$3:$C$130,3,0))</f>
        <v xml:space="preserve">46   - Vladimír Chládek  </v>
      </c>
      <c r="G20" s="439">
        <f ca="1">IF(ROW()-2&gt;Start.listina!$O$7,"",ROW()-2)</f>
        <v>18</v>
      </c>
      <c r="H20" s="272">
        <v>13</v>
      </c>
      <c r="I20" s="274">
        <v>7</v>
      </c>
      <c r="K20" s="275">
        <f t="shared" ca="1" si="0"/>
        <v>46</v>
      </c>
      <c r="L20" s="275">
        <f t="shared" ca="1" si="1"/>
        <v>18</v>
      </c>
      <c r="M20" s="275">
        <f t="shared" ca="1" si="2"/>
        <v>1</v>
      </c>
      <c r="N20" s="275">
        <f t="shared" ca="1" si="6"/>
        <v>6</v>
      </c>
      <c r="O20" s="275">
        <f t="shared" ca="1" si="3"/>
        <v>46</v>
      </c>
      <c r="P20" s="275">
        <f t="shared" ca="1" si="4"/>
        <v>0</v>
      </c>
      <c r="Q20" s="282">
        <f t="shared" ca="1" si="5"/>
        <v>-6</v>
      </c>
    </row>
    <row r="21" spans="3:17" ht="21" x14ac:dyDescent="0.4">
      <c r="C21" s="278">
        <f ca="1">IF(ROW()-2&gt;Start.listina!$N$7,"",INDIRECT(ADDRESS(ROW(),$D$2,1,1,"Centrum")))</f>
        <v>19</v>
      </c>
      <c r="D21" s="278">
        <f ca="1">IF(ROW()-2&gt;Start.listina!$O$7,"",INDIRECT(ADDRESS(ROW()+Start.listina!$N$7,$D$2,1,1,"Centrum")))</f>
        <v>47</v>
      </c>
      <c r="E21" s="276" t="str">
        <f ca="1">IF(TYPE(VLOOKUP(C21,Centrum!$A$3:$C$130,3,0))&gt;3," - ",VLOOKUP(C21,Centrum!$A$3:$C$130,3,0))</f>
        <v>19 UBU Únětice - Křížek Evžen</v>
      </c>
      <c r="F21" s="276" t="str">
        <f ca="1">IF(TYPE(VLOOKUP(D21,Centrum!$A$3:$C$130,3,0))&gt;3," - ",VLOOKUP(D21,Centrum!$A$3:$C$130,3,0))</f>
        <v xml:space="preserve">47   - Brian, Dánsko  </v>
      </c>
      <c r="G21" s="439">
        <f ca="1">IF(ROW()-2&gt;Start.listina!$O$7,"",ROW()-2)</f>
        <v>19</v>
      </c>
      <c r="H21" s="272">
        <v>8</v>
      </c>
      <c r="I21" s="274">
        <v>12</v>
      </c>
      <c r="K21" s="275">
        <f t="shared" ca="1" si="0"/>
        <v>47</v>
      </c>
      <c r="L21" s="275">
        <f t="shared" ca="1" si="1"/>
        <v>19</v>
      </c>
      <c r="M21" s="275">
        <f t="shared" ca="1" si="2"/>
        <v>0</v>
      </c>
      <c r="N21" s="275">
        <f t="shared" ca="1" si="6"/>
        <v>-4</v>
      </c>
      <c r="O21" s="275">
        <f t="shared" ca="1" si="3"/>
        <v>47</v>
      </c>
      <c r="P21" s="275">
        <f t="shared" ca="1" si="4"/>
        <v>1</v>
      </c>
      <c r="Q21" s="282">
        <f t="shared" ca="1" si="5"/>
        <v>4</v>
      </c>
    </row>
    <row r="22" spans="3:17" ht="21" x14ac:dyDescent="0.4">
      <c r="C22" s="278">
        <f ca="1">IF(ROW()-2&gt;Start.listina!$N$7,"",INDIRECT(ADDRESS(ROW(),$D$2,1,1,"Centrum")))</f>
        <v>20</v>
      </c>
      <c r="D22" s="278">
        <f ca="1">IF(ROW()-2&gt;Start.listina!$O$7,"",INDIRECT(ADDRESS(ROW()+Start.listina!$N$7,$D$2,1,1,"Centrum")))</f>
        <v>48</v>
      </c>
      <c r="E22" s="276" t="str">
        <f ca="1">IF(TYPE(VLOOKUP(C22,Centrum!$A$3:$C$130,3,0))&gt;3," - ",VLOOKUP(C22,Centrum!$A$3:$C$130,3,0))</f>
        <v>20 HRODE KRUMSÍN - Marcián Vladimír</v>
      </c>
      <c r="F22" s="276" t="str">
        <f ca="1">IF(TYPE(VLOOKUP(D22,Centrum!$A$3:$C$130,3,0))&gt;3," - ",VLOOKUP(D22,Centrum!$A$3:$C$130,3,0))</f>
        <v xml:space="preserve">48   - Tony, Dánsko  </v>
      </c>
      <c r="G22" s="439">
        <f ca="1">IF(ROW()-2&gt;Start.listina!$O$7,"",ROW()-2)</f>
        <v>20</v>
      </c>
      <c r="H22" s="272">
        <v>13</v>
      </c>
      <c r="I22" s="274">
        <v>5</v>
      </c>
      <c r="K22" s="275">
        <f t="shared" ca="1" si="0"/>
        <v>48</v>
      </c>
      <c r="L22" s="275">
        <f t="shared" ca="1" si="1"/>
        <v>20</v>
      </c>
      <c r="M22" s="275">
        <f t="shared" ca="1" si="2"/>
        <v>1</v>
      </c>
      <c r="N22" s="275">
        <f t="shared" ca="1" si="6"/>
        <v>8</v>
      </c>
      <c r="O22" s="275">
        <f t="shared" ca="1" si="3"/>
        <v>48</v>
      </c>
      <c r="P22" s="275">
        <f t="shared" ca="1" si="4"/>
        <v>0</v>
      </c>
      <c r="Q22" s="282">
        <f t="shared" ca="1" si="5"/>
        <v>-8</v>
      </c>
    </row>
    <row r="23" spans="3:17" ht="21" x14ac:dyDescent="0.4">
      <c r="C23" s="278">
        <f ca="1">IF(ROW()-2&gt;Start.listina!$N$7,"",INDIRECT(ADDRESS(ROW(),$D$2,1,1,"Centrum")))</f>
        <v>21</v>
      </c>
      <c r="D23" s="278">
        <f ca="1">IF(ROW()-2&gt;Start.listina!$O$7,"",INDIRECT(ADDRESS(ROW()+Start.listina!$N$7,$D$2,1,1,"Centrum")))</f>
        <v>49</v>
      </c>
      <c r="E23" s="276" t="str">
        <f ca="1">IF(TYPE(VLOOKUP(C23,Centrum!$A$3:$C$130,3,0))&gt;3," - ",VLOOKUP(C23,Centrum!$A$3:$C$130,3,0))</f>
        <v>21 SK Pétanque Řepy - Pastorek Jaroslav</v>
      </c>
      <c r="F23" s="276" t="str">
        <f ca="1">IF(TYPE(VLOOKUP(D23,Centrum!$A$3:$C$130,3,0))&gt;3," - ",VLOOKUP(D23,Centrum!$A$3:$C$130,3,0))</f>
        <v xml:space="preserve">49   - František Kožený  </v>
      </c>
      <c r="G23" s="439">
        <f ca="1">IF(ROW()-2&gt;Start.listina!$O$7,"",ROW()-2)</f>
        <v>21</v>
      </c>
      <c r="H23" s="272">
        <v>13</v>
      </c>
      <c r="I23" s="274">
        <v>2</v>
      </c>
      <c r="K23" s="275">
        <f t="shared" ca="1" si="0"/>
        <v>49</v>
      </c>
      <c r="L23" s="275">
        <f t="shared" ca="1" si="1"/>
        <v>21</v>
      </c>
      <c r="M23" s="275">
        <f t="shared" ca="1" si="2"/>
        <v>1</v>
      </c>
      <c r="N23" s="275">
        <f t="shared" ca="1" si="6"/>
        <v>11</v>
      </c>
      <c r="O23" s="275">
        <f t="shared" ca="1" si="3"/>
        <v>49</v>
      </c>
      <c r="P23" s="275">
        <f t="shared" ca="1" si="4"/>
        <v>0</v>
      </c>
      <c r="Q23" s="282">
        <f t="shared" ca="1" si="5"/>
        <v>-11</v>
      </c>
    </row>
    <row r="24" spans="3:17" ht="21" x14ac:dyDescent="0.4">
      <c r="C24" s="278">
        <f ca="1">IF(ROW()-2&gt;Start.listina!$N$7,"",INDIRECT(ADDRESS(ROW(),$D$2,1,1,"Centrum")))</f>
        <v>22</v>
      </c>
      <c r="D24" s="278">
        <f ca="1">IF(ROW()-2&gt;Start.listina!$O$7,"",INDIRECT(ADDRESS(ROW()+Start.listina!$N$7,$D$2,1,1,"Centrum")))</f>
        <v>50</v>
      </c>
      <c r="E24" s="276" t="str">
        <f ca="1">IF(TYPE(VLOOKUP(C24,Centrum!$A$3:$C$130,3,0))&gt;3," - ",VLOOKUP(C24,Centrum!$A$3:$C$130,3,0))</f>
        <v>22 SKP Kulová osma - Pilát Petr</v>
      </c>
      <c r="F24" s="276" t="str">
        <f ca="1">IF(TYPE(VLOOKUP(D24,Centrum!$A$3:$C$130,3,0))&gt;3," - ",VLOOKUP(D24,Centrum!$A$3:$C$130,3,0))</f>
        <v xml:space="preserve">50   - Jesper K, Dánsko  </v>
      </c>
      <c r="G24" s="439">
        <f ca="1">IF(ROW()-2&gt;Start.listina!$O$7,"",ROW()-2)</f>
        <v>22</v>
      </c>
      <c r="H24" s="272">
        <v>13</v>
      </c>
      <c r="I24" s="274">
        <v>1</v>
      </c>
      <c r="K24" s="275">
        <f t="shared" ca="1" si="0"/>
        <v>50</v>
      </c>
      <c r="L24" s="275">
        <f t="shared" ca="1" si="1"/>
        <v>22</v>
      </c>
      <c r="M24" s="275">
        <f t="shared" ca="1" si="2"/>
        <v>1</v>
      </c>
      <c r="N24" s="275">
        <f t="shared" ca="1" si="6"/>
        <v>12</v>
      </c>
      <c r="O24" s="275">
        <f t="shared" ca="1" si="3"/>
        <v>50</v>
      </c>
      <c r="P24" s="275">
        <f t="shared" ca="1" si="4"/>
        <v>0</v>
      </c>
      <c r="Q24" s="282">
        <f t="shared" ca="1" si="5"/>
        <v>-12</v>
      </c>
    </row>
    <row r="25" spans="3:17" ht="21" x14ac:dyDescent="0.4">
      <c r="C25" s="278">
        <f ca="1">IF(ROW()-2&gt;Start.listina!$N$7,"",INDIRECT(ADDRESS(ROW(),$D$2,1,1,"Centrum")))</f>
        <v>23</v>
      </c>
      <c r="D25" s="278">
        <f ca="1">IF(ROW()-2&gt;Start.listina!$O$7,"",INDIRECT(ADDRESS(ROW()+Start.listina!$N$7,$D$2,1,1,"Centrum")))</f>
        <v>51</v>
      </c>
      <c r="E25" s="276" t="str">
        <f ca="1">IF(TYPE(VLOOKUP(C25,Centrum!$A$3:$C$130,3,0))&gt;3," - ",VLOOKUP(C25,Centrum!$A$3:$C$130,3,0))</f>
        <v>23 PC Kolová - Horáček Jindřich</v>
      </c>
      <c r="F25" s="276" t="str">
        <f ca="1">IF(TYPE(VLOOKUP(D25,Centrum!$A$3:$C$130,3,0))&gt;3," - ",VLOOKUP(D25,Centrum!$A$3:$C$130,3,0))</f>
        <v xml:space="preserve">51   - Erik, Dánsko  </v>
      </c>
      <c r="G25" s="439">
        <f ca="1">IF(ROW()-2&gt;Start.listina!$O$7,"",ROW()-2)</f>
        <v>23</v>
      </c>
      <c r="H25" s="272">
        <v>13</v>
      </c>
      <c r="I25" s="274">
        <v>9</v>
      </c>
      <c r="K25" s="275">
        <f t="shared" ca="1" si="0"/>
        <v>51</v>
      </c>
      <c r="L25" s="275">
        <f t="shared" ca="1" si="1"/>
        <v>23</v>
      </c>
      <c r="M25" s="275">
        <f t="shared" ca="1" si="2"/>
        <v>1</v>
      </c>
      <c r="N25" s="275">
        <f t="shared" ca="1" si="6"/>
        <v>4</v>
      </c>
      <c r="O25" s="275">
        <f t="shared" ca="1" si="3"/>
        <v>51</v>
      </c>
      <c r="P25" s="275">
        <f t="shared" ca="1" si="4"/>
        <v>0</v>
      </c>
      <c r="Q25" s="282">
        <f t="shared" ca="1" si="5"/>
        <v>-4</v>
      </c>
    </row>
    <row r="26" spans="3:17" ht="21" x14ac:dyDescent="0.4">
      <c r="C26" s="278">
        <f ca="1">IF(ROW()-2&gt;Start.listina!$N$7,"",INDIRECT(ADDRESS(ROW(),$D$2,1,1,"Centrum")))</f>
        <v>24</v>
      </c>
      <c r="D26" s="278">
        <f ca="1">IF(ROW()-2&gt;Start.listina!$O$7,"",INDIRECT(ADDRESS(ROW()+Start.listina!$N$7,$D$2,1,1,"Centrum")))</f>
        <v>52</v>
      </c>
      <c r="E26" s="276" t="str">
        <f ca="1">IF(TYPE(VLOOKUP(C26,Centrum!$A$3:$C$130,3,0))&gt;3," - ",VLOOKUP(C26,Centrum!$A$3:$C$130,3,0))</f>
        <v>24 SK Pétanque Řepy - Váňová Věra</v>
      </c>
      <c r="F26" s="276" t="str">
        <f ca="1">IF(TYPE(VLOOKUP(D26,Centrum!$A$3:$C$130,3,0))&gt;3," - ",VLOOKUP(D26,Centrum!$A$3:$C$130,3,0))</f>
        <v xml:space="preserve">52   - Jesper R, Dánsko  </v>
      </c>
      <c r="G26" s="439">
        <f ca="1">IF(ROW()-2&gt;Start.listina!$O$7,"",ROW()-2)</f>
        <v>24</v>
      </c>
      <c r="H26" s="272">
        <v>10</v>
      </c>
      <c r="I26" s="274">
        <v>13</v>
      </c>
      <c r="K26" s="275">
        <f t="shared" ca="1" si="0"/>
        <v>52</v>
      </c>
      <c r="L26" s="275">
        <f t="shared" ca="1" si="1"/>
        <v>24</v>
      </c>
      <c r="M26" s="275">
        <f t="shared" ca="1" si="2"/>
        <v>0</v>
      </c>
      <c r="N26" s="275">
        <f t="shared" ca="1" si="6"/>
        <v>-3</v>
      </c>
      <c r="O26" s="275">
        <f t="shared" ca="1" si="3"/>
        <v>52</v>
      </c>
      <c r="P26" s="275">
        <f t="shared" ca="1" si="4"/>
        <v>1</v>
      </c>
      <c r="Q26" s="282">
        <f t="shared" ca="1" si="5"/>
        <v>3</v>
      </c>
    </row>
    <row r="27" spans="3:17" ht="21" x14ac:dyDescent="0.4">
      <c r="C27" s="278">
        <f ca="1">IF(ROW()-2&gt;Start.listina!$N$7,"",INDIRECT(ADDRESS(ROW(),$D$2,1,1,"Centrum")))</f>
        <v>25</v>
      </c>
      <c r="D27" s="278">
        <f ca="1">IF(ROW()-2&gt;Start.listina!$O$7,"",INDIRECT(ADDRESS(ROW()+Start.listina!$N$7,$D$2,1,1,"Centrum")))</f>
        <v>53</v>
      </c>
      <c r="E27" s="276" t="str">
        <f ca="1">IF(TYPE(VLOOKUP(C27,Centrum!$A$3:$C$130,3,0))&gt;3," - ",VLOOKUP(C27,Centrum!$A$3:$C$130,3,0))</f>
        <v>25 SK Pétanque Řepy - Vodehnalová Jindra</v>
      </c>
      <c r="F27" s="276" t="str">
        <f ca="1">IF(TYPE(VLOOKUP(D27,Centrum!$A$3:$C$130,3,0))&gt;3," - ",VLOOKUP(D27,Centrum!$A$3:$C$130,3,0))</f>
        <v xml:space="preserve">53   - Lars Eriksen, Dánsko  </v>
      </c>
      <c r="G27" s="439">
        <f ca="1">IF(ROW()-2&gt;Start.listina!$O$7,"",ROW()-2)</f>
        <v>25</v>
      </c>
      <c r="H27" s="272">
        <v>6</v>
      </c>
      <c r="I27" s="274">
        <v>13</v>
      </c>
      <c r="K27" s="275">
        <f t="shared" ca="1" si="0"/>
        <v>53</v>
      </c>
      <c r="L27" s="275">
        <f t="shared" ca="1" si="1"/>
        <v>25</v>
      </c>
      <c r="M27" s="275">
        <f t="shared" ca="1" si="2"/>
        <v>0</v>
      </c>
      <c r="N27" s="275">
        <f t="shared" ca="1" si="6"/>
        <v>-7</v>
      </c>
      <c r="O27" s="275">
        <f t="shared" ca="1" si="3"/>
        <v>53</v>
      </c>
      <c r="P27" s="275">
        <f t="shared" ca="1" si="4"/>
        <v>1</v>
      </c>
      <c r="Q27" s="282">
        <f t="shared" ca="1" si="5"/>
        <v>7</v>
      </c>
    </row>
    <row r="28" spans="3:17" ht="21" x14ac:dyDescent="0.4">
      <c r="C28" s="278">
        <f ca="1">IF(ROW()-2&gt;Start.listina!$N$7,"",INDIRECT(ADDRESS(ROW(),$D$2,1,1,"Centrum")))</f>
        <v>26</v>
      </c>
      <c r="D28" s="278">
        <f ca="1">IF(ROW()-2&gt;Start.listina!$O$7,"",INDIRECT(ADDRESS(ROW()+Start.listina!$N$7,$D$2,1,1,"Centrum")))</f>
        <v>54</v>
      </c>
      <c r="E28" s="276" t="str">
        <f ca="1">IF(TYPE(VLOOKUP(C28,Centrum!$A$3:$C$130,3,0))&gt;3," - ",VLOOKUP(C28,Centrum!$A$3:$C$130,3,0))</f>
        <v>26 Petank Club Praha - Klír Tomáš</v>
      </c>
      <c r="F28" s="276" t="str">
        <f ca="1">IF(TYPE(VLOOKUP(D28,Centrum!$A$3:$C$130,3,0))&gt;3," - ",VLOOKUP(D28,Centrum!$A$3:$C$130,3,0))</f>
        <v xml:space="preserve">54   - Schwede Detlef, Chemnitz, Německo  </v>
      </c>
      <c r="G28" s="439">
        <f ca="1">IF(ROW()-2&gt;Start.listina!$O$7,"",ROW()-2)</f>
        <v>26</v>
      </c>
      <c r="H28" s="272">
        <v>12</v>
      </c>
      <c r="I28" s="274">
        <v>13</v>
      </c>
      <c r="K28" s="275">
        <f t="shared" ca="1" si="0"/>
        <v>54</v>
      </c>
      <c r="L28" s="275">
        <f t="shared" ca="1" si="1"/>
        <v>26</v>
      </c>
      <c r="M28" s="275">
        <f t="shared" ca="1" si="2"/>
        <v>0</v>
      </c>
      <c r="N28" s="275">
        <f t="shared" ca="1" si="6"/>
        <v>-1</v>
      </c>
      <c r="O28" s="275">
        <f t="shared" ca="1" si="3"/>
        <v>54</v>
      </c>
      <c r="P28" s="275">
        <f t="shared" ca="1" si="4"/>
        <v>1</v>
      </c>
      <c r="Q28" s="282">
        <f t="shared" ca="1" si="5"/>
        <v>1</v>
      </c>
    </row>
    <row r="29" spans="3:17" ht="21" x14ac:dyDescent="0.4">
      <c r="C29" s="278">
        <f ca="1">IF(ROW()-2&gt;Start.listina!$N$7,"",INDIRECT(ADDRESS(ROW(),$D$2,1,1,"Centrum")))</f>
        <v>27</v>
      </c>
      <c r="D29" s="278">
        <f ca="1">IF(ROW()-2&gt;Start.listina!$O$7,"",INDIRECT(ADDRESS(ROW()+Start.listina!$N$7,$D$2,1,1,"Centrum")))</f>
        <v>55</v>
      </c>
      <c r="E29" s="276" t="str">
        <f ca="1">IF(TYPE(VLOOKUP(C29,Centrum!$A$3:$C$130,3,0))&gt;3," - ",VLOOKUP(C29,Centrum!$A$3:$C$130,3,0))</f>
        <v>27 SK Pétanque Řepy - Hladík Jaroslav</v>
      </c>
      <c r="F29" s="276" t="str">
        <f ca="1">IF(TYPE(VLOOKUP(D29,Centrum!$A$3:$C$130,3,0))&gt;3," - ",VLOOKUP(D29,Centrum!$A$3:$C$130,3,0))</f>
        <v xml:space="preserve">55   - Bjarne, Dánsko  </v>
      </c>
      <c r="G29" s="439">
        <f ca="1">IF(ROW()-2&gt;Start.listina!$O$7,"",ROW()-2)</f>
        <v>27</v>
      </c>
      <c r="H29" s="272">
        <v>13</v>
      </c>
      <c r="I29" s="274">
        <v>10</v>
      </c>
      <c r="K29" s="275">
        <f t="shared" ca="1" si="0"/>
        <v>55</v>
      </c>
      <c r="L29" s="275">
        <f t="shared" ca="1" si="1"/>
        <v>27</v>
      </c>
      <c r="M29" s="275">
        <f t="shared" ca="1" si="2"/>
        <v>1</v>
      </c>
      <c r="N29" s="275">
        <f t="shared" ca="1" si="6"/>
        <v>3</v>
      </c>
      <c r="O29" s="275">
        <f t="shared" ca="1" si="3"/>
        <v>55</v>
      </c>
      <c r="P29" s="275">
        <f t="shared" ca="1" si="4"/>
        <v>0</v>
      </c>
      <c r="Q29" s="282">
        <f t="shared" ca="1" si="5"/>
        <v>-3</v>
      </c>
    </row>
    <row r="30" spans="3:17" ht="21" x14ac:dyDescent="0.4">
      <c r="C30" s="278">
        <f ca="1">IF(ROW()-2&gt;Start.listina!$N$7,"",INDIRECT(ADDRESS(ROW(),$D$2,1,1,"Centrum")))</f>
        <v>28</v>
      </c>
      <c r="D30" s="278">
        <f ca="1">IF(ROW()-2&gt;Start.listina!$O$7,"",INDIRECT(ADDRESS(ROW()+Start.listina!$N$7,$D$2,1,1,"Centrum")))</f>
        <v>56</v>
      </c>
      <c r="E30" s="276" t="str">
        <f ca="1">IF(TYPE(VLOOKUP(C30,Centrum!$A$3:$C$130,3,0))&gt;3," - ",VLOOKUP(C30,Centrum!$A$3:$C$130,3,0))</f>
        <v>28 PC Sokol PP Hr. Králové - Hochmann Lukáš</v>
      </c>
      <c r="F30" s="276" t="str">
        <f ca="1">IF(TYPE(VLOOKUP(D30,Centrum!$A$3:$C$130,3,0))&gt;3," - ",VLOOKUP(D30,Centrum!$A$3:$C$130,3,0))</f>
        <v xml:space="preserve">56   - Lohss, Hartmut, Německo  </v>
      </c>
      <c r="G30" s="439">
        <f ca="1">IF(ROW()-2&gt;Start.listina!$O$7,"",ROW()-2)</f>
        <v>28</v>
      </c>
      <c r="H30" s="272">
        <v>13</v>
      </c>
      <c r="I30" s="274">
        <v>8</v>
      </c>
      <c r="K30" s="275">
        <f t="shared" ca="1" si="0"/>
        <v>56</v>
      </c>
      <c r="L30" s="275">
        <f t="shared" ca="1" si="1"/>
        <v>28</v>
      </c>
      <c r="M30" s="275">
        <f t="shared" ca="1" si="2"/>
        <v>1</v>
      </c>
      <c r="N30" s="275">
        <f t="shared" ca="1" si="6"/>
        <v>5</v>
      </c>
      <c r="O30" s="275">
        <f t="shared" ca="1" si="3"/>
        <v>56</v>
      </c>
      <c r="P30" s="275">
        <f t="shared" ca="1" si="4"/>
        <v>0</v>
      </c>
      <c r="Q30" s="282">
        <f t="shared" ca="1" si="5"/>
        <v>-5</v>
      </c>
    </row>
    <row r="31" spans="3:17" ht="21" x14ac:dyDescent="0.4">
      <c r="C31" s="278" t="str">
        <f ca="1">IF(ROW()-2&gt;Start.listina!$N$7,"",INDIRECT(ADDRESS(ROW(),$D$2,1,1,"Centrum")))</f>
        <v/>
      </c>
      <c r="D31" s="278">
        <f ca="1">IF(ROW()-2&gt;Start.listina!$O$7,"",INDIRECT(ADDRESS(ROW()+Start.listina!$N$7,$D$2,1,1,"Centrum")))</f>
        <v>57</v>
      </c>
      <c r="E31" s="276" t="str">
        <f ca="1">IF(TYPE(VLOOKUP(C31,Centrum!$A$3:$C$130,3,0))&gt;3," - ",VLOOKUP(C31,Centrum!$A$3:$C$130,3,0))</f>
        <v xml:space="preserve"> - </v>
      </c>
      <c r="F31" s="276" t="str">
        <f ca="1">IF(TYPE(VLOOKUP(D31,Centrum!$A$3:$C$130,3,0))&gt;3," - ",VLOOKUP(D31,Centrum!$A$3:$C$130,3,0))</f>
        <v xml:space="preserve">57   - Bo, Dánsko  </v>
      </c>
      <c r="G31" s="439">
        <f ca="1">IF(ROW()-2&gt;Start.listina!$O$7,"",ROW()-2)</f>
        <v>29</v>
      </c>
      <c r="H31" s="272">
        <v>7</v>
      </c>
      <c r="I31" s="274">
        <v>13</v>
      </c>
      <c r="K31" s="275">
        <f t="shared" ca="1" si="0"/>
        <v>57</v>
      </c>
      <c r="L31" s="275" t="str">
        <f t="shared" ca="1" si="1"/>
        <v/>
      </c>
      <c r="M31" s="275">
        <f t="shared" ca="1" si="2"/>
        <v>0</v>
      </c>
      <c r="N31" s="275">
        <f t="shared" ca="1" si="6"/>
        <v>0</v>
      </c>
      <c r="O31" s="275">
        <f t="shared" ca="1" si="3"/>
        <v>57</v>
      </c>
      <c r="P31" s="275">
        <f t="shared" ca="1" si="4"/>
        <v>1</v>
      </c>
      <c r="Q31" s="282">
        <f t="shared" ca="1" si="5"/>
        <v>6</v>
      </c>
    </row>
    <row r="32" spans="3:17" ht="21" x14ac:dyDescent="0.4">
      <c r="C32" s="278" t="str">
        <f ca="1">IF(ROW()-2&gt;Start.listina!$N$7,"",INDIRECT(ADDRESS(ROW(),$D$2,1,1,"Centrum")))</f>
        <v/>
      </c>
      <c r="D32" s="278" t="str">
        <f ca="1">IF(ROW()-2&gt;Start.listina!$O$7,"",INDIRECT(ADDRESS(ROW()+Start.listina!$N$7,$D$2,1,1,"Centrum")))</f>
        <v/>
      </c>
      <c r="E32" s="276" t="str">
        <f ca="1">IF(TYPE(VLOOKUP(C32,Centrum!$A$3:$C$130,3,0))&gt;3," - ",VLOOKUP(C32,Centrum!$A$3:$C$130,3,0))</f>
        <v xml:space="preserve"> - </v>
      </c>
      <c r="F32" s="276" t="str">
        <f ca="1">IF(TYPE(VLOOKUP(D32,Centrum!$A$3:$C$130,3,0))&gt;3," - ",VLOOKUP(D32,Centrum!$A$3:$C$130,3,0))</f>
        <v xml:space="preserve"> - </v>
      </c>
      <c r="G32" s="439" t="str">
        <f ca="1">IF(ROW()-2&gt;Start.listina!$O$7,"",ROW()-2)</f>
        <v/>
      </c>
      <c r="H32" s="272"/>
      <c r="I32" s="274"/>
      <c r="K32" s="275" t="str">
        <f t="shared" ca="1" si="0"/>
        <v/>
      </c>
      <c r="L32" s="275" t="str">
        <f t="shared" ca="1" si="1"/>
        <v/>
      </c>
      <c r="M32" s="275">
        <f t="shared" ca="1" si="2"/>
        <v>0</v>
      </c>
      <c r="N32" s="275">
        <f t="shared" ca="1" si="6"/>
        <v>0</v>
      </c>
      <c r="O32" s="275" t="str">
        <f t="shared" ca="1" si="3"/>
        <v/>
      </c>
      <c r="P32" s="275">
        <f t="shared" ca="1" si="4"/>
        <v>0</v>
      </c>
      <c r="Q32" s="282">
        <f t="shared" ca="1" si="5"/>
        <v>0</v>
      </c>
    </row>
    <row r="33" spans="3:17" ht="21" x14ac:dyDescent="0.4">
      <c r="C33" s="278" t="str">
        <f ca="1">IF(ROW()-2&gt;Start.listina!$N$7,"",INDIRECT(ADDRESS(ROW(),$D$2,1,1,"Centrum")))</f>
        <v/>
      </c>
      <c r="D33" s="278" t="str">
        <f ca="1">IF(ROW()-2&gt;Start.listina!$O$7,"",INDIRECT(ADDRESS(ROW()+Start.listina!$N$7,$D$2,1,1,"Centrum")))</f>
        <v/>
      </c>
      <c r="E33" s="276" t="str">
        <f ca="1">IF(TYPE(VLOOKUP(C33,Centrum!$A$3:$C$130,3,0))&gt;3," - ",VLOOKUP(C33,Centrum!$A$3:$C$130,3,0))</f>
        <v xml:space="preserve"> - </v>
      </c>
      <c r="F33" s="276" t="str">
        <f ca="1">IF(TYPE(VLOOKUP(D33,Centrum!$A$3:$C$130,3,0))&gt;3," - ",VLOOKUP(D33,Centrum!$A$3:$C$130,3,0))</f>
        <v xml:space="preserve"> - </v>
      </c>
      <c r="G33" s="439" t="str">
        <f ca="1">IF(ROW()-2&gt;Start.listina!$O$7,"",ROW()-2)</f>
        <v/>
      </c>
      <c r="H33" s="272"/>
      <c r="I33" s="274"/>
      <c r="K33" s="275" t="str">
        <f t="shared" ca="1" si="0"/>
        <v/>
      </c>
      <c r="L33" s="275" t="str">
        <f t="shared" ca="1" si="1"/>
        <v/>
      </c>
      <c r="M33" s="275">
        <f t="shared" ca="1" si="2"/>
        <v>0</v>
      </c>
      <c r="N33" s="275">
        <f t="shared" ca="1" si="6"/>
        <v>0</v>
      </c>
      <c r="O33" s="275" t="str">
        <f t="shared" ca="1" si="3"/>
        <v/>
      </c>
      <c r="P33" s="275">
        <f t="shared" ca="1" si="4"/>
        <v>0</v>
      </c>
      <c r="Q33" s="282">
        <f t="shared" ca="1" si="5"/>
        <v>0</v>
      </c>
    </row>
    <row r="34" spans="3:17" ht="21" x14ac:dyDescent="0.4">
      <c r="C34" s="278" t="str">
        <f ca="1">IF(ROW()-2&gt;Start.listina!$N$7,"",INDIRECT(ADDRESS(ROW(),$D$2,1,1,"Centrum")))</f>
        <v/>
      </c>
      <c r="D34" s="278" t="str">
        <f ca="1">IF(ROW()-2&gt;Start.listina!$O$7,"",INDIRECT(ADDRESS(ROW()+Start.listina!$N$7,$D$2,1,1,"Centrum")))</f>
        <v/>
      </c>
      <c r="E34" s="276" t="str">
        <f ca="1">IF(TYPE(VLOOKUP(C34,Centrum!$A$3:$C$130,3,0))&gt;3," - ",VLOOKUP(C34,Centrum!$A$3:$C$130,3,0))</f>
        <v xml:space="preserve"> - </v>
      </c>
      <c r="F34" s="276" t="str">
        <f ca="1">IF(TYPE(VLOOKUP(D34,Centrum!$A$3:$C$130,3,0))&gt;3," - ",VLOOKUP(D34,Centrum!$A$3:$C$130,3,0))</f>
        <v xml:space="preserve"> - </v>
      </c>
      <c r="G34" s="439" t="str">
        <f ca="1">IF(ROW()-2&gt;Start.listina!$O$7,"",ROW()-2)</f>
        <v/>
      </c>
      <c r="H34" s="272"/>
      <c r="I34" s="274"/>
      <c r="K34" s="275" t="str">
        <f t="shared" ca="1" si="0"/>
        <v/>
      </c>
      <c r="L34" s="275" t="str">
        <f t="shared" ca="1" si="1"/>
        <v/>
      </c>
      <c r="M34" s="275">
        <f t="shared" ca="1" si="2"/>
        <v>0</v>
      </c>
      <c r="N34" s="275">
        <f t="shared" ca="1" si="6"/>
        <v>0</v>
      </c>
      <c r="O34" s="275" t="str">
        <f t="shared" ca="1" si="3"/>
        <v/>
      </c>
      <c r="P34" s="275">
        <f t="shared" ca="1" si="4"/>
        <v>0</v>
      </c>
      <c r="Q34" s="282">
        <f t="shared" ca="1" si="5"/>
        <v>0</v>
      </c>
    </row>
    <row r="35" spans="3:17" ht="21" x14ac:dyDescent="0.4">
      <c r="C35" s="278" t="str">
        <f ca="1">IF(ROW()-2&gt;Start.listina!$N$7,"",INDIRECT(ADDRESS(ROW(),$D$2,1,1,"Centrum")))</f>
        <v/>
      </c>
      <c r="D35" s="278" t="str">
        <f ca="1">IF(ROW()-2&gt;Start.listina!$O$7,"",INDIRECT(ADDRESS(ROW()+Start.listina!$N$7,$D$2,1,1,"Centrum")))</f>
        <v/>
      </c>
      <c r="E35" s="276" t="str">
        <f ca="1">IF(TYPE(VLOOKUP(C35,Centrum!$A$3:$C$130,3,0))&gt;3," - ",VLOOKUP(C35,Centrum!$A$3:$C$130,3,0))</f>
        <v xml:space="preserve"> - </v>
      </c>
      <c r="F35" s="276" t="str">
        <f ca="1">IF(TYPE(VLOOKUP(D35,Centrum!$A$3:$C$130,3,0))&gt;3," - ",VLOOKUP(D35,Centrum!$A$3:$C$130,3,0))</f>
        <v xml:space="preserve"> - </v>
      </c>
      <c r="G35" s="439" t="str">
        <f ca="1">IF(ROW()-2&gt;Start.listina!$O$7,"",ROW()-2)</f>
        <v/>
      </c>
      <c r="H35" s="272"/>
      <c r="I35" s="274"/>
      <c r="K35" s="275" t="str">
        <f t="shared" ca="1" si="0"/>
        <v/>
      </c>
      <c r="L35" s="275" t="str">
        <f t="shared" ca="1" si="1"/>
        <v/>
      </c>
      <c r="M35" s="275">
        <f t="shared" ca="1" si="2"/>
        <v>0</v>
      </c>
      <c r="N35" s="275">
        <f t="shared" ca="1" si="6"/>
        <v>0</v>
      </c>
      <c r="O35" s="275" t="str">
        <f t="shared" ca="1" si="3"/>
        <v/>
      </c>
      <c r="P35" s="275">
        <f t="shared" ca="1" si="4"/>
        <v>0</v>
      </c>
      <c r="Q35" s="282">
        <f t="shared" ca="1" si="5"/>
        <v>0</v>
      </c>
    </row>
    <row r="36" spans="3:17" ht="21" x14ac:dyDescent="0.4">
      <c r="C36" s="278" t="str">
        <f ca="1">IF(ROW()-2&gt;Start.listina!$N$7,"",INDIRECT(ADDRESS(ROW(),$D$2,1,1,"Centrum")))</f>
        <v/>
      </c>
      <c r="D36" s="278" t="str">
        <f ca="1">IF(ROW()-2&gt;Start.listina!$O$7,"",INDIRECT(ADDRESS(ROW()+Start.listina!$N$7,$D$2,1,1,"Centrum")))</f>
        <v/>
      </c>
      <c r="E36" s="276" t="str">
        <f ca="1">IF(TYPE(VLOOKUP(C36,Centrum!$A$3:$C$130,3,0))&gt;3," - ",VLOOKUP(C36,Centrum!$A$3:$C$130,3,0))</f>
        <v xml:space="preserve"> - </v>
      </c>
      <c r="F36" s="276" t="str">
        <f ca="1">IF(TYPE(VLOOKUP(D36,Centrum!$A$3:$C$130,3,0))&gt;3," - ",VLOOKUP(D36,Centrum!$A$3:$C$130,3,0))</f>
        <v xml:space="preserve"> - </v>
      </c>
      <c r="G36" s="439" t="str">
        <f ca="1">IF(ROW()-2&gt;Start.listina!$O$7,"",ROW()-2)</f>
        <v/>
      </c>
      <c r="H36" s="272"/>
      <c r="I36" s="274"/>
      <c r="K36" s="275" t="str">
        <f t="shared" ca="1" si="0"/>
        <v/>
      </c>
      <c r="L36" s="275" t="str">
        <f t="shared" ca="1" si="1"/>
        <v/>
      </c>
      <c r="M36" s="275">
        <f t="shared" ca="1" si="2"/>
        <v>0</v>
      </c>
      <c r="N36" s="275">
        <f t="shared" ca="1" si="6"/>
        <v>0</v>
      </c>
      <c r="O36" s="275" t="str">
        <f t="shared" ca="1" si="3"/>
        <v/>
      </c>
      <c r="P36" s="275">
        <f t="shared" ca="1" si="4"/>
        <v>0</v>
      </c>
      <c r="Q36" s="282">
        <f t="shared" ca="1" si="5"/>
        <v>0</v>
      </c>
    </row>
    <row r="37" spans="3:17" ht="21" x14ac:dyDescent="0.4">
      <c r="C37" s="278" t="str">
        <f ca="1">IF(ROW()-2&gt;Start.listina!$N$7,"",INDIRECT(ADDRESS(ROW(),$D$2,1,1,"Centrum")))</f>
        <v/>
      </c>
      <c r="D37" s="278" t="str">
        <f ca="1">IF(ROW()-2&gt;Start.listina!$O$7,"",INDIRECT(ADDRESS(ROW()+Start.listina!$N$7,$D$2,1,1,"Centrum")))</f>
        <v/>
      </c>
      <c r="E37" s="276" t="str">
        <f ca="1">IF(TYPE(VLOOKUP(C37,Centrum!$A$3:$C$130,3,0))&gt;3," - ",VLOOKUP(C37,Centrum!$A$3:$C$130,3,0))</f>
        <v xml:space="preserve"> - </v>
      </c>
      <c r="F37" s="276" t="str">
        <f ca="1">IF(TYPE(VLOOKUP(D37,Centrum!$A$3:$C$130,3,0))&gt;3," - ",VLOOKUP(D37,Centrum!$A$3:$C$130,3,0))</f>
        <v xml:space="preserve"> - </v>
      </c>
      <c r="G37" s="439" t="str">
        <f ca="1">IF(ROW()-2&gt;Start.listina!$O$7,"",ROW()-2)</f>
        <v/>
      </c>
      <c r="H37" s="272"/>
      <c r="I37" s="274"/>
      <c r="K37" s="275" t="str">
        <f t="shared" ca="1" si="0"/>
        <v/>
      </c>
      <c r="L37" s="275" t="str">
        <f t="shared" ca="1" si="1"/>
        <v/>
      </c>
      <c r="M37" s="275">
        <f t="shared" ca="1" si="2"/>
        <v>0</v>
      </c>
      <c r="N37" s="275">
        <f t="shared" ca="1" si="6"/>
        <v>0</v>
      </c>
      <c r="O37" s="275" t="str">
        <f t="shared" ca="1" si="3"/>
        <v/>
      </c>
      <c r="P37" s="275">
        <f t="shared" ca="1" si="4"/>
        <v>0</v>
      </c>
      <c r="Q37" s="282">
        <f t="shared" ca="1" si="5"/>
        <v>0</v>
      </c>
    </row>
    <row r="38" spans="3:17" ht="21" x14ac:dyDescent="0.4">
      <c r="C38" s="278" t="str">
        <f ca="1">IF(ROW()-2&gt;Start.listina!$N$7,"",INDIRECT(ADDRESS(ROW(),$D$2,1,1,"Centrum")))</f>
        <v/>
      </c>
      <c r="D38" s="278" t="str">
        <f ca="1">IF(ROW()-2&gt;Start.listina!$O$7,"",INDIRECT(ADDRESS(ROW()+Start.listina!$N$7,$D$2,1,1,"Centrum")))</f>
        <v/>
      </c>
      <c r="E38" s="276" t="str">
        <f ca="1">IF(TYPE(VLOOKUP(C38,Centrum!$A$3:$C$130,3,0))&gt;3," - ",VLOOKUP(C38,Centrum!$A$3:$C$130,3,0))</f>
        <v xml:space="preserve"> - </v>
      </c>
      <c r="F38" s="276" t="str">
        <f ca="1">IF(TYPE(VLOOKUP(D38,Centrum!$A$3:$C$130,3,0))&gt;3," - ",VLOOKUP(D38,Centrum!$A$3:$C$130,3,0))</f>
        <v xml:space="preserve"> - </v>
      </c>
      <c r="G38" s="439" t="str">
        <f ca="1">IF(ROW()-2&gt;Start.listina!$O$7,"",ROW()-2)</f>
        <v/>
      </c>
      <c r="H38" s="272"/>
      <c r="I38" s="274"/>
      <c r="K38" s="275" t="str">
        <f t="shared" ca="1" si="0"/>
        <v/>
      </c>
      <c r="L38" s="275" t="str">
        <f t="shared" ca="1" si="1"/>
        <v/>
      </c>
      <c r="M38" s="275">
        <f t="shared" ca="1" si="2"/>
        <v>0</v>
      </c>
      <c r="N38" s="275">
        <f t="shared" ca="1" si="6"/>
        <v>0</v>
      </c>
      <c r="O38" s="275" t="str">
        <f t="shared" ca="1" si="3"/>
        <v/>
      </c>
      <c r="P38" s="275">
        <f t="shared" ca="1" si="4"/>
        <v>0</v>
      </c>
      <c r="Q38" s="282">
        <f t="shared" ca="1" si="5"/>
        <v>0</v>
      </c>
    </row>
    <row r="39" spans="3:17" ht="21" x14ac:dyDescent="0.4">
      <c r="C39" s="278" t="str">
        <f ca="1">IF(ROW()-2&gt;Start.listina!$N$7,"",INDIRECT(ADDRESS(ROW(),$D$2,1,1,"Centrum")))</f>
        <v/>
      </c>
      <c r="D39" s="278" t="str">
        <f ca="1">IF(ROW()-2&gt;Start.listina!$O$7,"",INDIRECT(ADDRESS(ROW()+Start.listina!$N$7,$D$2,1,1,"Centrum")))</f>
        <v/>
      </c>
      <c r="E39" s="276" t="str">
        <f ca="1">IF(TYPE(VLOOKUP(C39,Centrum!$A$3:$C$130,3,0))&gt;3," - ",VLOOKUP(C39,Centrum!$A$3:$C$130,3,0))</f>
        <v xml:space="preserve"> - </v>
      </c>
      <c r="F39" s="276" t="str">
        <f ca="1">IF(TYPE(VLOOKUP(D39,Centrum!$A$3:$C$130,3,0))&gt;3," - ",VLOOKUP(D39,Centrum!$A$3:$C$130,3,0))</f>
        <v xml:space="preserve"> - </v>
      </c>
      <c r="G39" s="439" t="str">
        <f ca="1">IF(ROW()-2&gt;Start.listina!$O$7,"",ROW()-2)</f>
        <v/>
      </c>
      <c r="H39" s="272"/>
      <c r="I39" s="274"/>
      <c r="K39" s="275" t="str">
        <f t="shared" ca="1" si="0"/>
        <v/>
      </c>
      <c r="L39" s="275" t="str">
        <f t="shared" ca="1" si="1"/>
        <v/>
      </c>
      <c r="M39" s="275">
        <f t="shared" ca="1" si="2"/>
        <v>0</v>
      </c>
      <c r="N39" s="275">
        <f t="shared" ca="1" si="6"/>
        <v>0</v>
      </c>
      <c r="O39" s="275" t="str">
        <f t="shared" ca="1" si="3"/>
        <v/>
      </c>
      <c r="P39" s="275">
        <f t="shared" ca="1" si="4"/>
        <v>0</v>
      </c>
      <c r="Q39" s="282">
        <f t="shared" ca="1" si="5"/>
        <v>0</v>
      </c>
    </row>
    <row r="40" spans="3:17" ht="21" x14ac:dyDescent="0.4">
      <c r="C40" s="278" t="str">
        <f ca="1">IF(ROW()-2&gt;Start.listina!$N$7,"",INDIRECT(ADDRESS(ROW(),$D$2,1,1,"Centrum")))</f>
        <v/>
      </c>
      <c r="D40" s="278" t="str">
        <f ca="1">IF(ROW()-2&gt;Start.listina!$O$7,"",INDIRECT(ADDRESS(ROW()+Start.listina!$N$7,$D$2,1,1,"Centrum")))</f>
        <v/>
      </c>
      <c r="E40" s="276" t="str">
        <f ca="1">IF(TYPE(VLOOKUP(C40,Centrum!$A$3:$C$130,3,0))&gt;3," - ",VLOOKUP(C40,Centrum!$A$3:$C$130,3,0))</f>
        <v xml:space="preserve"> - </v>
      </c>
      <c r="F40" s="276" t="str">
        <f ca="1">IF(TYPE(VLOOKUP(D40,Centrum!$A$3:$C$130,3,0))&gt;3," - ",VLOOKUP(D40,Centrum!$A$3:$C$130,3,0))</f>
        <v xml:space="preserve"> - </v>
      </c>
      <c r="G40" s="439" t="str">
        <f ca="1">IF(ROW()-2&gt;Start.listina!$O$7,"",ROW()-2)</f>
        <v/>
      </c>
      <c r="H40" s="272"/>
      <c r="I40" s="274"/>
      <c r="K40" s="275" t="str">
        <f t="shared" ca="1" si="0"/>
        <v/>
      </c>
      <c r="L40" s="275" t="str">
        <f t="shared" ca="1" si="1"/>
        <v/>
      </c>
      <c r="M40" s="275">
        <f t="shared" ca="1" si="2"/>
        <v>0</v>
      </c>
      <c r="N40" s="275">
        <f t="shared" ca="1" si="6"/>
        <v>0</v>
      </c>
      <c r="O40" s="275" t="str">
        <f t="shared" ca="1" si="3"/>
        <v/>
      </c>
      <c r="P40" s="275">
        <f t="shared" ca="1" si="4"/>
        <v>0</v>
      </c>
      <c r="Q40" s="282">
        <f t="shared" ca="1" si="5"/>
        <v>0</v>
      </c>
    </row>
    <row r="41" spans="3:17" ht="21" x14ac:dyDescent="0.4">
      <c r="C41" s="278" t="str">
        <f ca="1">IF(ROW()-2&gt;Start.listina!$N$7,"",INDIRECT(ADDRESS(ROW(),$D$2,1,1,"Centrum")))</f>
        <v/>
      </c>
      <c r="D41" s="278" t="str">
        <f ca="1">IF(ROW()-2&gt;Start.listina!$O$7,"",INDIRECT(ADDRESS(ROW()+Start.listina!$N$7,$D$2,1,1,"Centrum")))</f>
        <v/>
      </c>
      <c r="E41" s="276" t="str">
        <f ca="1">IF(TYPE(VLOOKUP(C41,Centrum!$A$3:$C$130,3,0))&gt;3," - ",VLOOKUP(C41,Centrum!$A$3:$C$130,3,0))</f>
        <v xml:space="preserve"> - </v>
      </c>
      <c r="F41" s="276" t="str">
        <f ca="1">IF(TYPE(VLOOKUP(D41,Centrum!$A$3:$C$130,3,0))&gt;3," - ",VLOOKUP(D41,Centrum!$A$3:$C$130,3,0))</f>
        <v xml:space="preserve"> - </v>
      </c>
      <c r="G41" s="439" t="str">
        <f ca="1">IF(ROW()-2&gt;Start.listina!$O$7,"",ROW()-2)</f>
        <v/>
      </c>
      <c r="H41" s="272"/>
      <c r="I41" s="274"/>
      <c r="K41" s="275" t="str">
        <f t="shared" ca="1" si="0"/>
        <v/>
      </c>
      <c r="L41" s="275" t="str">
        <f t="shared" ca="1" si="1"/>
        <v/>
      </c>
      <c r="M41" s="275">
        <f t="shared" ca="1" si="2"/>
        <v>0</v>
      </c>
      <c r="N41" s="275">
        <f t="shared" ca="1" si="6"/>
        <v>0</v>
      </c>
      <c r="O41" s="275" t="str">
        <f t="shared" ca="1" si="3"/>
        <v/>
      </c>
      <c r="P41" s="275">
        <f t="shared" ca="1" si="4"/>
        <v>0</v>
      </c>
      <c r="Q41" s="282">
        <f t="shared" ca="1" si="5"/>
        <v>0</v>
      </c>
    </row>
    <row r="42" spans="3:17" ht="21" x14ac:dyDescent="0.4">
      <c r="C42" s="278" t="str">
        <f ca="1">IF(ROW()-2&gt;Start.listina!$N$7,"",INDIRECT(ADDRESS(ROW(),$D$2,1,1,"Centrum")))</f>
        <v/>
      </c>
      <c r="D42" s="278" t="str">
        <f ca="1">IF(ROW()-2&gt;Start.listina!$O$7,"",INDIRECT(ADDRESS(ROW()+Start.listina!$N$7,$D$2,1,1,"Centrum")))</f>
        <v/>
      </c>
      <c r="E42" s="276" t="str">
        <f ca="1">IF(TYPE(VLOOKUP(C42,Centrum!$A$3:$C$130,3,0))&gt;3," - ",VLOOKUP(C42,Centrum!$A$3:$C$130,3,0))</f>
        <v xml:space="preserve"> - </v>
      </c>
      <c r="F42" s="276" t="str">
        <f ca="1">IF(TYPE(VLOOKUP(D42,Centrum!$A$3:$C$130,3,0))&gt;3," - ",VLOOKUP(D42,Centrum!$A$3:$C$130,3,0))</f>
        <v xml:space="preserve"> - </v>
      </c>
      <c r="G42" s="439" t="str">
        <f ca="1">IF(ROW()-2&gt;Start.listina!$O$7,"",ROW()-2)</f>
        <v/>
      </c>
      <c r="H42" s="272"/>
      <c r="I42" s="274"/>
      <c r="K42" s="275" t="str">
        <f t="shared" ca="1" si="0"/>
        <v/>
      </c>
      <c r="L42" s="275" t="str">
        <f t="shared" ca="1" si="1"/>
        <v/>
      </c>
      <c r="M42" s="275">
        <f t="shared" ca="1" si="2"/>
        <v>0</v>
      </c>
      <c r="N42" s="275">
        <f t="shared" ca="1" si="6"/>
        <v>0</v>
      </c>
      <c r="O42" s="275" t="str">
        <f t="shared" ca="1" si="3"/>
        <v/>
      </c>
      <c r="P42" s="275">
        <f t="shared" ca="1" si="4"/>
        <v>0</v>
      </c>
      <c r="Q42" s="282">
        <f t="shared" ca="1" si="5"/>
        <v>0</v>
      </c>
    </row>
    <row r="43" spans="3:17" ht="21" x14ac:dyDescent="0.4">
      <c r="C43" s="278" t="str">
        <f ca="1">IF(ROW()-2&gt;Start.listina!$N$7,"",INDIRECT(ADDRESS(ROW(),$D$2,1,1,"Centrum")))</f>
        <v/>
      </c>
      <c r="D43" s="278" t="str">
        <f ca="1">IF(ROW()-2&gt;Start.listina!$O$7,"",INDIRECT(ADDRESS(ROW()+Start.listina!$N$7,$D$2,1,1,"Centrum")))</f>
        <v/>
      </c>
      <c r="E43" s="276" t="str">
        <f ca="1">IF(TYPE(VLOOKUP(C43,Centrum!$A$3:$C$130,3,0))&gt;3," - ",VLOOKUP(C43,Centrum!$A$3:$C$130,3,0))</f>
        <v xml:space="preserve"> - </v>
      </c>
      <c r="F43" s="276" t="str">
        <f ca="1">IF(TYPE(VLOOKUP(D43,Centrum!$A$3:$C$130,3,0))&gt;3," - ",VLOOKUP(D43,Centrum!$A$3:$C$130,3,0))</f>
        <v xml:space="preserve"> - </v>
      </c>
      <c r="G43" s="439" t="str">
        <f ca="1">IF(ROW()-2&gt;Start.listina!$O$7,"",ROW()-2)</f>
        <v/>
      </c>
      <c r="H43" s="272"/>
      <c r="I43" s="274"/>
      <c r="K43" s="275" t="str">
        <f t="shared" ca="1" si="0"/>
        <v/>
      </c>
      <c r="L43" s="275" t="str">
        <f t="shared" ca="1" si="1"/>
        <v/>
      </c>
      <c r="M43" s="275">
        <f t="shared" ca="1" si="2"/>
        <v>0</v>
      </c>
      <c r="N43" s="275">
        <f t="shared" ca="1" si="6"/>
        <v>0</v>
      </c>
      <c r="O43" s="275" t="str">
        <f t="shared" ca="1" si="3"/>
        <v/>
      </c>
      <c r="P43" s="275">
        <f t="shared" ca="1" si="4"/>
        <v>0</v>
      </c>
      <c r="Q43" s="282">
        <f t="shared" ca="1" si="5"/>
        <v>0</v>
      </c>
    </row>
    <row r="44" spans="3:17" ht="21" x14ac:dyDescent="0.4">
      <c r="C44" s="278" t="str">
        <f ca="1">IF(ROW()-2&gt;Start.listina!$N$7,"",INDIRECT(ADDRESS(ROW(),$D$2,1,1,"Centrum")))</f>
        <v/>
      </c>
      <c r="D44" s="278" t="str">
        <f ca="1">IF(ROW()-2&gt;Start.listina!$O$7,"",INDIRECT(ADDRESS(ROW()+Start.listina!$N$7,$D$2,1,1,"Centrum")))</f>
        <v/>
      </c>
      <c r="E44" s="276" t="str">
        <f ca="1">IF(TYPE(VLOOKUP(C44,Centrum!$A$3:$C$130,3,0))&gt;3," - ",VLOOKUP(C44,Centrum!$A$3:$C$130,3,0))</f>
        <v xml:space="preserve"> - </v>
      </c>
      <c r="F44" s="276" t="str">
        <f ca="1">IF(TYPE(VLOOKUP(D44,Centrum!$A$3:$C$130,3,0))&gt;3," - ",VLOOKUP(D44,Centrum!$A$3:$C$130,3,0))</f>
        <v xml:space="preserve"> - </v>
      </c>
      <c r="G44" s="439" t="str">
        <f ca="1">IF(ROW()-2&gt;Start.listina!$O$7,"",ROW()-2)</f>
        <v/>
      </c>
      <c r="H44" s="272"/>
      <c r="I44" s="274"/>
      <c r="K44" s="275" t="str">
        <f t="shared" ca="1" si="0"/>
        <v/>
      </c>
      <c r="L44" s="275" t="str">
        <f t="shared" ca="1" si="1"/>
        <v/>
      </c>
      <c r="M44" s="275">
        <f t="shared" ca="1" si="2"/>
        <v>0</v>
      </c>
      <c r="N44" s="275">
        <f t="shared" ca="1" si="6"/>
        <v>0</v>
      </c>
      <c r="O44" s="275" t="str">
        <f t="shared" ca="1" si="3"/>
        <v/>
      </c>
      <c r="P44" s="275">
        <f t="shared" ca="1" si="4"/>
        <v>0</v>
      </c>
      <c r="Q44" s="282">
        <f t="shared" ca="1" si="5"/>
        <v>0</v>
      </c>
    </row>
    <row r="45" spans="3:17" ht="21" x14ac:dyDescent="0.4">
      <c r="C45" s="278" t="str">
        <f ca="1">IF(ROW()-2&gt;Start.listina!$N$7,"",INDIRECT(ADDRESS(ROW(),$D$2,1,1,"Centrum")))</f>
        <v/>
      </c>
      <c r="D45" s="278" t="str">
        <f ca="1">IF(ROW()-2&gt;Start.listina!$O$7,"",INDIRECT(ADDRESS(ROW()+Start.listina!$N$7,$D$2,1,1,"Centrum")))</f>
        <v/>
      </c>
      <c r="E45" s="276" t="str">
        <f ca="1">IF(TYPE(VLOOKUP(C45,Centrum!$A$3:$C$130,3,0))&gt;3," - ",VLOOKUP(C45,Centrum!$A$3:$C$130,3,0))</f>
        <v xml:space="preserve"> - </v>
      </c>
      <c r="F45" s="276" t="str">
        <f ca="1">IF(TYPE(VLOOKUP(D45,Centrum!$A$3:$C$130,3,0))&gt;3," - ",VLOOKUP(D45,Centrum!$A$3:$C$130,3,0))</f>
        <v xml:space="preserve"> - </v>
      </c>
      <c r="G45" s="439" t="str">
        <f ca="1">IF(ROW()-2&gt;Start.listina!$O$7,"",ROW()-2)</f>
        <v/>
      </c>
      <c r="H45" s="272"/>
      <c r="I45" s="274"/>
      <c r="K45" s="275" t="str">
        <f t="shared" ca="1" si="0"/>
        <v/>
      </c>
      <c r="L45" s="275" t="str">
        <f t="shared" ca="1" si="1"/>
        <v/>
      </c>
      <c r="M45" s="275">
        <f t="shared" ca="1" si="2"/>
        <v>0</v>
      </c>
      <c r="N45" s="275">
        <f t="shared" ca="1" si="6"/>
        <v>0</v>
      </c>
      <c r="O45" s="275" t="str">
        <f t="shared" ca="1" si="3"/>
        <v/>
      </c>
      <c r="P45" s="275">
        <f t="shared" ca="1" si="4"/>
        <v>0</v>
      </c>
      <c r="Q45" s="282">
        <f t="shared" ca="1" si="5"/>
        <v>0</v>
      </c>
    </row>
    <row r="46" spans="3:17" ht="21" x14ac:dyDescent="0.4">
      <c r="C46" s="278" t="str">
        <f ca="1">IF(ROW()-2&gt;Start.listina!$N$7,"",INDIRECT(ADDRESS(ROW(),$D$2,1,1,"Centrum")))</f>
        <v/>
      </c>
      <c r="D46" s="278" t="str">
        <f ca="1">IF(ROW()-2&gt;Start.listina!$O$7,"",INDIRECT(ADDRESS(ROW()+Start.listina!$N$7,$D$2,1,1,"Centrum")))</f>
        <v/>
      </c>
      <c r="E46" s="276" t="str">
        <f ca="1">IF(TYPE(VLOOKUP(C46,Centrum!$A$3:$C$130,3,0))&gt;3," - ",VLOOKUP(C46,Centrum!$A$3:$C$130,3,0))</f>
        <v xml:space="preserve"> - </v>
      </c>
      <c r="F46" s="276" t="str">
        <f ca="1">IF(TYPE(VLOOKUP(D46,Centrum!$A$3:$C$130,3,0))&gt;3," - ",VLOOKUP(D46,Centrum!$A$3:$C$130,3,0))</f>
        <v xml:space="preserve"> - </v>
      </c>
      <c r="G46" s="439" t="str">
        <f ca="1">IF(ROW()-2&gt;Start.listina!$O$7,"",ROW()-2)</f>
        <v/>
      </c>
      <c r="H46" s="272"/>
      <c r="I46" s="274"/>
      <c r="K46" s="275" t="str">
        <f t="shared" ca="1" si="0"/>
        <v/>
      </c>
      <c r="L46" s="275" t="str">
        <f t="shared" ca="1" si="1"/>
        <v/>
      </c>
      <c r="M46" s="275">
        <f t="shared" ca="1" si="2"/>
        <v>0</v>
      </c>
      <c r="N46" s="275">
        <f t="shared" ca="1" si="6"/>
        <v>0</v>
      </c>
      <c r="O46" s="275" t="str">
        <f t="shared" ca="1" si="3"/>
        <v/>
      </c>
      <c r="P46" s="275">
        <f t="shared" ca="1" si="4"/>
        <v>0</v>
      </c>
      <c r="Q46" s="282">
        <f t="shared" ca="1" si="5"/>
        <v>0</v>
      </c>
    </row>
    <row r="47" spans="3:17" ht="21" x14ac:dyDescent="0.4">
      <c r="C47" s="278" t="str">
        <f ca="1">IF(ROW()-2&gt;Start.listina!$N$7,"",INDIRECT(ADDRESS(ROW(),$D$2,1,1,"Centrum")))</f>
        <v/>
      </c>
      <c r="D47" s="278" t="str">
        <f ca="1">IF(ROW()-2&gt;Start.listina!$O$7,"",INDIRECT(ADDRESS(ROW()+Start.listina!$N$7,$D$2,1,1,"Centrum")))</f>
        <v/>
      </c>
      <c r="E47" s="276" t="str">
        <f ca="1">IF(TYPE(VLOOKUP(C47,Centrum!$A$3:$C$130,3,0))&gt;3," - ",VLOOKUP(C47,Centrum!$A$3:$C$130,3,0))</f>
        <v xml:space="preserve"> - </v>
      </c>
      <c r="F47" s="276" t="str">
        <f ca="1">IF(TYPE(VLOOKUP(D47,Centrum!$A$3:$C$130,3,0))&gt;3," - ",VLOOKUP(D47,Centrum!$A$3:$C$130,3,0))</f>
        <v xml:space="preserve"> - </v>
      </c>
      <c r="G47" s="439" t="str">
        <f ca="1">IF(ROW()-2&gt;Start.listina!$O$7,"",ROW()-2)</f>
        <v/>
      </c>
      <c r="H47" s="272"/>
      <c r="I47" s="274"/>
      <c r="K47" s="275" t="str">
        <f t="shared" ca="1" si="0"/>
        <v/>
      </c>
      <c r="L47" s="275" t="str">
        <f t="shared" ca="1" si="1"/>
        <v/>
      </c>
      <c r="M47" s="275">
        <f t="shared" ca="1" si="2"/>
        <v>0</v>
      </c>
      <c r="N47" s="275">
        <f t="shared" ca="1" si="6"/>
        <v>0</v>
      </c>
      <c r="O47" s="275" t="str">
        <f t="shared" ca="1" si="3"/>
        <v/>
      </c>
      <c r="P47" s="275">
        <f t="shared" ca="1" si="4"/>
        <v>0</v>
      </c>
      <c r="Q47" s="282">
        <f t="shared" ca="1" si="5"/>
        <v>0</v>
      </c>
    </row>
    <row r="48" spans="3:17" ht="21" x14ac:dyDescent="0.4">
      <c r="C48" s="278" t="str">
        <f ca="1">IF(ROW()-2&gt;Start.listina!$N$7,"",INDIRECT(ADDRESS(ROW(),$D$2,1,1,"Centrum")))</f>
        <v/>
      </c>
      <c r="D48" s="278" t="str">
        <f ca="1">IF(ROW()-2&gt;Start.listina!$O$7,"",INDIRECT(ADDRESS(ROW()+Start.listina!$N$7,$D$2,1,1,"Centrum")))</f>
        <v/>
      </c>
      <c r="E48" s="276" t="str">
        <f ca="1">IF(TYPE(VLOOKUP(C48,Centrum!$A$3:$C$130,3,0))&gt;3," - ",VLOOKUP(C48,Centrum!$A$3:$C$130,3,0))</f>
        <v xml:space="preserve"> - </v>
      </c>
      <c r="F48" s="276" t="str">
        <f ca="1">IF(TYPE(VLOOKUP(D48,Centrum!$A$3:$C$130,3,0))&gt;3," - ",VLOOKUP(D48,Centrum!$A$3:$C$130,3,0))</f>
        <v xml:space="preserve"> - </v>
      </c>
      <c r="G48" s="439" t="str">
        <f ca="1">IF(ROW()-2&gt;Start.listina!$O$7,"",ROW()-2)</f>
        <v/>
      </c>
      <c r="H48" s="272"/>
      <c r="I48" s="274"/>
      <c r="K48" s="275" t="str">
        <f t="shared" ca="1" si="0"/>
        <v/>
      </c>
      <c r="L48" s="275" t="str">
        <f t="shared" ca="1" si="1"/>
        <v/>
      </c>
      <c r="M48" s="275">
        <f t="shared" ca="1" si="2"/>
        <v>0</v>
      </c>
      <c r="N48" s="275">
        <f t="shared" ca="1" si="6"/>
        <v>0</v>
      </c>
      <c r="O48" s="275" t="str">
        <f t="shared" ca="1" si="3"/>
        <v/>
      </c>
      <c r="P48" s="275">
        <f t="shared" ca="1" si="4"/>
        <v>0</v>
      </c>
      <c r="Q48" s="282">
        <f t="shared" ca="1" si="5"/>
        <v>0</v>
      </c>
    </row>
    <row r="49" spans="3:17" ht="21" x14ac:dyDescent="0.4">
      <c r="C49" s="278" t="str">
        <f ca="1">IF(ROW()-2&gt;Start.listina!$N$7,"",INDIRECT(ADDRESS(ROW(),$D$2,1,1,"Centrum")))</f>
        <v/>
      </c>
      <c r="D49" s="278" t="str">
        <f ca="1">IF(ROW()-2&gt;Start.listina!$O$7,"",INDIRECT(ADDRESS(ROW()+Start.listina!$N$7,$D$2,1,1,"Centrum")))</f>
        <v/>
      </c>
      <c r="E49" s="276" t="str">
        <f ca="1">IF(TYPE(VLOOKUP(C49,Centrum!$A$3:$C$130,3,0))&gt;3," - ",VLOOKUP(C49,Centrum!$A$3:$C$130,3,0))</f>
        <v xml:space="preserve"> - </v>
      </c>
      <c r="F49" s="276" t="str">
        <f ca="1">IF(TYPE(VLOOKUP(D49,Centrum!$A$3:$C$130,3,0))&gt;3," - ",VLOOKUP(D49,Centrum!$A$3:$C$130,3,0))</f>
        <v xml:space="preserve"> - </v>
      </c>
      <c r="G49" s="439" t="str">
        <f ca="1">IF(ROW()-2&gt;Start.listina!$O$7,"",ROW()-2)</f>
        <v/>
      </c>
      <c r="H49" s="272"/>
      <c r="I49" s="274"/>
      <c r="K49" s="275" t="str">
        <f t="shared" ca="1" si="0"/>
        <v/>
      </c>
      <c r="L49" s="275" t="str">
        <f t="shared" ca="1" si="1"/>
        <v/>
      </c>
      <c r="M49" s="275">
        <f t="shared" ca="1" si="2"/>
        <v>0</v>
      </c>
      <c r="N49" s="275">
        <f t="shared" ca="1" si="6"/>
        <v>0</v>
      </c>
      <c r="O49" s="275" t="str">
        <f t="shared" ca="1" si="3"/>
        <v/>
      </c>
      <c r="P49" s="275">
        <f t="shared" ca="1" si="4"/>
        <v>0</v>
      </c>
      <c r="Q49" s="282">
        <f t="shared" ca="1" si="5"/>
        <v>0</v>
      </c>
    </row>
    <row r="50" spans="3:17" ht="21" x14ac:dyDescent="0.4">
      <c r="C50" s="278" t="str">
        <f ca="1">IF(ROW()-2&gt;Start.listina!$N$7,"",INDIRECT(ADDRESS(ROW(),$D$2,1,1,"Centrum")))</f>
        <v/>
      </c>
      <c r="D50" s="278" t="str">
        <f ca="1">IF(ROW()-2&gt;Start.listina!$O$7,"",INDIRECT(ADDRESS(ROW()+Start.listina!$N$7,$D$2,1,1,"Centrum")))</f>
        <v/>
      </c>
      <c r="E50" s="276" t="str">
        <f ca="1">IF(TYPE(VLOOKUP(C50,Centrum!$A$3:$C$130,3,0))&gt;3," - ",VLOOKUP(C50,Centrum!$A$3:$C$130,3,0))</f>
        <v xml:space="preserve"> - </v>
      </c>
      <c r="F50" s="276" t="str">
        <f ca="1">IF(TYPE(VLOOKUP(D50,Centrum!$A$3:$C$130,3,0))&gt;3," - ",VLOOKUP(D50,Centrum!$A$3:$C$130,3,0))</f>
        <v xml:space="preserve"> - </v>
      </c>
      <c r="G50" s="439" t="str">
        <f ca="1">IF(ROW()-2&gt;Start.listina!$O$7,"",ROW()-2)</f>
        <v/>
      </c>
      <c r="H50" s="272"/>
      <c r="I50" s="274"/>
      <c r="K50" s="275" t="str">
        <f t="shared" ca="1" si="0"/>
        <v/>
      </c>
      <c r="L50" s="275" t="str">
        <f t="shared" ca="1" si="1"/>
        <v/>
      </c>
      <c r="M50" s="275">
        <f t="shared" ca="1" si="2"/>
        <v>0</v>
      </c>
      <c r="N50" s="275">
        <f t="shared" ca="1" si="6"/>
        <v>0</v>
      </c>
      <c r="O50" s="275" t="str">
        <f t="shared" ca="1" si="3"/>
        <v/>
      </c>
      <c r="P50" s="275">
        <f t="shared" ca="1" si="4"/>
        <v>0</v>
      </c>
      <c r="Q50" s="282">
        <f t="shared" ca="1" si="5"/>
        <v>0</v>
      </c>
    </row>
    <row r="51" spans="3:17" ht="21" x14ac:dyDescent="0.4">
      <c r="C51" s="278" t="str">
        <f ca="1">IF(ROW()-2&gt;Start.listina!$N$7,"",INDIRECT(ADDRESS(ROW(),$D$2,1,1,"Centrum")))</f>
        <v/>
      </c>
      <c r="D51" s="278" t="str">
        <f ca="1">IF(ROW()-2&gt;Start.listina!$O$7,"",INDIRECT(ADDRESS(ROW()+Start.listina!$N$7,$D$2,1,1,"Centrum")))</f>
        <v/>
      </c>
      <c r="E51" s="276" t="str">
        <f ca="1">IF(TYPE(VLOOKUP(C51,Centrum!$A$3:$C$130,3,0))&gt;3," - ",VLOOKUP(C51,Centrum!$A$3:$C$130,3,0))</f>
        <v xml:space="preserve"> - </v>
      </c>
      <c r="F51" s="276" t="str">
        <f ca="1">IF(TYPE(VLOOKUP(D51,Centrum!$A$3:$C$130,3,0))&gt;3," - ",VLOOKUP(D51,Centrum!$A$3:$C$130,3,0))</f>
        <v xml:space="preserve"> - </v>
      </c>
      <c r="G51" s="439" t="str">
        <f ca="1">IF(ROW()-2&gt;Start.listina!$O$7,"",ROW()-2)</f>
        <v/>
      </c>
      <c r="H51" s="272"/>
      <c r="I51" s="274"/>
      <c r="K51" s="275" t="str">
        <f t="shared" ca="1" si="0"/>
        <v/>
      </c>
      <c r="L51" s="275" t="str">
        <f t="shared" ca="1" si="1"/>
        <v/>
      </c>
      <c r="M51" s="275">
        <f t="shared" ca="1" si="2"/>
        <v>0</v>
      </c>
      <c r="N51" s="275">
        <f t="shared" ca="1" si="6"/>
        <v>0</v>
      </c>
      <c r="O51" s="275" t="str">
        <f t="shared" ca="1" si="3"/>
        <v/>
      </c>
      <c r="P51" s="275">
        <f t="shared" ca="1" si="4"/>
        <v>0</v>
      </c>
      <c r="Q51" s="282">
        <f t="shared" ca="1" si="5"/>
        <v>0</v>
      </c>
    </row>
    <row r="52" spans="3:17" ht="21" x14ac:dyDescent="0.4">
      <c r="C52" s="278" t="str">
        <f ca="1">IF(ROW()-2&gt;Start.listina!$N$7,"",INDIRECT(ADDRESS(ROW(),$D$2,1,1,"Centrum")))</f>
        <v/>
      </c>
      <c r="D52" s="278" t="str">
        <f ca="1">IF(ROW()-2&gt;Start.listina!$O$7,"",INDIRECT(ADDRESS(ROW()+Start.listina!$N$7,$D$2,1,1,"Centrum")))</f>
        <v/>
      </c>
      <c r="E52" s="276" t="str">
        <f ca="1">IF(TYPE(VLOOKUP(C52,Centrum!$A$3:$C$130,3,0))&gt;3," - ",VLOOKUP(C52,Centrum!$A$3:$C$130,3,0))</f>
        <v xml:space="preserve"> - </v>
      </c>
      <c r="F52" s="276" t="str">
        <f ca="1">IF(TYPE(VLOOKUP(D52,Centrum!$A$3:$C$130,3,0))&gt;3," - ",VLOOKUP(D52,Centrum!$A$3:$C$130,3,0))</f>
        <v xml:space="preserve"> - </v>
      </c>
      <c r="G52" s="439" t="str">
        <f ca="1">IF(ROW()-2&gt;Start.listina!$O$7,"",ROW()-2)</f>
        <v/>
      </c>
      <c r="H52" s="272"/>
      <c r="I52" s="274"/>
      <c r="K52" s="275" t="str">
        <f t="shared" ca="1" si="0"/>
        <v/>
      </c>
      <c r="L52" s="275" t="str">
        <f t="shared" ca="1" si="1"/>
        <v/>
      </c>
      <c r="M52" s="275">
        <f t="shared" ca="1" si="2"/>
        <v>0</v>
      </c>
      <c r="N52" s="275">
        <f t="shared" ca="1" si="6"/>
        <v>0</v>
      </c>
      <c r="O52" s="275" t="str">
        <f t="shared" ca="1" si="3"/>
        <v/>
      </c>
      <c r="P52" s="275">
        <f t="shared" ca="1" si="4"/>
        <v>0</v>
      </c>
      <c r="Q52" s="282">
        <f t="shared" ca="1" si="5"/>
        <v>0</v>
      </c>
    </row>
    <row r="53" spans="3:17" ht="21" x14ac:dyDescent="0.4">
      <c r="C53" s="278" t="str">
        <f ca="1">IF(ROW()-2&gt;Start.listina!$N$7,"",INDIRECT(ADDRESS(ROW(),$D$2,1,1,"Centrum")))</f>
        <v/>
      </c>
      <c r="D53" s="278" t="str">
        <f ca="1">IF(ROW()-2&gt;Start.listina!$O$7,"",INDIRECT(ADDRESS(ROW()+Start.listina!$N$7,$D$2,1,1,"Centrum")))</f>
        <v/>
      </c>
      <c r="E53" s="276" t="str">
        <f ca="1">IF(TYPE(VLOOKUP(C53,Centrum!$A$3:$C$130,3,0))&gt;3," - ",VLOOKUP(C53,Centrum!$A$3:$C$130,3,0))</f>
        <v xml:space="preserve"> - </v>
      </c>
      <c r="F53" s="276" t="str">
        <f ca="1">IF(TYPE(VLOOKUP(D53,Centrum!$A$3:$C$130,3,0))&gt;3," - ",VLOOKUP(D53,Centrum!$A$3:$C$130,3,0))</f>
        <v xml:space="preserve"> - </v>
      </c>
      <c r="G53" s="439" t="str">
        <f ca="1">IF(ROW()-2&gt;Start.listina!$O$7,"",ROW()-2)</f>
        <v/>
      </c>
      <c r="H53" s="272"/>
      <c r="I53" s="274"/>
      <c r="K53" s="275" t="str">
        <f t="shared" ca="1" si="0"/>
        <v/>
      </c>
      <c r="L53" s="275" t="str">
        <f t="shared" ca="1" si="1"/>
        <v/>
      </c>
      <c r="M53" s="275">
        <f t="shared" ca="1" si="2"/>
        <v>0</v>
      </c>
      <c r="N53" s="275">
        <f t="shared" ca="1" si="6"/>
        <v>0</v>
      </c>
      <c r="O53" s="275" t="str">
        <f t="shared" ca="1" si="3"/>
        <v/>
      </c>
      <c r="P53" s="275">
        <f t="shared" ca="1" si="4"/>
        <v>0</v>
      </c>
      <c r="Q53" s="282">
        <f t="shared" ca="1" si="5"/>
        <v>0</v>
      </c>
    </row>
    <row r="54" spans="3:17" ht="21" x14ac:dyDescent="0.4">
      <c r="C54" s="278" t="str">
        <f ca="1">IF(ROW()-2&gt;Start.listina!$N$7,"",INDIRECT(ADDRESS(ROW(),$D$2,1,1,"Centrum")))</f>
        <v/>
      </c>
      <c r="D54" s="278" t="str">
        <f ca="1">IF(ROW()-2&gt;Start.listina!$O$7,"",INDIRECT(ADDRESS(ROW()+Start.listina!$N$7,$D$2,1,1,"Centrum")))</f>
        <v/>
      </c>
      <c r="E54" s="276" t="str">
        <f ca="1">IF(TYPE(VLOOKUP(C54,Centrum!$A$3:$C$130,3,0))&gt;3," - ",VLOOKUP(C54,Centrum!$A$3:$C$130,3,0))</f>
        <v xml:space="preserve"> - </v>
      </c>
      <c r="F54" s="276" t="str">
        <f ca="1">IF(TYPE(VLOOKUP(D54,Centrum!$A$3:$C$130,3,0))&gt;3," - ",VLOOKUP(D54,Centrum!$A$3:$C$130,3,0))</f>
        <v xml:space="preserve"> - </v>
      </c>
      <c r="G54" s="439" t="str">
        <f ca="1">IF(ROW()-2&gt;Start.listina!$O$7,"",ROW()-2)</f>
        <v/>
      </c>
      <c r="H54" s="272"/>
      <c r="I54" s="274"/>
      <c r="K54" s="275" t="str">
        <f t="shared" ca="1" si="0"/>
        <v/>
      </c>
      <c r="L54" s="275" t="str">
        <f t="shared" ca="1" si="1"/>
        <v/>
      </c>
      <c r="M54" s="275">
        <f t="shared" ca="1" si="2"/>
        <v>0</v>
      </c>
      <c r="N54" s="275">
        <f t="shared" ca="1" si="6"/>
        <v>0</v>
      </c>
      <c r="O54" s="275" t="str">
        <f t="shared" ca="1" si="3"/>
        <v/>
      </c>
      <c r="P54" s="275">
        <f t="shared" ca="1" si="4"/>
        <v>0</v>
      </c>
      <c r="Q54" s="282">
        <f t="shared" ca="1" si="5"/>
        <v>0</v>
      </c>
    </row>
    <row r="55" spans="3:17" ht="21" x14ac:dyDescent="0.4">
      <c r="C55" s="278" t="str">
        <f ca="1">IF(ROW()-2&gt;Start.listina!$N$7,"",INDIRECT(ADDRESS(ROW(),$D$2,1,1,"Centrum")))</f>
        <v/>
      </c>
      <c r="D55" s="278" t="str">
        <f ca="1">IF(ROW()-2&gt;Start.listina!$O$7,"",INDIRECT(ADDRESS(ROW()+Start.listina!$N$7,$D$2,1,1,"Centrum")))</f>
        <v/>
      </c>
      <c r="E55" s="276" t="str">
        <f ca="1">IF(TYPE(VLOOKUP(C55,Centrum!$A$3:$C$130,3,0))&gt;3," - ",VLOOKUP(C55,Centrum!$A$3:$C$130,3,0))</f>
        <v xml:space="preserve"> - </v>
      </c>
      <c r="F55" s="276" t="str">
        <f ca="1">IF(TYPE(VLOOKUP(D55,Centrum!$A$3:$C$130,3,0))&gt;3," - ",VLOOKUP(D55,Centrum!$A$3:$C$130,3,0))</f>
        <v xml:space="preserve"> - </v>
      </c>
      <c r="G55" s="439" t="str">
        <f ca="1">IF(ROW()-2&gt;Start.listina!$O$7,"",ROW()-2)</f>
        <v/>
      </c>
      <c r="H55" s="272"/>
      <c r="I55" s="274"/>
      <c r="K55" s="275" t="str">
        <f t="shared" ca="1" si="0"/>
        <v/>
      </c>
      <c r="L55" s="275" t="str">
        <f t="shared" ca="1" si="1"/>
        <v/>
      </c>
      <c r="M55" s="275">
        <f t="shared" ca="1" si="2"/>
        <v>0</v>
      </c>
      <c r="N55" s="275">
        <f t="shared" ca="1" si="6"/>
        <v>0</v>
      </c>
      <c r="O55" s="275" t="str">
        <f t="shared" ca="1" si="3"/>
        <v/>
      </c>
      <c r="P55" s="275">
        <f t="shared" ca="1" si="4"/>
        <v>0</v>
      </c>
      <c r="Q55" s="282">
        <f t="shared" ca="1" si="5"/>
        <v>0</v>
      </c>
    </row>
    <row r="56" spans="3:17" ht="21" x14ac:dyDescent="0.4">
      <c r="C56" s="278" t="str">
        <f ca="1">IF(ROW()-2&gt;Start.listina!$N$7,"",INDIRECT(ADDRESS(ROW(),$D$2,1,1,"Centrum")))</f>
        <v/>
      </c>
      <c r="D56" s="278" t="str">
        <f ca="1">IF(ROW()-2&gt;Start.listina!$O$7,"",INDIRECT(ADDRESS(ROW()+Start.listina!$N$7,$D$2,1,1,"Centrum")))</f>
        <v/>
      </c>
      <c r="E56" s="276" t="str">
        <f ca="1">IF(TYPE(VLOOKUP(C56,Centrum!$A$3:$C$130,3,0))&gt;3," - ",VLOOKUP(C56,Centrum!$A$3:$C$130,3,0))</f>
        <v xml:space="preserve"> - </v>
      </c>
      <c r="F56" s="276" t="str">
        <f ca="1">IF(TYPE(VLOOKUP(D56,Centrum!$A$3:$C$130,3,0))&gt;3," - ",VLOOKUP(D56,Centrum!$A$3:$C$130,3,0))</f>
        <v xml:space="preserve"> - </v>
      </c>
      <c r="G56" s="439" t="str">
        <f ca="1">IF(ROW()-2&gt;Start.listina!$O$7,"",ROW()-2)</f>
        <v/>
      </c>
      <c r="H56" s="272"/>
      <c r="I56" s="274"/>
      <c r="K56" s="275" t="str">
        <f t="shared" ca="1" si="0"/>
        <v/>
      </c>
      <c r="L56" s="275" t="str">
        <f t="shared" ca="1" si="1"/>
        <v/>
      </c>
      <c r="M56" s="275">
        <f t="shared" ca="1" si="2"/>
        <v>0</v>
      </c>
      <c r="N56" s="275">
        <f t="shared" ca="1" si="6"/>
        <v>0</v>
      </c>
      <c r="O56" s="275" t="str">
        <f t="shared" ca="1" si="3"/>
        <v/>
      </c>
      <c r="P56" s="275">
        <f t="shared" ca="1" si="4"/>
        <v>0</v>
      </c>
      <c r="Q56" s="282">
        <f t="shared" ca="1" si="5"/>
        <v>0</v>
      </c>
    </row>
    <row r="57" spans="3:17" ht="21" x14ac:dyDescent="0.4">
      <c r="C57" s="278" t="str">
        <f ca="1">IF(ROW()-2&gt;Start.listina!$N$7,"",INDIRECT(ADDRESS(ROW(),$D$2,1,1,"Centrum")))</f>
        <v/>
      </c>
      <c r="D57" s="278" t="str">
        <f ca="1">IF(ROW()-2&gt;Start.listina!$O$7,"",INDIRECT(ADDRESS(ROW()+Start.listina!$N$7,$D$2,1,1,"Centrum")))</f>
        <v/>
      </c>
      <c r="E57" s="276" t="str">
        <f ca="1">IF(TYPE(VLOOKUP(C57,Centrum!$A$3:$C$130,3,0))&gt;3," - ",VLOOKUP(C57,Centrum!$A$3:$C$130,3,0))</f>
        <v xml:space="preserve"> - </v>
      </c>
      <c r="F57" s="276" t="str">
        <f ca="1">IF(TYPE(VLOOKUP(D57,Centrum!$A$3:$C$130,3,0))&gt;3," - ",VLOOKUP(D57,Centrum!$A$3:$C$130,3,0))</f>
        <v xml:space="preserve"> - </v>
      </c>
      <c r="G57" s="439" t="str">
        <f ca="1">IF(ROW()-2&gt;Start.listina!$O$7,"",ROW()-2)</f>
        <v/>
      </c>
      <c r="H57" s="272"/>
      <c r="I57" s="274"/>
      <c r="K57" s="275" t="str">
        <f t="shared" ca="1" si="0"/>
        <v/>
      </c>
      <c r="L57" s="275" t="str">
        <f t="shared" ca="1" si="1"/>
        <v/>
      </c>
      <c r="M57" s="275">
        <f t="shared" ca="1" si="2"/>
        <v>0</v>
      </c>
      <c r="N57" s="275">
        <f t="shared" ca="1" si="6"/>
        <v>0</v>
      </c>
      <c r="O57" s="275" t="str">
        <f t="shared" ca="1" si="3"/>
        <v/>
      </c>
      <c r="P57" s="275">
        <f t="shared" ca="1" si="4"/>
        <v>0</v>
      </c>
      <c r="Q57" s="282">
        <f t="shared" ca="1" si="5"/>
        <v>0</v>
      </c>
    </row>
    <row r="58" spans="3:17" ht="21" x14ac:dyDescent="0.4">
      <c r="C58" s="278" t="str">
        <f ca="1">IF(ROW()-2&gt;Start.listina!$N$7,"",INDIRECT(ADDRESS(ROW(),$D$2,1,1,"Centrum")))</f>
        <v/>
      </c>
      <c r="D58" s="278" t="str">
        <f ca="1">IF(ROW()-2&gt;Start.listina!$O$7,"",INDIRECT(ADDRESS(ROW()+Start.listina!$N$7,$D$2,1,1,"Centrum")))</f>
        <v/>
      </c>
      <c r="E58" s="276" t="str">
        <f ca="1">IF(TYPE(VLOOKUP(C58,Centrum!$A$3:$C$130,3,0))&gt;3," - ",VLOOKUP(C58,Centrum!$A$3:$C$130,3,0))</f>
        <v xml:space="preserve"> - </v>
      </c>
      <c r="F58" s="276" t="str">
        <f ca="1">IF(TYPE(VLOOKUP(D58,Centrum!$A$3:$C$130,3,0))&gt;3," - ",VLOOKUP(D58,Centrum!$A$3:$C$130,3,0))</f>
        <v xml:space="preserve"> - </v>
      </c>
      <c r="G58" s="439" t="str">
        <f ca="1">IF(ROW()-2&gt;Start.listina!$O$7,"",ROW()-2)</f>
        <v/>
      </c>
      <c r="H58" s="272"/>
      <c r="I58" s="274"/>
      <c r="K58" s="275" t="str">
        <f t="shared" ca="1" si="0"/>
        <v/>
      </c>
      <c r="L58" s="275" t="str">
        <f t="shared" ca="1" si="1"/>
        <v/>
      </c>
      <c r="M58" s="275">
        <f t="shared" ca="1" si="2"/>
        <v>0</v>
      </c>
      <c r="N58" s="275">
        <f t="shared" ca="1" si="6"/>
        <v>0</v>
      </c>
      <c r="O58" s="275" t="str">
        <f t="shared" ca="1" si="3"/>
        <v/>
      </c>
      <c r="P58" s="275">
        <f t="shared" ca="1" si="4"/>
        <v>0</v>
      </c>
      <c r="Q58" s="282">
        <f t="shared" ca="1" si="5"/>
        <v>0</v>
      </c>
    </row>
    <row r="59" spans="3:17" ht="21" x14ac:dyDescent="0.4">
      <c r="C59" s="278" t="str">
        <f ca="1">IF(ROW()-2&gt;Start.listina!$N$7,"",INDIRECT(ADDRESS(ROW(),$D$2,1,1,"Centrum")))</f>
        <v/>
      </c>
      <c r="D59" s="278" t="str">
        <f ca="1">IF(ROW()-2&gt;Start.listina!$O$7,"",INDIRECT(ADDRESS(ROW()+Start.listina!$N$7,$D$2,1,1,"Centrum")))</f>
        <v/>
      </c>
      <c r="E59" s="276" t="str">
        <f ca="1">IF(TYPE(VLOOKUP(C59,Centrum!$A$3:$C$130,3,0))&gt;3," - ",VLOOKUP(C59,Centrum!$A$3:$C$130,3,0))</f>
        <v xml:space="preserve"> - </v>
      </c>
      <c r="F59" s="276" t="str">
        <f ca="1">IF(TYPE(VLOOKUP(D59,Centrum!$A$3:$C$130,3,0))&gt;3," - ",VLOOKUP(D59,Centrum!$A$3:$C$130,3,0))</f>
        <v xml:space="preserve"> - </v>
      </c>
      <c r="G59" s="439" t="str">
        <f ca="1">IF(ROW()-2&gt;Start.listina!$O$7,"",ROW()-2)</f>
        <v/>
      </c>
      <c r="H59" s="272"/>
      <c r="I59" s="274"/>
      <c r="K59" s="275" t="str">
        <f t="shared" ca="1" si="0"/>
        <v/>
      </c>
      <c r="L59" s="275" t="str">
        <f t="shared" ca="1" si="1"/>
        <v/>
      </c>
      <c r="M59" s="275">
        <f t="shared" ca="1" si="2"/>
        <v>0</v>
      </c>
      <c r="N59" s="275">
        <f t="shared" ca="1" si="6"/>
        <v>0</v>
      </c>
      <c r="O59" s="275" t="str">
        <f t="shared" ca="1" si="3"/>
        <v/>
      </c>
      <c r="P59" s="275">
        <f t="shared" ca="1" si="4"/>
        <v>0</v>
      </c>
      <c r="Q59" s="282">
        <f t="shared" ca="1" si="5"/>
        <v>0</v>
      </c>
    </row>
    <row r="60" spans="3:17" ht="21" x14ac:dyDescent="0.4">
      <c r="C60" s="278" t="str">
        <f ca="1">IF(ROW()-2&gt;Start.listina!$N$7,"",INDIRECT(ADDRESS(ROW(),$D$2,1,1,"Centrum")))</f>
        <v/>
      </c>
      <c r="D60" s="278" t="str">
        <f ca="1">IF(ROW()-2&gt;Start.listina!$O$7,"",INDIRECT(ADDRESS(ROW()+Start.listina!$N$7,$D$2,1,1,"Centrum")))</f>
        <v/>
      </c>
      <c r="E60" s="276" t="str">
        <f ca="1">IF(TYPE(VLOOKUP(C60,Centrum!$A$3:$C$130,3,0))&gt;3," - ",VLOOKUP(C60,Centrum!$A$3:$C$130,3,0))</f>
        <v xml:space="preserve"> - </v>
      </c>
      <c r="F60" s="276" t="str">
        <f ca="1">IF(TYPE(VLOOKUP(D60,Centrum!$A$3:$C$130,3,0))&gt;3," - ",VLOOKUP(D60,Centrum!$A$3:$C$130,3,0))</f>
        <v xml:space="preserve"> - </v>
      </c>
      <c r="G60" s="439" t="str">
        <f ca="1">IF(ROW()-2&gt;Start.listina!$O$7,"",ROW()-2)</f>
        <v/>
      </c>
      <c r="H60" s="272"/>
      <c r="I60" s="274"/>
      <c r="K60" s="275" t="str">
        <f t="shared" ca="1" si="0"/>
        <v/>
      </c>
      <c r="L60" s="275" t="str">
        <f t="shared" ca="1" si="1"/>
        <v/>
      </c>
      <c r="M60" s="275">
        <f t="shared" ca="1" si="2"/>
        <v>0</v>
      </c>
      <c r="N60" s="275">
        <f t="shared" ca="1" si="6"/>
        <v>0</v>
      </c>
      <c r="O60" s="275" t="str">
        <f t="shared" ca="1" si="3"/>
        <v/>
      </c>
      <c r="P60" s="275">
        <f t="shared" ca="1" si="4"/>
        <v>0</v>
      </c>
      <c r="Q60" s="282">
        <f t="shared" ca="1" si="5"/>
        <v>0</v>
      </c>
    </row>
    <row r="61" spans="3:17" ht="21" x14ac:dyDescent="0.4">
      <c r="C61" s="278" t="str">
        <f ca="1">IF(ROW()-2&gt;Start.listina!$N$7,"",INDIRECT(ADDRESS(ROW(),$D$2,1,1,"Centrum")))</f>
        <v/>
      </c>
      <c r="D61" s="278" t="str">
        <f ca="1">IF(ROW()-2&gt;Start.listina!$O$7,"",INDIRECT(ADDRESS(ROW()+Start.listina!$N$7,$D$2,1,1,"Centrum")))</f>
        <v/>
      </c>
      <c r="E61" s="276" t="str">
        <f ca="1">IF(TYPE(VLOOKUP(C61,Centrum!$A$3:$C$130,3,0))&gt;3," - ",VLOOKUP(C61,Centrum!$A$3:$C$130,3,0))</f>
        <v xml:space="preserve"> - </v>
      </c>
      <c r="F61" s="276" t="str">
        <f ca="1">IF(TYPE(VLOOKUP(D61,Centrum!$A$3:$C$130,3,0))&gt;3," - ",VLOOKUP(D61,Centrum!$A$3:$C$130,3,0))</f>
        <v xml:space="preserve"> - </v>
      </c>
      <c r="G61" s="439" t="str">
        <f ca="1">IF(ROW()-2&gt;Start.listina!$O$7,"",ROW()-2)</f>
        <v/>
      </c>
      <c r="H61" s="272"/>
      <c r="I61" s="274"/>
      <c r="K61" s="275" t="str">
        <f t="shared" ca="1" si="0"/>
        <v/>
      </c>
      <c r="L61" s="275" t="str">
        <f t="shared" ca="1" si="1"/>
        <v/>
      </c>
      <c r="M61" s="275">
        <f t="shared" ca="1" si="2"/>
        <v>0</v>
      </c>
      <c r="N61" s="275">
        <f t="shared" ca="1" si="6"/>
        <v>0</v>
      </c>
      <c r="O61" s="275" t="str">
        <f t="shared" ca="1" si="3"/>
        <v/>
      </c>
      <c r="P61" s="275">
        <f t="shared" ca="1" si="4"/>
        <v>0</v>
      </c>
      <c r="Q61" s="282">
        <f t="shared" ca="1" si="5"/>
        <v>0</v>
      </c>
    </row>
    <row r="62" spans="3:17" ht="21" x14ac:dyDescent="0.4">
      <c r="C62" s="278" t="str">
        <f ca="1">IF(ROW()-2&gt;Start.listina!$N$7,"",INDIRECT(ADDRESS(ROW(),$D$2,1,1,"Centrum")))</f>
        <v/>
      </c>
      <c r="D62" s="278" t="str">
        <f ca="1">IF(ROW()-2&gt;Start.listina!$O$7,"",INDIRECT(ADDRESS(ROW()+Start.listina!$N$7,$D$2,1,1,"Centrum")))</f>
        <v/>
      </c>
      <c r="E62" s="276" t="str">
        <f ca="1">IF(TYPE(VLOOKUP(C62,Centrum!$A$3:$C$130,3,0))&gt;3," - ",VLOOKUP(C62,Centrum!$A$3:$C$130,3,0))</f>
        <v xml:space="preserve"> - </v>
      </c>
      <c r="F62" s="276" t="str">
        <f ca="1">IF(TYPE(VLOOKUP(D62,Centrum!$A$3:$C$130,3,0))&gt;3," - ",VLOOKUP(D62,Centrum!$A$3:$C$130,3,0))</f>
        <v xml:space="preserve"> - </v>
      </c>
      <c r="G62" s="439" t="str">
        <f ca="1">IF(ROW()-2&gt;Start.listina!$O$7,"",ROW()-2)</f>
        <v/>
      </c>
      <c r="H62" s="272"/>
      <c r="I62" s="274"/>
      <c r="K62" s="275" t="str">
        <f t="shared" ca="1" si="0"/>
        <v/>
      </c>
      <c r="L62" s="275" t="str">
        <f t="shared" ca="1" si="1"/>
        <v/>
      </c>
      <c r="M62" s="275">
        <f t="shared" ca="1" si="2"/>
        <v>0</v>
      </c>
      <c r="N62" s="275">
        <f t="shared" ca="1" si="6"/>
        <v>0</v>
      </c>
      <c r="O62" s="275" t="str">
        <f t="shared" ca="1" si="3"/>
        <v/>
      </c>
      <c r="P62" s="275">
        <f t="shared" ca="1" si="4"/>
        <v>0</v>
      </c>
      <c r="Q62" s="282">
        <f t="shared" ca="1" si="5"/>
        <v>0</v>
      </c>
    </row>
    <row r="63" spans="3:17" ht="21" x14ac:dyDescent="0.4">
      <c r="C63" s="278" t="str">
        <f ca="1">IF(ROW()-2&gt;Start.listina!$N$7,"",INDIRECT(ADDRESS(ROW(),$D$2,1,1,"Centrum")))</f>
        <v/>
      </c>
      <c r="D63" s="278" t="str">
        <f ca="1">IF(ROW()-2&gt;Start.listina!$O$7,"",INDIRECT(ADDRESS(ROW()+Start.listina!$N$7,$D$2,1,1,"Centrum")))</f>
        <v/>
      </c>
      <c r="E63" s="276" t="str">
        <f ca="1">IF(TYPE(VLOOKUP(C63,Centrum!$A$3:$C$130,3,0))&gt;3," - ",VLOOKUP(C63,Centrum!$A$3:$C$130,3,0))</f>
        <v xml:space="preserve"> - </v>
      </c>
      <c r="F63" s="276" t="str">
        <f ca="1">IF(TYPE(VLOOKUP(D63,Centrum!$A$3:$C$130,3,0))&gt;3," - ",VLOOKUP(D63,Centrum!$A$3:$C$130,3,0))</f>
        <v xml:space="preserve"> - </v>
      </c>
      <c r="G63" s="439" t="str">
        <f ca="1">IF(ROW()-2&gt;Start.listina!$O$7,"",ROW()-2)</f>
        <v/>
      </c>
      <c r="H63" s="272"/>
      <c r="I63" s="274"/>
      <c r="K63" s="275" t="str">
        <f t="shared" ca="1" si="0"/>
        <v/>
      </c>
      <c r="L63" s="275" t="str">
        <f t="shared" ca="1" si="1"/>
        <v/>
      </c>
      <c r="M63" s="275">
        <f t="shared" ca="1" si="2"/>
        <v>0</v>
      </c>
      <c r="N63" s="275">
        <f t="shared" ca="1" si="6"/>
        <v>0</v>
      </c>
      <c r="O63" s="275" t="str">
        <f t="shared" ca="1" si="3"/>
        <v/>
      </c>
      <c r="P63" s="275">
        <f t="shared" ca="1" si="4"/>
        <v>0</v>
      </c>
      <c r="Q63" s="282">
        <f t="shared" ca="1" si="5"/>
        <v>0</v>
      </c>
    </row>
    <row r="64" spans="3:17" ht="21" x14ac:dyDescent="0.4">
      <c r="C64" s="278" t="str">
        <f ca="1">IF(ROW()-2&gt;Start.listina!$N$7,"",INDIRECT(ADDRESS(ROW(),$D$2,1,1,"Centrum")))</f>
        <v/>
      </c>
      <c r="D64" s="278" t="str">
        <f ca="1">IF(ROW()-2&gt;Start.listina!$O$7,"",INDIRECT(ADDRESS(ROW()+Start.listina!$N$7,$D$2,1,1,"Centrum")))</f>
        <v/>
      </c>
      <c r="E64" s="276" t="str">
        <f ca="1">IF(TYPE(VLOOKUP(C64,Centrum!$A$3:$C$130,3,0))&gt;3," - ",VLOOKUP(C64,Centrum!$A$3:$C$130,3,0))</f>
        <v xml:space="preserve"> - </v>
      </c>
      <c r="F64" s="276" t="str">
        <f ca="1">IF(TYPE(VLOOKUP(D64,Centrum!$A$3:$C$130,3,0))&gt;3," - ",VLOOKUP(D64,Centrum!$A$3:$C$130,3,0))</f>
        <v xml:space="preserve"> - </v>
      </c>
      <c r="G64" s="439" t="str">
        <f ca="1">IF(ROW()-2&gt;Start.listina!$O$7,"",ROW()-2)</f>
        <v/>
      </c>
      <c r="H64" s="272"/>
      <c r="I64" s="274"/>
      <c r="K64" s="275" t="str">
        <f t="shared" ca="1" si="0"/>
        <v/>
      </c>
      <c r="L64" s="275" t="str">
        <f t="shared" ca="1" si="1"/>
        <v/>
      </c>
      <c r="M64" s="275">
        <f t="shared" ca="1" si="2"/>
        <v>0</v>
      </c>
      <c r="N64" s="275">
        <f t="shared" ca="1" si="6"/>
        <v>0</v>
      </c>
      <c r="O64" s="275" t="str">
        <f t="shared" ca="1" si="3"/>
        <v/>
      </c>
      <c r="P64" s="275">
        <f t="shared" ca="1" si="4"/>
        <v>0</v>
      </c>
      <c r="Q64" s="282">
        <f t="shared" ca="1" si="5"/>
        <v>0</v>
      </c>
    </row>
    <row r="65" spans="3:17" ht="21" x14ac:dyDescent="0.4">
      <c r="C65" s="278" t="str">
        <f ca="1">IF(ROW()-2&gt;Start.listina!$N$7,"",INDIRECT(ADDRESS(ROW(),$D$2,1,1,"Centrum")))</f>
        <v/>
      </c>
      <c r="D65" s="278" t="str">
        <f ca="1">IF(ROW()-2&gt;Start.listina!$O$7,"",INDIRECT(ADDRESS(ROW()+Start.listina!$N$7,$D$2,1,1,"Centrum")))</f>
        <v/>
      </c>
      <c r="E65" s="276" t="str">
        <f ca="1">IF(TYPE(VLOOKUP(C65,Centrum!$A$3:$C$130,3,0))&gt;3," - ",VLOOKUP(C65,Centrum!$A$3:$C$130,3,0))</f>
        <v xml:space="preserve"> - </v>
      </c>
      <c r="F65" s="276" t="str">
        <f ca="1">IF(TYPE(VLOOKUP(D65,Centrum!$A$3:$C$130,3,0))&gt;3," - ",VLOOKUP(D65,Centrum!$A$3:$C$130,3,0))</f>
        <v xml:space="preserve"> - </v>
      </c>
      <c r="G65" s="439" t="str">
        <f ca="1">IF(ROW()-2&gt;Start.listina!$O$7,"",ROW()-2)</f>
        <v/>
      </c>
      <c r="H65" s="272"/>
      <c r="I65" s="274"/>
      <c r="K65" s="275" t="str">
        <f t="shared" ca="1" si="0"/>
        <v/>
      </c>
      <c r="L65" s="275" t="str">
        <f t="shared" ca="1" si="1"/>
        <v/>
      </c>
      <c r="M65" s="275">
        <f t="shared" ca="1" si="2"/>
        <v>0</v>
      </c>
      <c r="N65" s="275">
        <f t="shared" ca="1" si="6"/>
        <v>0</v>
      </c>
      <c r="O65" s="275" t="str">
        <f t="shared" ca="1" si="3"/>
        <v/>
      </c>
      <c r="P65" s="275">
        <f t="shared" ca="1" si="4"/>
        <v>0</v>
      </c>
      <c r="Q65" s="282">
        <f t="shared" ca="1" si="5"/>
        <v>0</v>
      </c>
    </row>
    <row r="66" spans="3:17" ht="21" x14ac:dyDescent="0.4">
      <c r="C66" s="278" t="str">
        <f ca="1">IF(ROW()-2&gt;Start.listina!$N$7,"",INDIRECT(ADDRESS(ROW(),$D$2,1,1,"Centrum")))</f>
        <v/>
      </c>
      <c r="D66" s="278" t="str">
        <f ca="1">IF(ROW()-2&gt;Start.listina!$O$7,"",INDIRECT(ADDRESS(ROW()+Start.listina!$N$7,$D$2,1,1,"Centrum")))</f>
        <v/>
      </c>
      <c r="E66" s="276" t="str">
        <f ca="1">IF(TYPE(VLOOKUP(C66,Centrum!$A$3:$C$130,3,0))&gt;3," - ",VLOOKUP(C66,Centrum!$A$3:$C$130,3,0))</f>
        <v xml:space="preserve"> - </v>
      </c>
      <c r="F66" s="276" t="str">
        <f ca="1">IF(TYPE(VLOOKUP(D66,Centrum!$A$3:$C$130,3,0))&gt;3," - ",VLOOKUP(D66,Centrum!$A$3:$C$130,3,0))</f>
        <v xml:space="preserve"> - </v>
      </c>
      <c r="G66" s="439" t="str">
        <f ca="1">IF(ROW()-2&gt;Start.listina!$O$7,"",ROW()-2)</f>
        <v/>
      </c>
      <c r="H66" s="272"/>
      <c r="I66" s="274"/>
      <c r="K66" s="275" t="str">
        <f ca="1">IF(TRIM($F66)="-","",$D66)</f>
        <v/>
      </c>
      <c r="L66" s="275" t="str">
        <f ca="1">IF(TRIM($E66)="-","",$C66)</f>
        <v/>
      </c>
      <c r="M66" s="275">
        <f ca="1">IF(AND(TRIM($E66)&lt;&gt;"-",$H66&gt;$I66),1,0)</f>
        <v>0</v>
      </c>
      <c r="N66" s="275">
        <f t="shared" ca="1" si="6"/>
        <v>0</v>
      </c>
      <c r="O66" s="275" t="str">
        <f ca="1">IF(TRIM($F66)="-","",$D66)</f>
        <v/>
      </c>
      <c r="P66" s="275">
        <f ca="1">IF(AND(TRIM($F66)&lt;&gt;"-",$I66&gt;$H66),1,0)</f>
        <v>0</v>
      </c>
      <c r="Q66" s="282">
        <f ca="1">IF(TRIM($F66)="-",0,$I66-$H66)</f>
        <v>0</v>
      </c>
    </row>
  </sheetData>
  <sheetProtection password="CA1B" sheet="1" formatCells="0" formatColumns="0" formatRows="0"/>
  <mergeCells count="2">
    <mergeCell ref="H2:I2"/>
    <mergeCell ref="H1:I1"/>
  </mergeCells>
  <phoneticPr fontId="0" type="noConversion"/>
  <conditionalFormatting sqref="E3:E66">
    <cfRule type="expression" dxfId="94" priority="1" stopIfTrue="1">
      <formula>IF($H3&gt;$I3,TRUE,FALSE)</formula>
    </cfRule>
  </conditionalFormatting>
  <conditionalFormatting sqref="F3:F66">
    <cfRule type="expression" dxfId="93" priority="2" stopIfTrue="1">
      <formula>IF($I3&gt;$H3,TRUE,FALSE)</formula>
    </cfRule>
  </conditionalFormatting>
  <pageMargins left="0.88" right="0.36" top="0.38" bottom="0.63" header="0.39" footer="0.63"/>
  <pageSetup paperSize="9" scale="47" orientation="portrait" horizontalDpi="300" verticalDpi="300" r:id="rId1"/>
  <headerFooter alignWithMargins="0"/>
  <rowBreaks count="1" manualBreakCount="1">
    <brk id="33" min="4" max="8" man="1"/>
  </rowBreak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List28">
    <tabColor theme="3" tint="-0.249977111117893"/>
    <pageSetUpPr fitToPage="1"/>
  </sheetPr>
  <dimension ref="A1:AI66"/>
  <sheetViews>
    <sheetView view="pageBreakPreview" zoomScaleNormal="100" zoomScaleSheetLayoutView="100" workbookViewId="0">
      <pane xSplit="7" ySplit="2" topLeftCell="H3" activePane="bottomRight" state="frozen"/>
      <selection pane="topRight" activeCell="H3" sqref="H3"/>
      <selection pane="bottomLeft" activeCell="H3" sqref="H3"/>
      <selection pane="bottomRight" activeCell="J18" sqref="J18"/>
    </sheetView>
  </sheetViews>
  <sheetFormatPr defaultColWidth="9" defaultRowHeight="12" x14ac:dyDescent="0.4"/>
  <cols>
    <col min="1" max="1" width="2" hidden="1" customWidth="1"/>
    <col min="2" max="2" width="1.75" hidden="1" customWidth="1"/>
    <col min="3" max="3" width="4.4140625" hidden="1" customWidth="1"/>
    <col min="4" max="4" width="4" hidden="1" customWidth="1"/>
    <col min="5" max="6" width="41.75" customWidth="1"/>
    <col min="7" max="7" width="5.4140625" customWidth="1"/>
    <col min="8" max="9" width="6.4140625" customWidth="1"/>
    <col min="10" max="10" width="26.83203125" customWidth="1"/>
    <col min="11" max="17" width="9" hidden="1" customWidth="1"/>
  </cols>
  <sheetData>
    <row r="1" spans="3:35" ht="30.9" thickBot="1" x14ac:dyDescent="0.45">
      <c r="E1" s="284" t="s">
        <v>1640</v>
      </c>
      <c r="F1" s="277" t="str">
        <f>Start.listina!$K$4</f>
        <v>Turnaj Piráta Morgana</v>
      </c>
      <c r="G1" s="1"/>
      <c r="H1" s="476" t="str">
        <f>Start.listina!$K$3</f>
        <v>28.04.2024</v>
      </c>
      <c r="I1" s="476"/>
      <c r="J1" s="283">
        <f ca="1">INDIRECT(ADDRESS(1,$D$2+2,1,1,"Centrum"))</f>
        <v>0</v>
      </c>
      <c r="K1" t="s">
        <v>1633</v>
      </c>
      <c r="L1" s="1"/>
      <c r="M1" s="1"/>
      <c r="N1" s="1"/>
      <c r="O1" s="1"/>
      <c r="P1" s="1"/>
      <c r="Q1" s="1"/>
      <c r="R1" s="1"/>
      <c r="S1" s="1"/>
      <c r="T1" s="1"/>
      <c r="U1" s="1"/>
      <c r="V1" s="1"/>
      <c r="W1" s="1"/>
      <c r="X1" s="1"/>
      <c r="Y1" s="1"/>
      <c r="Z1" s="1"/>
      <c r="AA1" s="1"/>
      <c r="AB1" s="1"/>
      <c r="AC1" s="1"/>
      <c r="AD1" s="1"/>
      <c r="AE1" s="1"/>
      <c r="AF1" s="1"/>
      <c r="AG1" s="1"/>
      <c r="AH1" s="1"/>
      <c r="AI1" s="1"/>
    </row>
    <row r="2" spans="3:35" ht="42.65" customHeight="1" thickTop="1" thickBot="1" x14ac:dyDescent="0.45">
      <c r="D2" s="243">
        <v>46</v>
      </c>
      <c r="E2" s="8" t="s">
        <v>1634</v>
      </c>
      <c r="F2" s="8" t="s">
        <v>1635</v>
      </c>
      <c r="G2" s="273" t="s">
        <v>1636</v>
      </c>
      <c r="H2" s="478" t="s">
        <v>1637</v>
      </c>
      <c r="I2" s="479"/>
      <c r="J2" s="283">
        <f ca="1">INDIRECT(ADDRESS(1,$D$2+2,1,1,"Centrum"))</f>
        <v>0</v>
      </c>
      <c r="K2" s="279" t="s">
        <v>1638</v>
      </c>
      <c r="L2" s="279" t="s">
        <v>1639</v>
      </c>
      <c r="M2" s="279" t="s">
        <v>1591</v>
      </c>
      <c r="N2" s="280" t="s">
        <v>1596</v>
      </c>
      <c r="O2" s="279" t="s">
        <v>1638</v>
      </c>
      <c r="P2" s="279" t="s">
        <v>1591</v>
      </c>
      <c r="Q2" s="280" t="s">
        <v>1596</v>
      </c>
    </row>
    <row r="3" spans="3:35" ht="21" x14ac:dyDescent="0.4">
      <c r="C3" s="278">
        <f ca="1">IF(ROW()-2&gt;Start.listina!$O$7,"",INDIRECT(ADDRESS(3+(ROW()-3)*2,$D$2,1,1,"Centrum")))</f>
        <v>1</v>
      </c>
      <c r="D3" s="278">
        <f ca="1">IF(ROW()-2&gt;Start.listina!$O$7,"",INDIRECT(ADDRESS(4+(ROW()-3)*2,$D$2,1,1,"Centrum")))</f>
        <v>27</v>
      </c>
      <c r="E3" s="276" t="str">
        <f ca="1">IF(TYPE(VLOOKUP(C3,Centrum!$A$3:$C$130,3,0))&gt;3," - ",VLOOKUP(C3,Centrum!$A$3:$C$130,3,0))</f>
        <v>1 PC Sokol Lipník - Vavrovič ml. Petr</v>
      </c>
      <c r="F3" s="276" t="str">
        <f ca="1">IF(TYPE(VLOOKUP(D3,Centrum!$A$3:$C$130,3,0))&gt;3," - ",VLOOKUP(D3,Centrum!$A$3:$C$130,3,0))</f>
        <v>27 SK Pétanque Řepy - Hladík Jaroslav</v>
      </c>
      <c r="G3" s="439">
        <v>32</v>
      </c>
      <c r="H3" s="272">
        <v>13</v>
      </c>
      <c r="I3" s="274">
        <v>1</v>
      </c>
      <c r="K3" s="275">
        <f t="shared" ref="K3:K65" ca="1" si="0">IF(TRIM($F3)="-","",$D3)</f>
        <v>27</v>
      </c>
      <c r="L3" s="275">
        <f t="shared" ref="L3:L65" ca="1" si="1">IF(TRIM($E3)="-","",$C3)</f>
        <v>1</v>
      </c>
      <c r="M3" s="275">
        <f t="shared" ref="M3:M65" ca="1" si="2">IF(AND(TRIM($E3)&lt;&gt;"-",$H3&gt;$I3),1,0)</f>
        <v>1</v>
      </c>
      <c r="N3" s="275">
        <f ca="1">IF(TRIM($E3)="-",0,$H3-$I3)</f>
        <v>12</v>
      </c>
      <c r="O3" s="275">
        <f t="shared" ref="O3:O65" ca="1" si="3">IF(TRIM($F3)="-","",$D3)</f>
        <v>27</v>
      </c>
      <c r="P3" s="275">
        <f t="shared" ref="P3:P65" ca="1" si="4">IF(AND(TRIM($F3)&lt;&gt;"-",$I3&gt;$H3),1,0)</f>
        <v>0</v>
      </c>
      <c r="Q3" s="281">
        <f t="shared" ref="Q3:Q65" ca="1" si="5">IF(TRIM($F3)="-",0,$I3-$H3)</f>
        <v>-12</v>
      </c>
    </row>
    <row r="4" spans="3:35" ht="21" x14ac:dyDescent="0.4">
      <c r="C4" s="278">
        <f ca="1">IF(ROW()-2&gt;Start.listina!$O$7,"",INDIRECT(ADDRESS(3+(ROW()-3)*2,$D$2,1,1,"Centrum")))</f>
        <v>10</v>
      </c>
      <c r="D4" s="278">
        <f ca="1">IF(ROW()-2&gt;Start.listina!$O$7,"",INDIRECT(ADDRESS(4+(ROW()-3)*2,$D$2,1,1,"Centrum")))</f>
        <v>52</v>
      </c>
      <c r="E4" s="276" t="str">
        <f ca="1">IF(TYPE(VLOOKUP(C4,Centrum!$A$3:$C$130,3,0))&gt;3," - ",VLOOKUP(C4,Centrum!$A$3:$C$130,3,0))</f>
        <v>10 JAPKO - Stejskal Václav</v>
      </c>
      <c r="F4" s="276" t="str">
        <f ca="1">IF(TYPE(VLOOKUP(D4,Centrum!$A$3:$C$130,3,0))&gt;3," - ",VLOOKUP(D4,Centrum!$A$3:$C$130,3,0))</f>
        <v xml:space="preserve">52   - Jesper R, Dánsko  </v>
      </c>
      <c r="G4" s="439">
        <v>31</v>
      </c>
      <c r="H4" s="272">
        <v>13</v>
      </c>
      <c r="I4" s="274">
        <v>11</v>
      </c>
      <c r="K4" s="275">
        <f t="shared" ca="1" si="0"/>
        <v>52</v>
      </c>
      <c r="L4" s="275">
        <f t="shared" ca="1" si="1"/>
        <v>10</v>
      </c>
      <c r="M4" s="275">
        <f t="shared" ca="1" si="2"/>
        <v>1</v>
      </c>
      <c r="N4" s="275">
        <f t="shared" ref="N4:N66" ca="1" si="6">IF(TRIM($E4)="-",0,$H4-$I4)</f>
        <v>2</v>
      </c>
      <c r="O4" s="275">
        <f t="shared" ca="1" si="3"/>
        <v>52</v>
      </c>
      <c r="P4" s="275">
        <f t="shared" ca="1" si="4"/>
        <v>0</v>
      </c>
      <c r="Q4" s="282">
        <f t="shared" ca="1" si="5"/>
        <v>-2</v>
      </c>
    </row>
    <row r="5" spans="3:35" ht="21" x14ac:dyDescent="0.4">
      <c r="C5" s="278">
        <f ca="1">IF(ROW()-2&gt;Start.listina!$O$7,"",INDIRECT(ADDRESS(3+(ROW()-3)*2,$D$2,1,1,"Centrum")))</f>
        <v>18</v>
      </c>
      <c r="D5" s="278">
        <f ca="1">IF(ROW()-2&gt;Start.listina!$O$7,"",INDIRECT(ADDRESS(4+(ROW()-3)*2,$D$2,1,1,"Centrum")))</f>
        <v>57</v>
      </c>
      <c r="E5" s="276" t="str">
        <f ca="1">IF(TYPE(VLOOKUP(C5,Centrum!$A$3:$C$130,3,0))&gt;3," - ",VLOOKUP(C5,Centrum!$A$3:$C$130,3,0))</f>
        <v>18 Petank Club Praha - Kašparová Barbora</v>
      </c>
      <c r="F5" s="276" t="str">
        <f ca="1">IF(TYPE(VLOOKUP(D5,Centrum!$A$3:$C$130,3,0))&gt;3," - ",VLOOKUP(D5,Centrum!$A$3:$C$130,3,0))</f>
        <v xml:space="preserve">57   - Bo, Dánsko  </v>
      </c>
      <c r="G5" s="439">
        <v>30</v>
      </c>
      <c r="H5" s="272">
        <v>9</v>
      </c>
      <c r="I5" s="274">
        <v>13</v>
      </c>
      <c r="K5" s="275">
        <f t="shared" ca="1" si="0"/>
        <v>57</v>
      </c>
      <c r="L5" s="275">
        <f t="shared" ca="1" si="1"/>
        <v>18</v>
      </c>
      <c r="M5" s="275">
        <f t="shared" ca="1" si="2"/>
        <v>0</v>
      </c>
      <c r="N5" s="275">
        <f t="shared" ca="1" si="6"/>
        <v>-4</v>
      </c>
      <c r="O5" s="275">
        <f t="shared" ca="1" si="3"/>
        <v>57</v>
      </c>
      <c r="P5" s="275">
        <f t="shared" ca="1" si="4"/>
        <v>1</v>
      </c>
      <c r="Q5" s="282">
        <f t="shared" ca="1" si="5"/>
        <v>4</v>
      </c>
    </row>
    <row r="6" spans="3:35" ht="21" x14ac:dyDescent="0.4">
      <c r="C6" s="278">
        <f ca="1">IF(ROW()-2&gt;Start.listina!$O$7,"",INDIRECT(ADDRESS(3+(ROW()-3)*2,$D$2,1,1,"Centrum")))</f>
        <v>28</v>
      </c>
      <c r="D6" s="278">
        <f ca="1">IF(ROW()-2&gt;Start.listina!$O$7,"",INDIRECT(ADDRESS(4+(ROW()-3)*2,$D$2,1,1,"Centrum")))</f>
        <v>22</v>
      </c>
      <c r="E6" s="276" t="str">
        <f ca="1">IF(TYPE(VLOOKUP(C6,Centrum!$A$3:$C$130,3,0))&gt;3," - ",VLOOKUP(C6,Centrum!$A$3:$C$130,3,0))</f>
        <v>28 PC Sokol PP Hr. Králové - Hochmann Lukáš</v>
      </c>
      <c r="F6" s="276" t="str">
        <f ca="1">IF(TYPE(VLOOKUP(D6,Centrum!$A$3:$C$130,3,0))&gt;3," - ",VLOOKUP(D6,Centrum!$A$3:$C$130,3,0))</f>
        <v>22 SKP Kulová osma - Pilát Petr</v>
      </c>
      <c r="G6" s="439">
        <v>29</v>
      </c>
      <c r="H6" s="272">
        <v>13</v>
      </c>
      <c r="I6" s="274">
        <v>12</v>
      </c>
      <c r="K6" s="275">
        <f t="shared" ca="1" si="0"/>
        <v>22</v>
      </c>
      <c r="L6" s="275">
        <f t="shared" ca="1" si="1"/>
        <v>28</v>
      </c>
      <c r="M6" s="275">
        <f t="shared" ca="1" si="2"/>
        <v>1</v>
      </c>
      <c r="N6" s="275">
        <f t="shared" ca="1" si="6"/>
        <v>1</v>
      </c>
      <c r="O6" s="275">
        <f t="shared" ca="1" si="3"/>
        <v>22</v>
      </c>
      <c r="P6" s="275">
        <f t="shared" ca="1" si="4"/>
        <v>0</v>
      </c>
      <c r="Q6" s="282">
        <f t="shared" ca="1" si="5"/>
        <v>-1</v>
      </c>
    </row>
    <row r="7" spans="3:35" ht="21" x14ac:dyDescent="0.4">
      <c r="C7" s="278">
        <f ca="1">IF(ROW()-2&gt;Start.listina!$O$7,"",INDIRECT(ADDRESS(3+(ROW()-3)*2,$D$2,1,1,"Centrum")))</f>
        <v>21</v>
      </c>
      <c r="D7" s="278">
        <f ca="1">IF(ROW()-2&gt;Start.listina!$O$7,"",INDIRECT(ADDRESS(4+(ROW()-3)*2,$D$2,1,1,"Centrum")))</f>
        <v>53</v>
      </c>
      <c r="E7" s="276" t="str">
        <f ca="1">IF(TYPE(VLOOKUP(C7,Centrum!$A$3:$C$130,3,0))&gt;3," - ",VLOOKUP(C7,Centrum!$A$3:$C$130,3,0))</f>
        <v>21 SK Pétanque Řepy - Pastorek Jaroslav</v>
      </c>
      <c r="F7" s="276" t="str">
        <f ca="1">IF(TYPE(VLOOKUP(D7,Centrum!$A$3:$C$130,3,0))&gt;3," - ",VLOOKUP(D7,Centrum!$A$3:$C$130,3,0))</f>
        <v xml:space="preserve">53   - Lars Eriksen, Dánsko  </v>
      </c>
      <c r="G7" s="439">
        <v>28</v>
      </c>
      <c r="H7" s="272">
        <v>13</v>
      </c>
      <c r="I7" s="274">
        <v>10</v>
      </c>
      <c r="K7" s="275">
        <f t="shared" ca="1" si="0"/>
        <v>53</v>
      </c>
      <c r="L7" s="275">
        <f t="shared" ca="1" si="1"/>
        <v>21</v>
      </c>
      <c r="M7" s="275">
        <f t="shared" ca="1" si="2"/>
        <v>1</v>
      </c>
      <c r="N7" s="275">
        <f t="shared" ca="1" si="6"/>
        <v>3</v>
      </c>
      <c r="O7" s="275">
        <f t="shared" ca="1" si="3"/>
        <v>53</v>
      </c>
      <c r="P7" s="275">
        <f t="shared" ca="1" si="4"/>
        <v>0</v>
      </c>
      <c r="Q7" s="282">
        <f t="shared" ca="1" si="5"/>
        <v>-3</v>
      </c>
    </row>
    <row r="8" spans="3:35" ht="21" x14ac:dyDescent="0.4">
      <c r="C8" s="278">
        <f ca="1">IF(ROW()-2&gt;Start.listina!$O$7,"",INDIRECT(ADDRESS(3+(ROW()-3)*2,$D$2,1,1,"Centrum")))</f>
        <v>15</v>
      </c>
      <c r="D8" s="278">
        <f ca="1">IF(ROW()-2&gt;Start.listina!$O$7,"",INDIRECT(ADDRESS(4+(ROW()-3)*2,$D$2,1,1,"Centrum")))</f>
        <v>34</v>
      </c>
      <c r="E8" s="276" t="str">
        <f ca="1">IF(TYPE(VLOOKUP(C8,Centrum!$A$3:$C$130,3,0))&gt;3," - ",VLOOKUP(C8,Centrum!$A$3:$C$130,3,0))</f>
        <v>15 Sokol Kostomlaty - Vlach Jaromír</v>
      </c>
      <c r="F8" s="276" t="str">
        <f ca="1">IF(TYPE(VLOOKUP(D8,Centrum!$A$3:$C$130,3,0))&gt;3," - ",VLOOKUP(D8,Centrum!$A$3:$C$130,3,0))</f>
        <v>34 1. KPK Vrchlabí - Šebek Viktor</v>
      </c>
      <c r="G8" s="439">
        <v>27</v>
      </c>
      <c r="H8" s="272">
        <v>8</v>
      </c>
      <c r="I8" s="274">
        <v>13</v>
      </c>
      <c r="K8" s="275">
        <f t="shared" ca="1" si="0"/>
        <v>34</v>
      </c>
      <c r="L8" s="275">
        <f t="shared" ca="1" si="1"/>
        <v>15</v>
      </c>
      <c r="M8" s="275">
        <f t="shared" ca="1" si="2"/>
        <v>0</v>
      </c>
      <c r="N8" s="275">
        <f t="shared" ca="1" si="6"/>
        <v>-5</v>
      </c>
      <c r="O8" s="275">
        <f t="shared" ca="1" si="3"/>
        <v>34</v>
      </c>
      <c r="P8" s="275">
        <f t="shared" ca="1" si="4"/>
        <v>1</v>
      </c>
      <c r="Q8" s="282">
        <f t="shared" ca="1" si="5"/>
        <v>5</v>
      </c>
    </row>
    <row r="9" spans="3:35" ht="21" x14ac:dyDescent="0.4">
      <c r="C9" s="278">
        <f ca="1">IF(ROW()-2&gt;Start.listina!$O$7,"",INDIRECT(ADDRESS(3+(ROW()-3)*2,$D$2,1,1,"Centrum")))</f>
        <v>44</v>
      </c>
      <c r="D9" s="278">
        <f ca="1">IF(ROW()-2&gt;Start.listina!$O$7,"",INDIRECT(ADDRESS(4+(ROW()-3)*2,$D$2,1,1,"Centrum")))</f>
        <v>20</v>
      </c>
      <c r="E9" s="276" t="str">
        <f ca="1">IF(TYPE(VLOOKUP(C9,Centrum!$A$3:$C$130,3,0))&gt;3," - ",VLOOKUP(C9,Centrum!$A$3:$C$130,3,0))</f>
        <v xml:space="preserve">44   - michael dánsko  </v>
      </c>
      <c r="F9" s="276" t="str">
        <f ca="1">IF(TYPE(VLOOKUP(D9,Centrum!$A$3:$C$130,3,0))&gt;3," - ",VLOOKUP(D9,Centrum!$A$3:$C$130,3,0))</f>
        <v>20 HRODE KRUMSÍN - Marcián Vladimír</v>
      </c>
      <c r="G9" s="439">
        <v>26</v>
      </c>
      <c r="H9" s="272">
        <v>13</v>
      </c>
      <c r="I9" s="274">
        <v>7</v>
      </c>
      <c r="K9" s="275">
        <f t="shared" ca="1" si="0"/>
        <v>20</v>
      </c>
      <c r="L9" s="275">
        <f t="shared" ca="1" si="1"/>
        <v>44</v>
      </c>
      <c r="M9" s="275">
        <f t="shared" ca="1" si="2"/>
        <v>1</v>
      </c>
      <c r="N9" s="275">
        <f t="shared" ca="1" si="6"/>
        <v>6</v>
      </c>
      <c r="O9" s="275">
        <f t="shared" ca="1" si="3"/>
        <v>20</v>
      </c>
      <c r="P9" s="275">
        <f t="shared" ca="1" si="4"/>
        <v>0</v>
      </c>
      <c r="Q9" s="282">
        <f t="shared" ca="1" si="5"/>
        <v>-6</v>
      </c>
    </row>
    <row r="10" spans="3:35" ht="21" x14ac:dyDescent="0.4">
      <c r="C10" s="278">
        <f ca="1">IF(ROW()-2&gt;Start.listina!$O$7,"",INDIRECT(ADDRESS(3+(ROW()-3)*2,$D$2,1,1,"Centrum")))</f>
        <v>7</v>
      </c>
      <c r="D10" s="278">
        <f ca="1">IF(ROW()-2&gt;Start.listina!$O$7,"",INDIRECT(ADDRESS(4+(ROW()-3)*2,$D$2,1,1,"Centrum")))</f>
        <v>13</v>
      </c>
      <c r="E10" s="276" t="str">
        <f ca="1">IF(TYPE(VLOOKUP(C10,Centrum!$A$3:$C$130,3,0))&gt;3," - ",VLOOKUP(C10,Centrum!$A$3:$C$130,3,0))</f>
        <v>7 1. KPK Vrchlabí - Semeniv Maryana Khrystyna</v>
      </c>
      <c r="F10" s="276" t="str">
        <f ca="1">IF(TYPE(VLOOKUP(D10,Centrum!$A$3:$C$130,3,0))&gt;3," - ",VLOOKUP(D10,Centrum!$A$3:$C$130,3,0))</f>
        <v>13 PC Sokol Lipník - Froňková Blanka</v>
      </c>
      <c r="G10" s="439">
        <v>25</v>
      </c>
      <c r="H10" s="272">
        <v>11</v>
      </c>
      <c r="I10" s="274">
        <v>8</v>
      </c>
      <c r="K10" s="275">
        <f t="shared" ca="1" si="0"/>
        <v>13</v>
      </c>
      <c r="L10" s="275">
        <f t="shared" ca="1" si="1"/>
        <v>7</v>
      </c>
      <c r="M10" s="275">
        <f t="shared" ca="1" si="2"/>
        <v>1</v>
      </c>
      <c r="N10" s="275">
        <f t="shared" ca="1" si="6"/>
        <v>3</v>
      </c>
      <c r="O10" s="275">
        <f t="shared" ca="1" si="3"/>
        <v>13</v>
      </c>
      <c r="P10" s="275">
        <f t="shared" ca="1" si="4"/>
        <v>0</v>
      </c>
      <c r="Q10" s="282">
        <f t="shared" ca="1" si="5"/>
        <v>-3</v>
      </c>
    </row>
    <row r="11" spans="3:35" ht="21" x14ac:dyDescent="0.4">
      <c r="C11" s="278">
        <f ca="1">IF(ROW()-2&gt;Start.listina!$O$7,"",INDIRECT(ADDRESS(3+(ROW()-3)*2,$D$2,1,1,"Centrum")))</f>
        <v>8</v>
      </c>
      <c r="D11" s="278">
        <f ca="1">IF(ROW()-2&gt;Start.listina!$O$7,"",INDIRECT(ADDRESS(4+(ROW()-3)*2,$D$2,1,1,"Centrum")))</f>
        <v>2</v>
      </c>
      <c r="E11" s="276" t="str">
        <f ca="1">IF(TYPE(VLOOKUP(C11,Centrum!$A$3:$C$130,3,0))&gt;3," - ",VLOOKUP(C11,Centrum!$A$3:$C$130,3,0))</f>
        <v>8 PC Damníkov - Brandes Michael</v>
      </c>
      <c r="F11" s="276" t="str">
        <f ca="1">IF(TYPE(VLOOKUP(D11,Centrum!$A$3:$C$130,3,0))&gt;3," - ",VLOOKUP(D11,Centrum!$A$3:$C$130,3,0))</f>
        <v>2 PLUK Jablonec - Lukáš Vojtěch</v>
      </c>
      <c r="G11" s="439">
        <v>24</v>
      </c>
      <c r="H11" s="272">
        <v>6</v>
      </c>
      <c r="I11" s="274">
        <v>13</v>
      </c>
      <c r="K11" s="275">
        <f t="shared" ca="1" si="0"/>
        <v>2</v>
      </c>
      <c r="L11" s="275">
        <f t="shared" ca="1" si="1"/>
        <v>8</v>
      </c>
      <c r="M11" s="275">
        <f t="shared" ca="1" si="2"/>
        <v>0</v>
      </c>
      <c r="N11" s="275">
        <f t="shared" ca="1" si="6"/>
        <v>-7</v>
      </c>
      <c r="O11" s="275">
        <f t="shared" ca="1" si="3"/>
        <v>2</v>
      </c>
      <c r="P11" s="275">
        <f t="shared" ca="1" si="4"/>
        <v>1</v>
      </c>
      <c r="Q11" s="282">
        <f t="shared" ca="1" si="5"/>
        <v>7</v>
      </c>
    </row>
    <row r="12" spans="3:35" ht="21" x14ac:dyDescent="0.4">
      <c r="C12" s="278">
        <f ca="1">IF(ROW()-2&gt;Start.listina!$O$7,"",INDIRECT(ADDRESS(3+(ROW()-3)*2,$D$2,1,1,"Centrum")))</f>
        <v>23</v>
      </c>
      <c r="D12" s="278">
        <f ca="1">IF(ROW()-2&gt;Start.listina!$O$7,"",INDIRECT(ADDRESS(4+(ROW()-3)*2,$D$2,1,1,"Centrum")))</f>
        <v>47</v>
      </c>
      <c r="E12" s="276" t="str">
        <f ca="1">IF(TYPE(VLOOKUP(C12,Centrum!$A$3:$C$130,3,0))&gt;3," - ",VLOOKUP(C12,Centrum!$A$3:$C$130,3,0))</f>
        <v>23 PC Kolová - Horáček Jindřich</v>
      </c>
      <c r="F12" s="276" t="str">
        <f ca="1">IF(TYPE(VLOOKUP(D12,Centrum!$A$3:$C$130,3,0))&gt;3," - ",VLOOKUP(D12,Centrum!$A$3:$C$130,3,0))</f>
        <v xml:space="preserve">47   - Brian, Dánsko  </v>
      </c>
      <c r="G12" s="439">
        <v>23</v>
      </c>
      <c r="H12" s="272">
        <v>13</v>
      </c>
      <c r="I12" s="274">
        <v>1</v>
      </c>
      <c r="K12" s="275">
        <f t="shared" ca="1" si="0"/>
        <v>47</v>
      </c>
      <c r="L12" s="275">
        <f t="shared" ca="1" si="1"/>
        <v>23</v>
      </c>
      <c r="M12" s="275">
        <f t="shared" ca="1" si="2"/>
        <v>1</v>
      </c>
      <c r="N12" s="275">
        <f t="shared" ca="1" si="6"/>
        <v>12</v>
      </c>
      <c r="O12" s="275">
        <f t="shared" ca="1" si="3"/>
        <v>47</v>
      </c>
      <c r="P12" s="275">
        <f t="shared" ca="1" si="4"/>
        <v>0</v>
      </c>
      <c r="Q12" s="282">
        <f t="shared" ca="1" si="5"/>
        <v>-12</v>
      </c>
    </row>
    <row r="13" spans="3:35" ht="21" x14ac:dyDescent="0.4">
      <c r="C13" s="278">
        <f ca="1">IF(ROW()-2&gt;Start.listina!$O$7,"",INDIRECT(ADDRESS(3+(ROW()-3)*2,$D$2,1,1,"Centrum")))</f>
        <v>9</v>
      </c>
      <c r="D13" s="278">
        <f ca="1">IF(ROW()-2&gt;Start.listina!$O$7,"",INDIRECT(ADDRESS(4+(ROW()-3)*2,$D$2,1,1,"Centrum")))</f>
        <v>14</v>
      </c>
      <c r="E13" s="276" t="str">
        <f ca="1">IF(TYPE(VLOOKUP(C13,Centrum!$A$3:$C$130,3,0))&gt;3," - ",VLOOKUP(C13,Centrum!$A$3:$C$130,3,0))</f>
        <v>9 UBU Únětice - Palas Pavel</v>
      </c>
      <c r="F13" s="276" t="str">
        <f ca="1">IF(TYPE(VLOOKUP(D13,Centrum!$A$3:$C$130,3,0))&gt;3," - ",VLOOKUP(D13,Centrum!$A$3:$C$130,3,0))</f>
        <v>14 PC Sokol Lipník - Morávek Petr</v>
      </c>
      <c r="G13" s="439">
        <v>22</v>
      </c>
      <c r="H13" s="272">
        <v>11</v>
      </c>
      <c r="I13" s="274">
        <v>13</v>
      </c>
      <c r="K13" s="275">
        <f t="shared" ca="1" si="0"/>
        <v>14</v>
      </c>
      <c r="L13" s="275">
        <f t="shared" ca="1" si="1"/>
        <v>9</v>
      </c>
      <c r="M13" s="275">
        <f t="shared" ca="1" si="2"/>
        <v>0</v>
      </c>
      <c r="N13" s="275">
        <f t="shared" ca="1" si="6"/>
        <v>-2</v>
      </c>
      <c r="O13" s="275">
        <f t="shared" ca="1" si="3"/>
        <v>14</v>
      </c>
      <c r="P13" s="275">
        <f t="shared" ca="1" si="4"/>
        <v>1</v>
      </c>
      <c r="Q13" s="282">
        <f t="shared" ca="1" si="5"/>
        <v>2</v>
      </c>
    </row>
    <row r="14" spans="3:35" ht="21" x14ac:dyDescent="0.4">
      <c r="C14" s="278">
        <f ca="1">IF(ROW()-2&gt;Start.listina!$O$7,"",INDIRECT(ADDRESS(3+(ROW()-3)*2,$D$2,1,1,"Centrum")))</f>
        <v>4</v>
      </c>
      <c r="D14" s="278">
        <f ca="1">IF(ROW()-2&gt;Start.listina!$O$7,"",INDIRECT(ADDRESS(4+(ROW()-3)*2,$D$2,1,1,"Centrum")))</f>
        <v>3</v>
      </c>
      <c r="E14" s="276" t="str">
        <f ca="1">IF(TYPE(VLOOKUP(C14,Centrum!$A$3:$C$130,3,0))&gt;3," - ",VLOOKUP(C14,Centrum!$A$3:$C$130,3,0))</f>
        <v>4 1. KPK Vrchlabí - Srnský Lubomír</v>
      </c>
      <c r="F14" s="276" t="str">
        <f ca="1">IF(TYPE(VLOOKUP(D14,Centrum!$A$3:$C$130,3,0))&gt;3," - ",VLOOKUP(D14,Centrum!$A$3:$C$130,3,0))</f>
        <v>3 PC Sokol Lipník - Froňková Kateřina</v>
      </c>
      <c r="G14" s="439">
        <v>21</v>
      </c>
      <c r="H14" s="272">
        <v>13</v>
      </c>
      <c r="I14" s="274">
        <v>3</v>
      </c>
      <c r="K14" s="275">
        <f t="shared" ca="1" si="0"/>
        <v>3</v>
      </c>
      <c r="L14" s="275">
        <f t="shared" ca="1" si="1"/>
        <v>4</v>
      </c>
      <c r="M14" s="275">
        <f t="shared" ca="1" si="2"/>
        <v>1</v>
      </c>
      <c r="N14" s="275">
        <f t="shared" ca="1" si="6"/>
        <v>10</v>
      </c>
      <c r="O14" s="275">
        <f t="shared" ca="1" si="3"/>
        <v>3</v>
      </c>
      <c r="P14" s="275">
        <f t="shared" ca="1" si="4"/>
        <v>0</v>
      </c>
      <c r="Q14" s="282">
        <f t="shared" ca="1" si="5"/>
        <v>-10</v>
      </c>
    </row>
    <row r="15" spans="3:35" ht="21" x14ac:dyDescent="0.4">
      <c r="C15" s="278">
        <f ca="1">IF(ROW()-2&gt;Start.listina!$O$7,"",INDIRECT(ADDRESS(3+(ROW()-3)*2,$D$2,1,1,"Centrum")))</f>
        <v>39</v>
      </c>
      <c r="D15" s="278">
        <f ca="1">IF(ROW()-2&gt;Start.listina!$O$7,"",INDIRECT(ADDRESS(4+(ROW()-3)*2,$D$2,1,1,"Centrum")))</f>
        <v>5</v>
      </c>
      <c r="E15" s="276" t="str">
        <f ca="1">IF(TYPE(VLOOKUP(C15,Centrum!$A$3:$C$130,3,0))&gt;3," - ",VLOOKUP(C15,Centrum!$A$3:$C$130,3,0))</f>
        <v>39 PC Přítkov - Šnejdr Josef</v>
      </c>
      <c r="F15" s="276" t="str">
        <f ca="1">IF(TYPE(VLOOKUP(D15,Centrum!$A$3:$C$130,3,0))&gt;3," - ",VLOOKUP(D15,Centrum!$A$3:$C$130,3,0))</f>
        <v>5 CdP Loděnice - Dlouhá Ivana</v>
      </c>
      <c r="G15" s="439">
        <v>20</v>
      </c>
      <c r="H15" s="272">
        <v>8</v>
      </c>
      <c r="I15" s="274">
        <v>13</v>
      </c>
      <c r="K15" s="275">
        <f t="shared" ca="1" si="0"/>
        <v>5</v>
      </c>
      <c r="L15" s="275">
        <f t="shared" ca="1" si="1"/>
        <v>39</v>
      </c>
      <c r="M15" s="275">
        <f t="shared" ca="1" si="2"/>
        <v>0</v>
      </c>
      <c r="N15" s="275">
        <f t="shared" ca="1" si="6"/>
        <v>-5</v>
      </c>
      <c r="O15" s="275">
        <f t="shared" ca="1" si="3"/>
        <v>5</v>
      </c>
      <c r="P15" s="275">
        <f t="shared" ca="1" si="4"/>
        <v>1</v>
      </c>
      <c r="Q15" s="282">
        <f t="shared" ca="1" si="5"/>
        <v>5</v>
      </c>
    </row>
    <row r="16" spans="3:35" ht="21" x14ac:dyDescent="0.4">
      <c r="C16" s="278">
        <f ca="1">IF(ROW()-2&gt;Start.listina!$O$7,"",INDIRECT(ADDRESS(3+(ROW()-3)*2,$D$2,1,1,"Centrum")))</f>
        <v>17</v>
      </c>
      <c r="D16" s="278">
        <f ca="1">IF(ROW()-2&gt;Start.listina!$O$7,"",INDIRECT(ADDRESS(4+(ROW()-3)*2,$D$2,1,1,"Centrum")))</f>
        <v>12</v>
      </c>
      <c r="E16" s="276" t="str">
        <f ca="1">IF(TYPE(VLOOKUP(C16,Centrum!$A$3:$C$130,3,0))&gt;3," - ",VLOOKUP(C16,Centrum!$A$3:$C$130,3,0))</f>
        <v>17 PC Damníkov - Brandes Valter</v>
      </c>
      <c r="F16" s="276" t="str">
        <f ca="1">IF(TYPE(VLOOKUP(D16,Centrum!$A$3:$C$130,3,0))&gt;3," - ",VLOOKUP(D16,Centrum!$A$3:$C$130,3,0))</f>
        <v>12 PC Mimo Done - Heller Jan</v>
      </c>
      <c r="G16" s="439">
        <v>19</v>
      </c>
      <c r="H16" s="272">
        <v>5</v>
      </c>
      <c r="I16" s="274">
        <v>13</v>
      </c>
      <c r="K16" s="275">
        <f t="shared" ca="1" si="0"/>
        <v>12</v>
      </c>
      <c r="L16" s="275">
        <f t="shared" ca="1" si="1"/>
        <v>17</v>
      </c>
      <c r="M16" s="275">
        <f t="shared" ca="1" si="2"/>
        <v>0</v>
      </c>
      <c r="N16" s="275">
        <f t="shared" ca="1" si="6"/>
        <v>-8</v>
      </c>
      <c r="O16" s="275">
        <f t="shared" ca="1" si="3"/>
        <v>12</v>
      </c>
      <c r="P16" s="275">
        <f t="shared" ca="1" si="4"/>
        <v>1</v>
      </c>
      <c r="Q16" s="282">
        <f t="shared" ca="1" si="5"/>
        <v>8</v>
      </c>
    </row>
    <row r="17" spans="3:17" ht="21" x14ac:dyDescent="0.4">
      <c r="C17" s="278">
        <f ca="1">IF(ROW()-2&gt;Start.listina!$O$7,"",INDIRECT(ADDRESS(3+(ROW()-3)*2,$D$2,1,1,"Centrum")))</f>
        <v>54</v>
      </c>
      <c r="D17" s="278">
        <f ca="1">IF(ROW()-2&gt;Start.listina!$O$7,"",INDIRECT(ADDRESS(4+(ROW()-3)*2,$D$2,1,1,"Centrum")))</f>
        <v>33</v>
      </c>
      <c r="E17" s="276" t="str">
        <f ca="1">IF(TYPE(VLOOKUP(C17,Centrum!$A$3:$C$130,3,0))&gt;3," - ",VLOOKUP(C17,Centrum!$A$3:$C$130,3,0))</f>
        <v xml:space="preserve">54   - Schwede Detlef, Chemnitz, Německo  </v>
      </c>
      <c r="F17" s="276" t="str">
        <f ca="1">IF(TYPE(VLOOKUP(D17,Centrum!$A$3:$C$130,3,0))&gt;3," - ",VLOOKUP(D17,Centrum!$A$3:$C$130,3,0))</f>
        <v>33 SK Pétanque Řepy - Müllerová Jiřina</v>
      </c>
      <c r="G17" s="439">
        <v>18</v>
      </c>
      <c r="H17" s="272">
        <v>13</v>
      </c>
      <c r="I17" s="274">
        <v>8</v>
      </c>
      <c r="K17" s="275">
        <f t="shared" ca="1" si="0"/>
        <v>33</v>
      </c>
      <c r="L17" s="275">
        <f t="shared" ca="1" si="1"/>
        <v>54</v>
      </c>
      <c r="M17" s="275">
        <f t="shared" ca="1" si="2"/>
        <v>1</v>
      </c>
      <c r="N17" s="275">
        <f t="shared" ca="1" si="6"/>
        <v>5</v>
      </c>
      <c r="O17" s="275">
        <f t="shared" ca="1" si="3"/>
        <v>33</v>
      </c>
      <c r="P17" s="275">
        <f t="shared" ca="1" si="4"/>
        <v>0</v>
      </c>
      <c r="Q17" s="282">
        <f t="shared" ca="1" si="5"/>
        <v>-5</v>
      </c>
    </row>
    <row r="18" spans="3:17" ht="21" x14ac:dyDescent="0.4">
      <c r="C18" s="278">
        <f ca="1">IF(ROW()-2&gt;Start.listina!$O$7,"",INDIRECT(ADDRESS(3+(ROW()-3)*2,$D$2,1,1,"Centrum")))</f>
        <v>29</v>
      </c>
      <c r="D18" s="278">
        <f ca="1">IF(ROW()-2&gt;Start.listina!$O$7,"",INDIRECT(ADDRESS(4+(ROW()-3)*2,$D$2,1,1,"Centrum")))</f>
        <v>31</v>
      </c>
      <c r="E18" s="276" t="str">
        <f ca="1">IF(TYPE(VLOOKUP(C18,Centrum!$A$3:$C$130,3,0))&gt;3," - ",VLOOKUP(C18,Centrum!$A$3:$C$130,3,0))</f>
        <v>29 PC Mimo Done - Zikmunda Martin</v>
      </c>
      <c r="F18" s="276" t="str">
        <f ca="1">IF(TYPE(VLOOKUP(D18,Centrum!$A$3:$C$130,3,0))&gt;3," - ",VLOOKUP(D18,Centrum!$A$3:$C$130,3,0))</f>
        <v>31 SK Pétanque Řepy - Holoubek Pavel</v>
      </c>
      <c r="G18" s="439">
        <v>17</v>
      </c>
      <c r="H18" s="272">
        <v>13</v>
      </c>
      <c r="I18" s="274">
        <v>4</v>
      </c>
      <c r="K18" s="275">
        <f t="shared" ca="1" si="0"/>
        <v>31</v>
      </c>
      <c r="L18" s="275">
        <f t="shared" ca="1" si="1"/>
        <v>29</v>
      </c>
      <c r="M18" s="275">
        <f t="shared" ca="1" si="2"/>
        <v>1</v>
      </c>
      <c r="N18" s="275">
        <f t="shared" ca="1" si="6"/>
        <v>9</v>
      </c>
      <c r="O18" s="275">
        <f t="shared" ca="1" si="3"/>
        <v>31</v>
      </c>
      <c r="P18" s="275">
        <f t="shared" ca="1" si="4"/>
        <v>0</v>
      </c>
      <c r="Q18" s="282">
        <f t="shared" ca="1" si="5"/>
        <v>-9</v>
      </c>
    </row>
    <row r="19" spans="3:17" ht="21" x14ac:dyDescent="0.4">
      <c r="C19" s="278">
        <f ca="1">IF(ROW()-2&gt;Start.listina!$O$7,"",INDIRECT(ADDRESS(3+(ROW()-3)*2,$D$2,1,1,"Centrum")))</f>
        <v>6</v>
      </c>
      <c r="D19" s="278">
        <f ca="1">IF(ROW()-2&gt;Start.listina!$O$7,"",INDIRECT(ADDRESS(4+(ROW()-3)*2,$D$2,1,1,"Centrum")))</f>
        <v>36</v>
      </c>
      <c r="E19" s="276" t="str">
        <f ca="1">IF(TYPE(VLOOKUP(C19,Centrum!$A$3:$C$130,3,0))&gt;3," - ",VLOOKUP(C19,Centrum!$A$3:$C$130,3,0))</f>
        <v>6 CdP Loděnice - Kamaryt Josef</v>
      </c>
      <c r="F19" s="276" t="str">
        <f ca="1">IF(TYPE(VLOOKUP(D19,Centrum!$A$3:$C$130,3,0))&gt;3," - ",VLOOKUP(D19,Centrum!$A$3:$C$130,3,0))</f>
        <v>36 FRAPECO - Ondryáš Jiří</v>
      </c>
      <c r="G19" s="439">
        <v>16</v>
      </c>
      <c r="H19" s="272">
        <v>6</v>
      </c>
      <c r="I19" s="274">
        <v>13</v>
      </c>
      <c r="K19" s="275">
        <f t="shared" ca="1" si="0"/>
        <v>36</v>
      </c>
      <c r="L19" s="275">
        <f t="shared" ca="1" si="1"/>
        <v>6</v>
      </c>
      <c r="M19" s="275">
        <f t="shared" ca="1" si="2"/>
        <v>0</v>
      </c>
      <c r="N19" s="275">
        <f t="shared" ca="1" si="6"/>
        <v>-7</v>
      </c>
      <c r="O19" s="275">
        <f t="shared" ca="1" si="3"/>
        <v>36</v>
      </c>
      <c r="P19" s="275">
        <f t="shared" ca="1" si="4"/>
        <v>1</v>
      </c>
      <c r="Q19" s="282">
        <f t="shared" ca="1" si="5"/>
        <v>7</v>
      </c>
    </row>
    <row r="20" spans="3:17" ht="21" x14ac:dyDescent="0.4">
      <c r="C20" s="278">
        <f ca="1">IF(ROW()-2&gt;Start.listina!$O$7,"",INDIRECT(ADDRESS(3+(ROW()-3)*2,$D$2,1,1,"Centrum")))</f>
        <v>49</v>
      </c>
      <c r="D20" s="278">
        <f ca="1">IF(ROW()-2&gt;Start.listina!$O$7,"",INDIRECT(ADDRESS(4+(ROW()-3)*2,$D$2,1,1,"Centrum")))</f>
        <v>50</v>
      </c>
      <c r="E20" s="276" t="str">
        <f ca="1">IF(TYPE(VLOOKUP(C20,Centrum!$A$3:$C$130,3,0))&gt;3," - ",VLOOKUP(C20,Centrum!$A$3:$C$130,3,0))</f>
        <v xml:space="preserve">49   - František Kožený  </v>
      </c>
      <c r="F20" s="276" t="str">
        <f ca="1">IF(TYPE(VLOOKUP(D20,Centrum!$A$3:$C$130,3,0))&gt;3," - ",VLOOKUP(D20,Centrum!$A$3:$C$130,3,0))</f>
        <v xml:space="preserve">50   - Jesper K, Dánsko  </v>
      </c>
      <c r="G20" s="439">
        <v>15</v>
      </c>
      <c r="H20" s="272">
        <v>13</v>
      </c>
      <c r="I20" s="274">
        <v>4</v>
      </c>
      <c r="K20" s="275">
        <f t="shared" ca="1" si="0"/>
        <v>50</v>
      </c>
      <c r="L20" s="275">
        <f t="shared" ca="1" si="1"/>
        <v>49</v>
      </c>
      <c r="M20" s="275">
        <f t="shared" ca="1" si="2"/>
        <v>1</v>
      </c>
      <c r="N20" s="275">
        <f t="shared" ca="1" si="6"/>
        <v>9</v>
      </c>
      <c r="O20" s="275">
        <f t="shared" ca="1" si="3"/>
        <v>50</v>
      </c>
      <c r="P20" s="275">
        <f t="shared" ca="1" si="4"/>
        <v>0</v>
      </c>
      <c r="Q20" s="282">
        <f t="shared" ca="1" si="5"/>
        <v>-9</v>
      </c>
    </row>
    <row r="21" spans="3:17" ht="21" x14ac:dyDescent="0.4">
      <c r="C21" s="278">
        <f ca="1">IF(ROW()-2&gt;Start.listina!$O$7,"",INDIRECT(ADDRESS(3+(ROW()-3)*2,$D$2,1,1,"Centrum")))</f>
        <v>35</v>
      </c>
      <c r="D21" s="278">
        <f ca="1">IF(ROW()-2&gt;Start.listina!$O$7,"",INDIRECT(ADDRESS(4+(ROW()-3)*2,$D$2,1,1,"Centrum")))</f>
        <v>19</v>
      </c>
      <c r="E21" s="276" t="str">
        <f ca="1">IF(TYPE(VLOOKUP(C21,Centrum!$A$3:$C$130,3,0))&gt;3," - ",VLOOKUP(C21,Centrum!$A$3:$C$130,3,0))</f>
        <v>35 SK Pétanque Řepy - Josífková Eva</v>
      </c>
      <c r="F21" s="276" t="str">
        <f ca="1">IF(TYPE(VLOOKUP(D21,Centrum!$A$3:$C$130,3,0))&gt;3," - ",VLOOKUP(D21,Centrum!$A$3:$C$130,3,0))</f>
        <v>19 UBU Únětice - Křížek Evžen</v>
      </c>
      <c r="G21" s="439">
        <v>14</v>
      </c>
      <c r="H21" s="272">
        <v>13</v>
      </c>
      <c r="I21" s="274">
        <v>2</v>
      </c>
      <c r="K21" s="275">
        <f t="shared" ca="1" si="0"/>
        <v>19</v>
      </c>
      <c r="L21" s="275">
        <f t="shared" ca="1" si="1"/>
        <v>35</v>
      </c>
      <c r="M21" s="275">
        <f t="shared" ca="1" si="2"/>
        <v>1</v>
      </c>
      <c r="N21" s="275">
        <f t="shared" ca="1" si="6"/>
        <v>11</v>
      </c>
      <c r="O21" s="275">
        <f t="shared" ca="1" si="3"/>
        <v>19</v>
      </c>
      <c r="P21" s="275">
        <f t="shared" ca="1" si="4"/>
        <v>0</v>
      </c>
      <c r="Q21" s="282">
        <f t="shared" ca="1" si="5"/>
        <v>-11</v>
      </c>
    </row>
    <row r="22" spans="3:17" ht="21" x14ac:dyDescent="0.4">
      <c r="C22" s="278">
        <f ca="1">IF(ROW()-2&gt;Start.listina!$O$7,"",INDIRECT(ADDRESS(3+(ROW()-3)*2,$D$2,1,1,"Centrum")))</f>
        <v>55</v>
      </c>
      <c r="D22" s="278">
        <f ca="1">IF(ROW()-2&gt;Start.listina!$O$7,"",INDIRECT(ADDRESS(4+(ROW()-3)*2,$D$2,1,1,"Centrum")))</f>
        <v>25</v>
      </c>
      <c r="E22" s="276" t="str">
        <f ca="1">IF(TYPE(VLOOKUP(C22,Centrum!$A$3:$C$130,3,0))&gt;3," - ",VLOOKUP(C22,Centrum!$A$3:$C$130,3,0))</f>
        <v xml:space="preserve">55   - Bjarne, Dánsko  </v>
      </c>
      <c r="F22" s="276" t="str">
        <f ca="1">IF(TYPE(VLOOKUP(D22,Centrum!$A$3:$C$130,3,0))&gt;3," - ",VLOOKUP(D22,Centrum!$A$3:$C$130,3,0))</f>
        <v>25 SK Pétanque Řepy - Vodehnalová Jindra</v>
      </c>
      <c r="G22" s="439">
        <v>13</v>
      </c>
      <c r="H22" s="272">
        <v>5</v>
      </c>
      <c r="I22" s="274">
        <v>13</v>
      </c>
      <c r="K22" s="275">
        <f t="shared" ca="1" si="0"/>
        <v>25</v>
      </c>
      <c r="L22" s="275">
        <f t="shared" ca="1" si="1"/>
        <v>55</v>
      </c>
      <c r="M22" s="275">
        <f t="shared" ca="1" si="2"/>
        <v>0</v>
      </c>
      <c r="N22" s="275">
        <f t="shared" ca="1" si="6"/>
        <v>-8</v>
      </c>
      <c r="O22" s="275">
        <f t="shared" ca="1" si="3"/>
        <v>25</v>
      </c>
      <c r="P22" s="275">
        <f t="shared" ca="1" si="4"/>
        <v>1</v>
      </c>
      <c r="Q22" s="282">
        <f t="shared" ca="1" si="5"/>
        <v>8</v>
      </c>
    </row>
    <row r="23" spans="3:17" ht="21" x14ac:dyDescent="0.4">
      <c r="C23" s="278">
        <f ca="1">IF(ROW()-2&gt;Start.listina!$O$7,"",INDIRECT(ADDRESS(3+(ROW()-3)*2,$D$2,1,1,"Centrum")))</f>
        <v>30</v>
      </c>
      <c r="D23" s="278">
        <f ca="1">IF(ROW()-2&gt;Start.listina!$O$7,"",INDIRECT(ADDRESS(4+(ROW()-3)*2,$D$2,1,1,"Centrum")))</f>
        <v>45</v>
      </c>
      <c r="E23" s="276" t="str">
        <f ca="1">IF(TYPE(VLOOKUP(C23,Centrum!$A$3:$C$130,3,0))&gt;3," - ",VLOOKUP(C23,Centrum!$A$3:$C$130,3,0))</f>
        <v>30 PC Přítkov - Blaščák Ondřej</v>
      </c>
      <c r="F23" s="276" t="str">
        <f ca="1">IF(TYPE(VLOOKUP(D23,Centrum!$A$3:$C$130,3,0))&gt;3," - ",VLOOKUP(D23,Centrum!$A$3:$C$130,3,0))</f>
        <v xml:space="preserve">45   - kim, Dánsko  </v>
      </c>
      <c r="G23" s="439">
        <v>12</v>
      </c>
      <c r="H23" s="272">
        <v>9</v>
      </c>
      <c r="I23" s="274">
        <v>13</v>
      </c>
      <c r="K23" s="275">
        <f t="shared" ca="1" si="0"/>
        <v>45</v>
      </c>
      <c r="L23" s="275">
        <f t="shared" ca="1" si="1"/>
        <v>30</v>
      </c>
      <c r="M23" s="275">
        <f t="shared" ca="1" si="2"/>
        <v>0</v>
      </c>
      <c r="N23" s="275">
        <f t="shared" ca="1" si="6"/>
        <v>-4</v>
      </c>
      <c r="O23" s="275">
        <f t="shared" ca="1" si="3"/>
        <v>45</v>
      </c>
      <c r="P23" s="275">
        <f t="shared" ca="1" si="4"/>
        <v>1</v>
      </c>
      <c r="Q23" s="282">
        <f t="shared" ca="1" si="5"/>
        <v>4</v>
      </c>
    </row>
    <row r="24" spans="3:17" ht="21" x14ac:dyDescent="0.4">
      <c r="C24" s="278">
        <f ca="1">IF(ROW()-2&gt;Start.listina!$O$7,"",INDIRECT(ADDRESS(3+(ROW()-3)*2,$D$2,1,1,"Centrum")))</f>
        <v>56</v>
      </c>
      <c r="D24" s="278">
        <f ca="1">IF(ROW()-2&gt;Start.listina!$O$7,"",INDIRECT(ADDRESS(4+(ROW()-3)*2,$D$2,1,1,"Centrum")))</f>
        <v>43</v>
      </c>
      <c r="E24" s="276" t="str">
        <f ca="1">IF(TYPE(VLOOKUP(C24,Centrum!$A$3:$C$130,3,0))&gt;3," - ",VLOOKUP(C24,Centrum!$A$3:$C$130,3,0))</f>
        <v xml:space="preserve">56   - Lohss, Hartmut, Německo  </v>
      </c>
      <c r="F24" s="276" t="str">
        <f ca="1">IF(TYPE(VLOOKUP(D24,Centrum!$A$3:$C$130,3,0))&gt;3," - ",VLOOKUP(D24,Centrum!$A$3:$C$130,3,0))</f>
        <v xml:space="preserve">43   - Mika, Dánsko  </v>
      </c>
      <c r="G24" s="439">
        <v>11</v>
      </c>
      <c r="H24" s="272">
        <v>13</v>
      </c>
      <c r="I24" s="274">
        <v>5</v>
      </c>
      <c r="K24" s="275">
        <f t="shared" ca="1" si="0"/>
        <v>43</v>
      </c>
      <c r="L24" s="275">
        <f t="shared" ca="1" si="1"/>
        <v>56</v>
      </c>
      <c r="M24" s="275">
        <f t="shared" ca="1" si="2"/>
        <v>1</v>
      </c>
      <c r="N24" s="275">
        <f t="shared" ca="1" si="6"/>
        <v>8</v>
      </c>
      <c r="O24" s="275">
        <f t="shared" ca="1" si="3"/>
        <v>43</v>
      </c>
      <c r="P24" s="275">
        <f t="shared" ca="1" si="4"/>
        <v>0</v>
      </c>
      <c r="Q24" s="282">
        <f t="shared" ca="1" si="5"/>
        <v>-8</v>
      </c>
    </row>
    <row r="25" spans="3:17" ht="21" x14ac:dyDescent="0.4">
      <c r="C25" s="278">
        <f ca="1">IF(ROW()-2&gt;Start.listina!$O$7,"",INDIRECT(ADDRESS(3+(ROW()-3)*2,$D$2,1,1,"Centrum")))</f>
        <v>26</v>
      </c>
      <c r="D25" s="278">
        <f ca="1">IF(ROW()-2&gt;Start.listina!$O$7,"",INDIRECT(ADDRESS(4+(ROW()-3)*2,$D$2,1,1,"Centrum")))</f>
        <v>16</v>
      </c>
      <c r="E25" s="276" t="str">
        <f ca="1">IF(TYPE(VLOOKUP(C25,Centrum!$A$3:$C$130,3,0))&gt;3," - ",VLOOKUP(C25,Centrum!$A$3:$C$130,3,0))</f>
        <v>26 Petank Club Praha - Klír Tomáš</v>
      </c>
      <c r="F25" s="276" t="str">
        <f ca="1">IF(TYPE(VLOOKUP(D25,Centrum!$A$3:$C$130,3,0))&gt;3," - ",VLOOKUP(D25,Centrum!$A$3:$C$130,3,0))</f>
        <v>16 PC Sokol Lipník - Vyoral Hynek</v>
      </c>
      <c r="G25" s="439">
        <v>10</v>
      </c>
      <c r="H25" s="272">
        <v>0</v>
      </c>
      <c r="I25" s="274">
        <v>13</v>
      </c>
      <c r="K25" s="275">
        <f t="shared" ca="1" si="0"/>
        <v>16</v>
      </c>
      <c r="L25" s="275">
        <f t="shared" ca="1" si="1"/>
        <v>26</v>
      </c>
      <c r="M25" s="275">
        <f t="shared" ca="1" si="2"/>
        <v>0</v>
      </c>
      <c r="N25" s="275">
        <f t="shared" ca="1" si="6"/>
        <v>-13</v>
      </c>
      <c r="O25" s="275">
        <f t="shared" ca="1" si="3"/>
        <v>16</v>
      </c>
      <c r="P25" s="275">
        <f t="shared" ca="1" si="4"/>
        <v>1</v>
      </c>
      <c r="Q25" s="282">
        <f t="shared" ca="1" si="5"/>
        <v>13</v>
      </c>
    </row>
    <row r="26" spans="3:17" ht="21" x14ac:dyDescent="0.4">
      <c r="C26" s="278">
        <f ca="1">IF(ROW()-2&gt;Start.listina!$O$7,"",INDIRECT(ADDRESS(3+(ROW()-3)*2,$D$2,1,1,"Centrum")))</f>
        <v>38</v>
      </c>
      <c r="D26" s="278">
        <f ca="1">IF(ROW()-2&gt;Start.listina!$O$7,"",INDIRECT(ADDRESS(4+(ROW()-3)*2,$D$2,1,1,"Centrum")))</f>
        <v>48</v>
      </c>
      <c r="E26" s="276" t="str">
        <f ca="1">IF(TYPE(VLOOKUP(C26,Centrum!$A$3:$C$130,3,0))&gt;3," - ",VLOOKUP(C26,Centrum!$A$3:$C$130,3,0))</f>
        <v>38 C.T.P. Club Ořech - Glaser Vladimír</v>
      </c>
      <c r="F26" s="276" t="str">
        <f ca="1">IF(TYPE(VLOOKUP(D26,Centrum!$A$3:$C$130,3,0))&gt;3," - ",VLOOKUP(D26,Centrum!$A$3:$C$130,3,0))</f>
        <v xml:space="preserve">48   - Tony, Dánsko  </v>
      </c>
      <c r="G26" s="439">
        <v>9</v>
      </c>
      <c r="H26" s="272">
        <v>13</v>
      </c>
      <c r="I26" s="274">
        <v>8</v>
      </c>
      <c r="K26" s="275">
        <f t="shared" ca="1" si="0"/>
        <v>48</v>
      </c>
      <c r="L26" s="275">
        <f t="shared" ca="1" si="1"/>
        <v>38</v>
      </c>
      <c r="M26" s="275">
        <f t="shared" ca="1" si="2"/>
        <v>1</v>
      </c>
      <c r="N26" s="275">
        <f t="shared" ca="1" si="6"/>
        <v>5</v>
      </c>
      <c r="O26" s="275">
        <f t="shared" ca="1" si="3"/>
        <v>48</v>
      </c>
      <c r="P26" s="275">
        <f t="shared" ca="1" si="4"/>
        <v>0</v>
      </c>
      <c r="Q26" s="282">
        <f t="shared" ca="1" si="5"/>
        <v>-5</v>
      </c>
    </row>
    <row r="27" spans="3:17" ht="21" x14ac:dyDescent="0.4">
      <c r="C27" s="278">
        <f ca="1">IF(ROW()-2&gt;Start.listina!$O$7,"",INDIRECT(ADDRESS(3+(ROW()-3)*2,$D$2,1,1,"Centrum")))</f>
        <v>32</v>
      </c>
      <c r="D27" s="278">
        <f ca="1">IF(ROW()-2&gt;Start.listina!$O$7,"",INDIRECT(ADDRESS(4+(ROW()-3)*2,$D$2,1,1,"Centrum")))</f>
        <v>24</v>
      </c>
      <c r="E27" s="276" t="str">
        <f ca="1">IF(TYPE(VLOOKUP(C27,Centrum!$A$3:$C$130,3,0))&gt;3," - ",VLOOKUP(C27,Centrum!$A$3:$C$130,3,0))</f>
        <v>32 SK Pétanque Řepy - Vodehnal Zdeněk</v>
      </c>
      <c r="F27" s="276" t="str">
        <f ca="1">IF(TYPE(VLOOKUP(D27,Centrum!$A$3:$C$130,3,0))&gt;3," - ",VLOOKUP(D27,Centrum!$A$3:$C$130,3,0))</f>
        <v>24 SK Pétanque Řepy - Váňová Věra</v>
      </c>
      <c r="G27" s="439">
        <v>8</v>
      </c>
      <c r="H27" s="272">
        <v>5</v>
      </c>
      <c r="I27" s="274">
        <v>13</v>
      </c>
      <c r="K27" s="275">
        <f t="shared" ca="1" si="0"/>
        <v>24</v>
      </c>
      <c r="L27" s="275">
        <f t="shared" ca="1" si="1"/>
        <v>32</v>
      </c>
      <c r="M27" s="275">
        <f t="shared" ca="1" si="2"/>
        <v>0</v>
      </c>
      <c r="N27" s="275">
        <f t="shared" ca="1" si="6"/>
        <v>-8</v>
      </c>
      <c r="O27" s="275">
        <f t="shared" ca="1" si="3"/>
        <v>24</v>
      </c>
      <c r="P27" s="275">
        <f t="shared" ca="1" si="4"/>
        <v>1</v>
      </c>
      <c r="Q27" s="282">
        <f t="shared" ca="1" si="5"/>
        <v>8</v>
      </c>
    </row>
    <row r="28" spans="3:17" ht="21" x14ac:dyDescent="0.4">
      <c r="C28" s="278">
        <f ca="1">IF(ROW()-2&gt;Start.listina!$O$7,"",INDIRECT(ADDRESS(3+(ROW()-3)*2,$D$2,1,1,"Centrum")))</f>
        <v>40</v>
      </c>
      <c r="D28" s="278">
        <f ca="1">IF(ROW()-2&gt;Start.listina!$O$7,"",INDIRECT(ADDRESS(4+(ROW()-3)*2,$D$2,1,1,"Centrum")))</f>
        <v>11</v>
      </c>
      <c r="E28" s="276" t="str">
        <f ca="1">IF(TYPE(VLOOKUP(C28,Centrum!$A$3:$C$130,3,0))&gt;3," - ",VLOOKUP(C28,Centrum!$A$3:$C$130,3,0))</f>
        <v>40 SKP Kulová osma - Krhovská Dana</v>
      </c>
      <c r="F28" s="276" t="str">
        <f ca="1">IF(TYPE(VLOOKUP(D28,Centrum!$A$3:$C$130,3,0))&gt;3," - ",VLOOKUP(D28,Centrum!$A$3:$C$130,3,0))</f>
        <v>11 Petank Club Praha - Klouda Aleš</v>
      </c>
      <c r="G28" s="439">
        <v>7</v>
      </c>
      <c r="H28" s="272">
        <v>9</v>
      </c>
      <c r="I28" s="274">
        <v>13</v>
      </c>
      <c r="K28" s="275">
        <f t="shared" ca="1" si="0"/>
        <v>11</v>
      </c>
      <c r="L28" s="275">
        <f t="shared" ca="1" si="1"/>
        <v>40</v>
      </c>
      <c r="M28" s="275">
        <f t="shared" ca="1" si="2"/>
        <v>0</v>
      </c>
      <c r="N28" s="275">
        <f t="shared" ca="1" si="6"/>
        <v>-4</v>
      </c>
      <c r="O28" s="275">
        <f t="shared" ca="1" si="3"/>
        <v>11</v>
      </c>
      <c r="P28" s="275">
        <f t="shared" ca="1" si="4"/>
        <v>1</v>
      </c>
      <c r="Q28" s="282">
        <f t="shared" ca="1" si="5"/>
        <v>4</v>
      </c>
    </row>
    <row r="29" spans="3:17" ht="21" x14ac:dyDescent="0.4">
      <c r="C29" s="278">
        <f ca="1">IF(ROW()-2&gt;Start.listina!$O$7,"",INDIRECT(ADDRESS(3+(ROW()-3)*2,$D$2,1,1,"Centrum")))</f>
        <v>37</v>
      </c>
      <c r="D29" s="278">
        <f ca="1">IF(ROW()-2&gt;Start.listina!$O$7,"",INDIRECT(ADDRESS(4+(ROW()-3)*2,$D$2,1,1,"Centrum")))</f>
        <v>46</v>
      </c>
      <c r="E29" s="276" t="str">
        <f ca="1">IF(TYPE(VLOOKUP(C29,Centrum!$A$3:$C$130,3,0))&gt;3," - ",VLOOKUP(C29,Centrum!$A$3:$C$130,3,0))</f>
        <v>37 SK Pétanque Řepy - Konopová Marta</v>
      </c>
      <c r="F29" s="276" t="str">
        <f ca="1">IF(TYPE(VLOOKUP(D29,Centrum!$A$3:$C$130,3,0))&gt;3," - ",VLOOKUP(D29,Centrum!$A$3:$C$130,3,0))</f>
        <v xml:space="preserve">46   - Vladimír Chládek  </v>
      </c>
      <c r="G29" s="439">
        <v>6</v>
      </c>
      <c r="H29" s="272">
        <v>13</v>
      </c>
      <c r="I29" s="274">
        <v>9</v>
      </c>
      <c r="K29" s="275">
        <f t="shared" ca="1" si="0"/>
        <v>46</v>
      </c>
      <c r="L29" s="275">
        <f t="shared" ca="1" si="1"/>
        <v>37</v>
      </c>
      <c r="M29" s="275">
        <f t="shared" ca="1" si="2"/>
        <v>1</v>
      </c>
      <c r="N29" s="275">
        <f t="shared" ca="1" si="6"/>
        <v>4</v>
      </c>
      <c r="O29" s="275">
        <f t="shared" ca="1" si="3"/>
        <v>46</v>
      </c>
      <c r="P29" s="275">
        <f t="shared" ca="1" si="4"/>
        <v>0</v>
      </c>
      <c r="Q29" s="282">
        <f t="shared" ca="1" si="5"/>
        <v>-4</v>
      </c>
    </row>
    <row r="30" spans="3:17" ht="21" x14ac:dyDescent="0.4">
      <c r="C30" s="278">
        <f ca="1">IF(ROW()-2&gt;Start.listina!$O$7,"",INDIRECT(ADDRESS(3+(ROW()-3)*2,$D$2,1,1,"Centrum")))</f>
        <v>51</v>
      </c>
      <c r="D30" s="278">
        <f ca="1">IF(ROW()-2&gt;Start.listina!$O$7,"",INDIRECT(ADDRESS(4+(ROW()-3)*2,$D$2,1,1,"Centrum")))</f>
        <v>42</v>
      </c>
      <c r="E30" s="276" t="str">
        <f ca="1">IF(TYPE(VLOOKUP(C30,Centrum!$A$3:$C$130,3,0))&gt;3," - ",VLOOKUP(C30,Centrum!$A$3:$C$130,3,0))</f>
        <v xml:space="preserve">51   - Erik, Dánsko  </v>
      </c>
      <c r="F30" s="276" t="str">
        <f ca="1">IF(TYPE(VLOOKUP(D30,Centrum!$A$3:$C$130,3,0))&gt;3," - ",VLOOKUP(D30,Centrum!$A$3:$C$130,3,0))</f>
        <v>42 C.T.P. Club Ořech - Leiský Leander</v>
      </c>
      <c r="G30" s="439">
        <v>5</v>
      </c>
      <c r="H30" s="272">
        <v>13</v>
      </c>
      <c r="I30" s="274">
        <v>10</v>
      </c>
      <c r="K30" s="275">
        <f t="shared" ca="1" si="0"/>
        <v>42</v>
      </c>
      <c r="L30" s="275">
        <f t="shared" ca="1" si="1"/>
        <v>51</v>
      </c>
      <c r="M30" s="275">
        <f t="shared" ca="1" si="2"/>
        <v>1</v>
      </c>
      <c r="N30" s="275">
        <f t="shared" ca="1" si="6"/>
        <v>3</v>
      </c>
      <c r="O30" s="275">
        <f t="shared" ca="1" si="3"/>
        <v>42</v>
      </c>
      <c r="P30" s="275">
        <f t="shared" ca="1" si="4"/>
        <v>0</v>
      </c>
      <c r="Q30" s="282">
        <f t="shared" ca="1" si="5"/>
        <v>-3</v>
      </c>
    </row>
    <row r="31" spans="3:17" ht="21" x14ac:dyDescent="0.4">
      <c r="C31" s="278">
        <f ca="1">IF(ROW()-2&gt;Start.listina!$O$7,"",INDIRECT(ADDRESS(3+(ROW()-3)*2,$D$2,1,1,"Centrum")))</f>
        <v>41</v>
      </c>
      <c r="D31" s="278" t="str">
        <f ca="1">IF(ROW()-2&gt;Start.listina!$O$7,"",INDIRECT(ADDRESS(4+(ROW()-3)*2,$D$2,1,1,"Centrum")))</f>
        <v/>
      </c>
      <c r="E31" s="276" t="str">
        <f ca="1">IF(TYPE(VLOOKUP(C31,Centrum!$A$3:$C$130,3,0))&gt;3," - ",VLOOKUP(C31,Centrum!$A$3:$C$130,3,0))</f>
        <v>41 SKMZ Sport - Kovář Petr</v>
      </c>
      <c r="F31" s="276" t="str">
        <f ca="1">IF(TYPE(VLOOKUP(D31,Centrum!$A$3:$C$130,3,0))&gt;3," - ",VLOOKUP(D31,Centrum!$A$3:$C$130,3,0))</f>
        <v xml:space="preserve"> - </v>
      </c>
      <c r="G31" s="439">
        <v>4</v>
      </c>
      <c r="H31" s="272">
        <v>13</v>
      </c>
      <c r="I31" s="274">
        <v>7</v>
      </c>
      <c r="K31" s="275" t="str">
        <f t="shared" ca="1" si="0"/>
        <v/>
      </c>
      <c r="L31" s="275">
        <f t="shared" ca="1" si="1"/>
        <v>41</v>
      </c>
      <c r="M31" s="275">
        <f t="shared" ca="1" si="2"/>
        <v>1</v>
      </c>
      <c r="N31" s="275">
        <f t="shared" ca="1" si="6"/>
        <v>6</v>
      </c>
      <c r="O31" s="275" t="str">
        <f t="shared" ca="1" si="3"/>
        <v/>
      </c>
      <c r="P31" s="275">
        <f t="shared" ca="1" si="4"/>
        <v>0</v>
      </c>
      <c r="Q31" s="282">
        <f t="shared" ca="1" si="5"/>
        <v>0</v>
      </c>
    </row>
    <row r="32" spans="3:17" ht="21" x14ac:dyDescent="0.4">
      <c r="C32" s="278" t="str">
        <f ca="1">IF(ROW()-2&gt;Start.listina!$O$7,"",INDIRECT(ADDRESS(3+(ROW()-3)*2,$D$2,1,1,"Centrum")))</f>
        <v/>
      </c>
      <c r="D32" s="278" t="str">
        <f ca="1">IF(ROW()-2&gt;Start.listina!$O$7,"",INDIRECT(ADDRESS(4+(ROW()-3)*2,$D$2,1,1,"Centrum")))</f>
        <v/>
      </c>
      <c r="E32" s="276" t="str">
        <f ca="1">IF(TYPE(VLOOKUP(C32,Centrum!$A$3:$C$130,3,0))&gt;3," - ",VLOOKUP(C32,Centrum!$A$3:$C$130,3,0))</f>
        <v xml:space="preserve"> - </v>
      </c>
      <c r="F32" s="276" t="str">
        <f ca="1">IF(TYPE(VLOOKUP(D32,Centrum!$A$3:$C$130,3,0))&gt;3," - ",VLOOKUP(D32,Centrum!$A$3:$C$130,3,0))</f>
        <v xml:space="preserve"> - </v>
      </c>
      <c r="G32" s="439">
        <v>3</v>
      </c>
      <c r="H32" s="272"/>
      <c r="I32" s="274"/>
      <c r="K32" s="275" t="str">
        <f t="shared" ca="1" si="0"/>
        <v/>
      </c>
      <c r="L32" s="275" t="str">
        <f t="shared" ca="1" si="1"/>
        <v/>
      </c>
      <c r="M32" s="275">
        <f t="shared" ca="1" si="2"/>
        <v>0</v>
      </c>
      <c r="N32" s="275">
        <f t="shared" ca="1" si="6"/>
        <v>0</v>
      </c>
      <c r="O32" s="275" t="str">
        <f t="shared" ca="1" si="3"/>
        <v/>
      </c>
      <c r="P32" s="275">
        <f t="shared" ca="1" si="4"/>
        <v>0</v>
      </c>
      <c r="Q32" s="282">
        <f t="shared" ca="1" si="5"/>
        <v>0</v>
      </c>
    </row>
    <row r="33" spans="3:17" ht="21" x14ac:dyDescent="0.4">
      <c r="C33" s="278" t="str">
        <f ca="1">IF(ROW()-2&gt;Start.listina!$O$7,"",INDIRECT(ADDRESS(3+(ROW()-3)*2,$D$2,1,1,"Centrum")))</f>
        <v/>
      </c>
      <c r="D33" s="278" t="str">
        <f ca="1">IF(ROW()-2&gt;Start.listina!$O$7,"",INDIRECT(ADDRESS(4+(ROW()-3)*2,$D$2,1,1,"Centrum")))</f>
        <v/>
      </c>
      <c r="E33" s="276" t="str">
        <f ca="1">IF(TYPE(VLOOKUP(C33,Centrum!$A$3:$C$130,3,0))&gt;3," - ",VLOOKUP(C33,Centrum!$A$3:$C$130,3,0))</f>
        <v xml:space="preserve"> - </v>
      </c>
      <c r="F33" s="276" t="str">
        <f ca="1">IF(TYPE(VLOOKUP(D33,Centrum!$A$3:$C$130,3,0))&gt;3," - ",VLOOKUP(D33,Centrum!$A$3:$C$130,3,0))</f>
        <v xml:space="preserve"> - </v>
      </c>
      <c r="G33" s="439">
        <v>2</v>
      </c>
      <c r="H33" s="272"/>
      <c r="I33" s="274"/>
      <c r="K33" s="275" t="str">
        <f t="shared" ca="1" si="0"/>
        <v/>
      </c>
      <c r="L33" s="275" t="str">
        <f t="shared" ca="1" si="1"/>
        <v/>
      </c>
      <c r="M33" s="275">
        <f t="shared" ca="1" si="2"/>
        <v>0</v>
      </c>
      <c r="N33" s="275">
        <f t="shared" ca="1" si="6"/>
        <v>0</v>
      </c>
      <c r="O33" s="275" t="str">
        <f t="shared" ca="1" si="3"/>
        <v/>
      </c>
      <c r="P33" s="275">
        <f t="shared" ca="1" si="4"/>
        <v>0</v>
      </c>
      <c r="Q33" s="282">
        <f t="shared" ca="1" si="5"/>
        <v>0</v>
      </c>
    </row>
    <row r="34" spans="3:17" ht="21" x14ac:dyDescent="0.4">
      <c r="C34" s="278" t="str">
        <f ca="1">IF(ROW()-2&gt;Start.listina!$O$7,"",INDIRECT(ADDRESS(3+(ROW()-3)*2,$D$2,1,1,"Centrum")))</f>
        <v/>
      </c>
      <c r="D34" s="278" t="str">
        <f ca="1">IF(ROW()-2&gt;Start.listina!$O$7,"",INDIRECT(ADDRESS(4+(ROW()-3)*2,$D$2,1,1,"Centrum")))</f>
        <v/>
      </c>
      <c r="E34" s="276" t="str">
        <f ca="1">IF(TYPE(VLOOKUP(C34,Centrum!$A$3:$C$130,3,0))&gt;3," - ",VLOOKUP(C34,Centrum!$A$3:$C$130,3,0))</f>
        <v xml:space="preserve"> - </v>
      </c>
      <c r="F34" s="276" t="str">
        <f ca="1">IF(TYPE(VLOOKUP(D34,Centrum!$A$3:$C$130,3,0))&gt;3," - ",VLOOKUP(D34,Centrum!$A$3:$C$130,3,0))</f>
        <v xml:space="preserve"> - </v>
      </c>
      <c r="G34" s="439">
        <v>1</v>
      </c>
      <c r="H34" s="272"/>
      <c r="I34" s="274"/>
      <c r="K34" s="275" t="str">
        <f t="shared" ca="1" si="0"/>
        <v/>
      </c>
      <c r="L34" s="275" t="str">
        <f t="shared" ca="1" si="1"/>
        <v/>
      </c>
      <c r="M34" s="275">
        <f t="shared" ca="1" si="2"/>
        <v>0</v>
      </c>
      <c r="N34" s="275">
        <f t="shared" ca="1" si="6"/>
        <v>0</v>
      </c>
      <c r="O34" s="275" t="str">
        <f t="shared" ca="1" si="3"/>
        <v/>
      </c>
      <c r="P34" s="275">
        <f t="shared" ca="1" si="4"/>
        <v>0</v>
      </c>
      <c r="Q34" s="282">
        <f t="shared" ca="1" si="5"/>
        <v>0</v>
      </c>
    </row>
    <row r="35" spans="3:17" ht="21" x14ac:dyDescent="0.4">
      <c r="C35" s="278" t="str">
        <f ca="1">IF(ROW()-2&gt;Start.listina!$O$7,"",INDIRECT(ADDRESS(3+(ROW()-3)*2,$D$2,1,1,"Centrum")))</f>
        <v/>
      </c>
      <c r="D35" s="278" t="str">
        <f ca="1">IF(ROW()-2&gt;Start.listina!$O$7,"",INDIRECT(ADDRESS(4+(ROW()-3)*2,$D$2,1,1,"Centrum")))</f>
        <v/>
      </c>
      <c r="E35" s="276" t="str">
        <f ca="1">IF(TYPE(VLOOKUP(C35,Centrum!$A$3:$C$130,3,0))&gt;3," - ",VLOOKUP(C35,Centrum!$A$3:$C$130,3,0))</f>
        <v xml:space="preserve"> - </v>
      </c>
      <c r="F35" s="276" t="str">
        <f ca="1">IF(TYPE(VLOOKUP(D35,Centrum!$A$3:$C$130,3,0))&gt;3," - ",VLOOKUP(D35,Centrum!$A$3:$C$130,3,0))</f>
        <v xml:space="preserve"> - </v>
      </c>
      <c r="G35" s="439" t="str">
        <f ca="1">IF(ROW()-2&gt;Start.listina!$O$7,"",ROW()-2)</f>
        <v/>
      </c>
      <c r="H35" s="272"/>
      <c r="I35" s="274"/>
      <c r="K35" s="275" t="str">
        <f t="shared" ca="1" si="0"/>
        <v/>
      </c>
      <c r="L35" s="275" t="str">
        <f t="shared" ca="1" si="1"/>
        <v/>
      </c>
      <c r="M35" s="275">
        <f t="shared" ca="1" si="2"/>
        <v>0</v>
      </c>
      <c r="N35" s="275">
        <f t="shared" ca="1" si="6"/>
        <v>0</v>
      </c>
      <c r="O35" s="275" t="str">
        <f t="shared" ca="1" si="3"/>
        <v/>
      </c>
      <c r="P35" s="275">
        <f t="shared" ca="1" si="4"/>
        <v>0</v>
      </c>
      <c r="Q35" s="282">
        <f t="shared" ca="1" si="5"/>
        <v>0</v>
      </c>
    </row>
    <row r="36" spans="3:17" ht="21" x14ac:dyDescent="0.4">
      <c r="C36" s="278" t="str">
        <f ca="1">IF(ROW()-2&gt;Start.listina!$O$7,"",INDIRECT(ADDRESS(3+(ROW()-3)*2,$D$2,1,1,"Centrum")))</f>
        <v/>
      </c>
      <c r="D36" s="278" t="str">
        <f ca="1">IF(ROW()-2&gt;Start.listina!$O$7,"",INDIRECT(ADDRESS(4+(ROW()-3)*2,$D$2,1,1,"Centrum")))</f>
        <v/>
      </c>
      <c r="E36" s="276" t="str">
        <f ca="1">IF(TYPE(VLOOKUP(C36,Centrum!$A$3:$C$130,3,0))&gt;3," - ",VLOOKUP(C36,Centrum!$A$3:$C$130,3,0))</f>
        <v xml:space="preserve"> - </v>
      </c>
      <c r="F36" s="276" t="str">
        <f ca="1">IF(TYPE(VLOOKUP(D36,Centrum!$A$3:$C$130,3,0))&gt;3," - ",VLOOKUP(D36,Centrum!$A$3:$C$130,3,0))</f>
        <v xml:space="preserve"> - </v>
      </c>
      <c r="G36" s="439" t="str">
        <f ca="1">IF(ROW()-2&gt;Start.listina!$O$7,"",ROW()-2)</f>
        <v/>
      </c>
      <c r="H36" s="272"/>
      <c r="I36" s="274"/>
      <c r="K36" s="275" t="str">
        <f t="shared" ca="1" si="0"/>
        <v/>
      </c>
      <c r="L36" s="275" t="str">
        <f t="shared" ca="1" si="1"/>
        <v/>
      </c>
      <c r="M36" s="275">
        <f t="shared" ca="1" si="2"/>
        <v>0</v>
      </c>
      <c r="N36" s="275">
        <f t="shared" ca="1" si="6"/>
        <v>0</v>
      </c>
      <c r="O36" s="275" t="str">
        <f t="shared" ca="1" si="3"/>
        <v/>
      </c>
      <c r="P36" s="275">
        <f t="shared" ca="1" si="4"/>
        <v>0</v>
      </c>
      <c r="Q36" s="282">
        <f t="shared" ca="1" si="5"/>
        <v>0</v>
      </c>
    </row>
    <row r="37" spans="3:17" ht="21" x14ac:dyDescent="0.4">
      <c r="C37" s="278" t="str">
        <f ca="1">IF(ROW()-2&gt;Start.listina!$O$7,"",INDIRECT(ADDRESS(3+(ROW()-3)*2,$D$2,1,1,"Centrum")))</f>
        <v/>
      </c>
      <c r="D37" s="278" t="str">
        <f ca="1">IF(ROW()-2&gt;Start.listina!$O$7,"",INDIRECT(ADDRESS(4+(ROW()-3)*2,$D$2,1,1,"Centrum")))</f>
        <v/>
      </c>
      <c r="E37" s="276" t="str">
        <f ca="1">IF(TYPE(VLOOKUP(C37,Centrum!$A$3:$C$130,3,0))&gt;3," - ",VLOOKUP(C37,Centrum!$A$3:$C$130,3,0))</f>
        <v xml:space="preserve"> - </v>
      </c>
      <c r="F37" s="276" t="str">
        <f ca="1">IF(TYPE(VLOOKUP(D37,Centrum!$A$3:$C$130,3,0))&gt;3," - ",VLOOKUP(D37,Centrum!$A$3:$C$130,3,0))</f>
        <v xml:space="preserve"> - </v>
      </c>
      <c r="G37" s="439" t="str">
        <f ca="1">IF(ROW()-2&gt;Start.listina!$O$7,"",ROW()-2)</f>
        <v/>
      </c>
      <c r="H37" s="272"/>
      <c r="I37" s="274"/>
      <c r="K37" s="275" t="str">
        <f t="shared" ca="1" si="0"/>
        <v/>
      </c>
      <c r="L37" s="275" t="str">
        <f t="shared" ca="1" si="1"/>
        <v/>
      </c>
      <c r="M37" s="275">
        <f t="shared" ca="1" si="2"/>
        <v>0</v>
      </c>
      <c r="N37" s="275">
        <f t="shared" ca="1" si="6"/>
        <v>0</v>
      </c>
      <c r="O37" s="275" t="str">
        <f t="shared" ca="1" si="3"/>
        <v/>
      </c>
      <c r="P37" s="275">
        <f t="shared" ca="1" si="4"/>
        <v>0</v>
      </c>
      <c r="Q37" s="282">
        <f t="shared" ca="1" si="5"/>
        <v>0</v>
      </c>
    </row>
    <row r="38" spans="3:17" ht="21" x14ac:dyDescent="0.4">
      <c r="C38" s="278" t="str">
        <f ca="1">IF(ROW()-2&gt;Start.listina!$O$7,"",INDIRECT(ADDRESS(3+(ROW()-3)*2,$D$2,1,1,"Centrum")))</f>
        <v/>
      </c>
      <c r="D38" s="278" t="str">
        <f ca="1">IF(ROW()-2&gt;Start.listina!$O$7,"",INDIRECT(ADDRESS(4+(ROW()-3)*2,$D$2,1,1,"Centrum")))</f>
        <v/>
      </c>
      <c r="E38" s="276" t="str">
        <f ca="1">IF(TYPE(VLOOKUP(C38,Centrum!$A$3:$C$130,3,0))&gt;3," - ",VLOOKUP(C38,Centrum!$A$3:$C$130,3,0))</f>
        <v xml:space="preserve"> - </v>
      </c>
      <c r="F38" s="276" t="str">
        <f ca="1">IF(TYPE(VLOOKUP(D38,Centrum!$A$3:$C$130,3,0))&gt;3," - ",VLOOKUP(D38,Centrum!$A$3:$C$130,3,0))</f>
        <v xml:space="preserve"> - </v>
      </c>
      <c r="G38" s="439" t="str">
        <f ca="1">IF(ROW()-2&gt;Start.listina!$O$7,"",ROW()-2)</f>
        <v/>
      </c>
      <c r="H38" s="272"/>
      <c r="I38" s="274"/>
      <c r="K38" s="275" t="str">
        <f t="shared" ca="1" si="0"/>
        <v/>
      </c>
      <c r="L38" s="275" t="str">
        <f t="shared" ca="1" si="1"/>
        <v/>
      </c>
      <c r="M38" s="275">
        <f t="shared" ca="1" si="2"/>
        <v>0</v>
      </c>
      <c r="N38" s="275">
        <f t="shared" ca="1" si="6"/>
        <v>0</v>
      </c>
      <c r="O38" s="275" t="str">
        <f t="shared" ca="1" si="3"/>
        <v/>
      </c>
      <c r="P38" s="275">
        <f t="shared" ca="1" si="4"/>
        <v>0</v>
      </c>
      <c r="Q38" s="282">
        <f t="shared" ca="1" si="5"/>
        <v>0</v>
      </c>
    </row>
    <row r="39" spans="3:17" ht="21" x14ac:dyDescent="0.4">
      <c r="C39" s="278" t="str">
        <f ca="1">IF(ROW()-2&gt;Start.listina!$O$7,"",INDIRECT(ADDRESS(3+(ROW()-3)*2,$D$2,1,1,"Centrum")))</f>
        <v/>
      </c>
      <c r="D39" s="278" t="str">
        <f ca="1">IF(ROW()-2&gt;Start.listina!$O$7,"",INDIRECT(ADDRESS(4+(ROW()-3)*2,$D$2,1,1,"Centrum")))</f>
        <v/>
      </c>
      <c r="E39" s="276" t="str">
        <f ca="1">IF(TYPE(VLOOKUP(C39,Centrum!$A$3:$C$130,3,0))&gt;3," - ",VLOOKUP(C39,Centrum!$A$3:$C$130,3,0))</f>
        <v xml:space="preserve"> - </v>
      </c>
      <c r="F39" s="276" t="str">
        <f ca="1">IF(TYPE(VLOOKUP(D39,Centrum!$A$3:$C$130,3,0))&gt;3," - ",VLOOKUP(D39,Centrum!$A$3:$C$130,3,0))</f>
        <v xml:space="preserve"> - </v>
      </c>
      <c r="G39" s="439" t="str">
        <f ca="1">IF(ROW()-2&gt;Start.listina!$O$7,"",ROW()-2)</f>
        <v/>
      </c>
      <c r="H39" s="272"/>
      <c r="I39" s="274"/>
      <c r="K39" s="275" t="str">
        <f t="shared" ca="1" si="0"/>
        <v/>
      </c>
      <c r="L39" s="275" t="str">
        <f t="shared" ca="1" si="1"/>
        <v/>
      </c>
      <c r="M39" s="275">
        <f t="shared" ca="1" si="2"/>
        <v>0</v>
      </c>
      <c r="N39" s="275">
        <f t="shared" ca="1" si="6"/>
        <v>0</v>
      </c>
      <c r="O39" s="275" t="str">
        <f t="shared" ca="1" si="3"/>
        <v/>
      </c>
      <c r="P39" s="275">
        <f t="shared" ca="1" si="4"/>
        <v>0</v>
      </c>
      <c r="Q39" s="282">
        <f t="shared" ca="1" si="5"/>
        <v>0</v>
      </c>
    </row>
    <row r="40" spans="3:17" ht="21" x14ac:dyDescent="0.4">
      <c r="C40" s="278" t="str">
        <f ca="1">IF(ROW()-2&gt;Start.listina!$O$7,"",INDIRECT(ADDRESS(3+(ROW()-3)*2,$D$2,1,1,"Centrum")))</f>
        <v/>
      </c>
      <c r="D40" s="278" t="str">
        <f ca="1">IF(ROW()-2&gt;Start.listina!$O$7,"",INDIRECT(ADDRESS(4+(ROW()-3)*2,$D$2,1,1,"Centrum")))</f>
        <v/>
      </c>
      <c r="E40" s="276" t="str">
        <f ca="1">IF(TYPE(VLOOKUP(C40,Centrum!$A$3:$C$130,3,0))&gt;3," - ",VLOOKUP(C40,Centrum!$A$3:$C$130,3,0))</f>
        <v xml:space="preserve"> - </v>
      </c>
      <c r="F40" s="276" t="str">
        <f ca="1">IF(TYPE(VLOOKUP(D40,Centrum!$A$3:$C$130,3,0))&gt;3," - ",VLOOKUP(D40,Centrum!$A$3:$C$130,3,0))</f>
        <v xml:space="preserve"> - </v>
      </c>
      <c r="G40" s="439" t="str">
        <f ca="1">IF(ROW()-2&gt;Start.listina!$O$7,"",ROW()-2)</f>
        <v/>
      </c>
      <c r="H40" s="272"/>
      <c r="I40" s="274"/>
      <c r="K40" s="275" t="str">
        <f t="shared" ca="1" si="0"/>
        <v/>
      </c>
      <c r="L40" s="275" t="str">
        <f t="shared" ca="1" si="1"/>
        <v/>
      </c>
      <c r="M40" s="275">
        <f t="shared" ca="1" si="2"/>
        <v>0</v>
      </c>
      <c r="N40" s="275">
        <f t="shared" ca="1" si="6"/>
        <v>0</v>
      </c>
      <c r="O40" s="275" t="str">
        <f t="shared" ca="1" si="3"/>
        <v/>
      </c>
      <c r="P40" s="275">
        <f t="shared" ca="1" si="4"/>
        <v>0</v>
      </c>
      <c r="Q40" s="282">
        <f t="shared" ca="1" si="5"/>
        <v>0</v>
      </c>
    </row>
    <row r="41" spans="3:17" ht="21" x14ac:dyDescent="0.4">
      <c r="C41" s="278" t="str">
        <f ca="1">IF(ROW()-2&gt;Start.listina!$O$7,"",INDIRECT(ADDRESS(3+(ROW()-3)*2,$D$2,1,1,"Centrum")))</f>
        <v/>
      </c>
      <c r="D41" s="278" t="str">
        <f ca="1">IF(ROW()-2&gt;Start.listina!$O$7,"",INDIRECT(ADDRESS(4+(ROW()-3)*2,$D$2,1,1,"Centrum")))</f>
        <v/>
      </c>
      <c r="E41" s="276" t="str">
        <f ca="1">IF(TYPE(VLOOKUP(C41,Centrum!$A$3:$C$130,3,0))&gt;3," - ",VLOOKUP(C41,Centrum!$A$3:$C$130,3,0))</f>
        <v xml:space="preserve"> - </v>
      </c>
      <c r="F41" s="276" t="str">
        <f ca="1">IF(TYPE(VLOOKUP(D41,Centrum!$A$3:$C$130,3,0))&gt;3," - ",VLOOKUP(D41,Centrum!$A$3:$C$130,3,0))</f>
        <v xml:space="preserve"> - </v>
      </c>
      <c r="G41" s="439" t="str">
        <f ca="1">IF(ROW()-2&gt;Start.listina!$O$7,"",ROW()-2)</f>
        <v/>
      </c>
      <c r="H41" s="272"/>
      <c r="I41" s="274"/>
      <c r="K41" s="275" t="str">
        <f t="shared" ca="1" si="0"/>
        <v/>
      </c>
      <c r="L41" s="275" t="str">
        <f t="shared" ca="1" si="1"/>
        <v/>
      </c>
      <c r="M41" s="275">
        <f t="shared" ca="1" si="2"/>
        <v>0</v>
      </c>
      <c r="N41" s="275">
        <f t="shared" ca="1" si="6"/>
        <v>0</v>
      </c>
      <c r="O41" s="275" t="str">
        <f t="shared" ca="1" si="3"/>
        <v/>
      </c>
      <c r="P41" s="275">
        <f t="shared" ca="1" si="4"/>
        <v>0</v>
      </c>
      <c r="Q41" s="282">
        <f t="shared" ca="1" si="5"/>
        <v>0</v>
      </c>
    </row>
    <row r="42" spans="3:17" ht="21" x14ac:dyDescent="0.4">
      <c r="C42" s="278" t="str">
        <f ca="1">IF(ROW()-2&gt;Start.listina!$O$7,"",INDIRECT(ADDRESS(3+(ROW()-3)*2,$D$2,1,1,"Centrum")))</f>
        <v/>
      </c>
      <c r="D42" s="278" t="str">
        <f ca="1">IF(ROW()-2&gt;Start.listina!$O$7,"",INDIRECT(ADDRESS(4+(ROW()-3)*2,$D$2,1,1,"Centrum")))</f>
        <v/>
      </c>
      <c r="E42" s="276" t="str">
        <f ca="1">IF(TYPE(VLOOKUP(C42,Centrum!$A$3:$C$130,3,0))&gt;3," - ",VLOOKUP(C42,Centrum!$A$3:$C$130,3,0))</f>
        <v xml:space="preserve"> - </v>
      </c>
      <c r="F42" s="276" t="str">
        <f ca="1">IF(TYPE(VLOOKUP(D42,Centrum!$A$3:$C$130,3,0))&gt;3," - ",VLOOKUP(D42,Centrum!$A$3:$C$130,3,0))</f>
        <v xml:space="preserve"> - </v>
      </c>
      <c r="G42" s="439" t="str">
        <f ca="1">IF(ROW()-2&gt;Start.listina!$O$7,"",ROW()-2)</f>
        <v/>
      </c>
      <c r="H42" s="272"/>
      <c r="I42" s="274"/>
      <c r="K42" s="275" t="str">
        <f t="shared" ca="1" si="0"/>
        <v/>
      </c>
      <c r="L42" s="275" t="str">
        <f t="shared" ca="1" si="1"/>
        <v/>
      </c>
      <c r="M42" s="275">
        <f t="shared" ca="1" si="2"/>
        <v>0</v>
      </c>
      <c r="N42" s="275">
        <f t="shared" ca="1" si="6"/>
        <v>0</v>
      </c>
      <c r="O42" s="275" t="str">
        <f t="shared" ca="1" si="3"/>
        <v/>
      </c>
      <c r="P42" s="275">
        <f t="shared" ca="1" si="4"/>
        <v>0</v>
      </c>
      <c r="Q42" s="282">
        <f t="shared" ca="1" si="5"/>
        <v>0</v>
      </c>
    </row>
    <row r="43" spans="3:17" ht="21" x14ac:dyDescent="0.4">
      <c r="C43" s="278" t="str">
        <f ca="1">IF(ROW()-2&gt;Start.listina!$O$7,"",INDIRECT(ADDRESS(3+(ROW()-3)*2,$D$2,1,1,"Centrum")))</f>
        <v/>
      </c>
      <c r="D43" s="278" t="str">
        <f ca="1">IF(ROW()-2&gt;Start.listina!$O$7,"",INDIRECT(ADDRESS(4+(ROW()-3)*2,$D$2,1,1,"Centrum")))</f>
        <v/>
      </c>
      <c r="E43" s="276" t="str">
        <f ca="1">IF(TYPE(VLOOKUP(C43,Centrum!$A$3:$C$130,3,0))&gt;3," - ",VLOOKUP(C43,Centrum!$A$3:$C$130,3,0))</f>
        <v xml:space="preserve"> - </v>
      </c>
      <c r="F43" s="276" t="str">
        <f ca="1">IF(TYPE(VLOOKUP(D43,Centrum!$A$3:$C$130,3,0))&gt;3," - ",VLOOKUP(D43,Centrum!$A$3:$C$130,3,0))</f>
        <v xml:space="preserve"> - </v>
      </c>
      <c r="G43" s="439" t="str">
        <f ca="1">IF(ROW()-2&gt;Start.listina!$O$7,"",ROW()-2)</f>
        <v/>
      </c>
      <c r="H43" s="272"/>
      <c r="I43" s="274"/>
      <c r="K43" s="275" t="str">
        <f t="shared" ca="1" si="0"/>
        <v/>
      </c>
      <c r="L43" s="275" t="str">
        <f t="shared" ca="1" si="1"/>
        <v/>
      </c>
      <c r="M43" s="275">
        <f t="shared" ca="1" si="2"/>
        <v>0</v>
      </c>
      <c r="N43" s="275">
        <f t="shared" ca="1" si="6"/>
        <v>0</v>
      </c>
      <c r="O43" s="275" t="str">
        <f t="shared" ca="1" si="3"/>
        <v/>
      </c>
      <c r="P43" s="275">
        <f t="shared" ca="1" si="4"/>
        <v>0</v>
      </c>
      <c r="Q43" s="282">
        <f t="shared" ca="1" si="5"/>
        <v>0</v>
      </c>
    </row>
    <row r="44" spans="3:17" ht="21" x14ac:dyDescent="0.4">
      <c r="C44" s="278" t="str">
        <f ca="1">IF(ROW()-2&gt;Start.listina!$O$7,"",INDIRECT(ADDRESS(3+(ROW()-3)*2,$D$2,1,1,"Centrum")))</f>
        <v/>
      </c>
      <c r="D44" s="278" t="str">
        <f ca="1">IF(ROW()-2&gt;Start.listina!$O$7,"",INDIRECT(ADDRESS(4+(ROW()-3)*2,$D$2,1,1,"Centrum")))</f>
        <v/>
      </c>
      <c r="E44" s="276" t="str">
        <f ca="1">IF(TYPE(VLOOKUP(C44,Centrum!$A$3:$C$130,3,0))&gt;3," - ",VLOOKUP(C44,Centrum!$A$3:$C$130,3,0))</f>
        <v xml:space="preserve"> - </v>
      </c>
      <c r="F44" s="276" t="str">
        <f ca="1">IF(TYPE(VLOOKUP(D44,Centrum!$A$3:$C$130,3,0))&gt;3," - ",VLOOKUP(D44,Centrum!$A$3:$C$130,3,0))</f>
        <v xml:space="preserve"> - </v>
      </c>
      <c r="G44" s="439" t="str">
        <f ca="1">IF(ROW()-2&gt;Start.listina!$O$7,"",ROW()-2)</f>
        <v/>
      </c>
      <c r="H44" s="272"/>
      <c r="I44" s="274"/>
      <c r="K44" s="275" t="str">
        <f t="shared" ca="1" si="0"/>
        <v/>
      </c>
      <c r="L44" s="275" t="str">
        <f t="shared" ca="1" si="1"/>
        <v/>
      </c>
      <c r="M44" s="275">
        <f t="shared" ca="1" si="2"/>
        <v>0</v>
      </c>
      <c r="N44" s="275">
        <f t="shared" ca="1" si="6"/>
        <v>0</v>
      </c>
      <c r="O44" s="275" t="str">
        <f t="shared" ca="1" si="3"/>
        <v/>
      </c>
      <c r="P44" s="275">
        <f t="shared" ca="1" si="4"/>
        <v>0</v>
      </c>
      <c r="Q44" s="282">
        <f t="shared" ca="1" si="5"/>
        <v>0</v>
      </c>
    </row>
    <row r="45" spans="3:17" ht="21" x14ac:dyDescent="0.4">
      <c r="C45" s="278" t="str">
        <f ca="1">IF(ROW()-2&gt;Start.listina!$O$7,"",INDIRECT(ADDRESS(3+(ROW()-3)*2,$D$2,1,1,"Centrum")))</f>
        <v/>
      </c>
      <c r="D45" s="278" t="str">
        <f ca="1">IF(ROW()-2&gt;Start.listina!$O$7,"",INDIRECT(ADDRESS(4+(ROW()-3)*2,$D$2,1,1,"Centrum")))</f>
        <v/>
      </c>
      <c r="E45" s="276" t="str">
        <f ca="1">IF(TYPE(VLOOKUP(C45,Centrum!$A$3:$C$130,3,0))&gt;3," - ",VLOOKUP(C45,Centrum!$A$3:$C$130,3,0))</f>
        <v xml:space="preserve"> - </v>
      </c>
      <c r="F45" s="276" t="str">
        <f ca="1">IF(TYPE(VLOOKUP(D45,Centrum!$A$3:$C$130,3,0))&gt;3," - ",VLOOKUP(D45,Centrum!$A$3:$C$130,3,0))</f>
        <v xml:space="preserve"> - </v>
      </c>
      <c r="G45" s="439" t="str">
        <f ca="1">IF(ROW()-2&gt;Start.listina!$O$7,"",ROW()-2)</f>
        <v/>
      </c>
      <c r="H45" s="272"/>
      <c r="I45" s="274"/>
      <c r="K45" s="275" t="str">
        <f t="shared" ca="1" si="0"/>
        <v/>
      </c>
      <c r="L45" s="275" t="str">
        <f t="shared" ca="1" si="1"/>
        <v/>
      </c>
      <c r="M45" s="275">
        <f t="shared" ca="1" si="2"/>
        <v>0</v>
      </c>
      <c r="N45" s="275">
        <f t="shared" ca="1" si="6"/>
        <v>0</v>
      </c>
      <c r="O45" s="275" t="str">
        <f t="shared" ca="1" si="3"/>
        <v/>
      </c>
      <c r="P45" s="275">
        <f t="shared" ca="1" si="4"/>
        <v>0</v>
      </c>
      <c r="Q45" s="282">
        <f t="shared" ca="1" si="5"/>
        <v>0</v>
      </c>
    </row>
    <row r="46" spans="3:17" ht="21" x14ac:dyDescent="0.4">
      <c r="C46" s="278" t="str">
        <f ca="1">IF(ROW()-2&gt;Start.listina!$O$7,"",INDIRECT(ADDRESS(3+(ROW()-3)*2,$D$2,1,1,"Centrum")))</f>
        <v/>
      </c>
      <c r="D46" s="278" t="str">
        <f ca="1">IF(ROW()-2&gt;Start.listina!$O$7,"",INDIRECT(ADDRESS(4+(ROW()-3)*2,$D$2,1,1,"Centrum")))</f>
        <v/>
      </c>
      <c r="E46" s="276" t="str">
        <f ca="1">IF(TYPE(VLOOKUP(C46,Centrum!$A$3:$C$130,3,0))&gt;3," - ",VLOOKUP(C46,Centrum!$A$3:$C$130,3,0))</f>
        <v xml:space="preserve"> - </v>
      </c>
      <c r="F46" s="276" t="str">
        <f ca="1">IF(TYPE(VLOOKUP(D46,Centrum!$A$3:$C$130,3,0))&gt;3," - ",VLOOKUP(D46,Centrum!$A$3:$C$130,3,0))</f>
        <v xml:space="preserve"> - </v>
      </c>
      <c r="G46" s="439" t="str">
        <f ca="1">IF(ROW()-2&gt;Start.listina!$O$7,"",ROW()-2)</f>
        <v/>
      </c>
      <c r="H46" s="272"/>
      <c r="I46" s="274"/>
      <c r="K46" s="275" t="str">
        <f t="shared" ca="1" si="0"/>
        <v/>
      </c>
      <c r="L46" s="275" t="str">
        <f t="shared" ca="1" si="1"/>
        <v/>
      </c>
      <c r="M46" s="275">
        <f t="shared" ca="1" si="2"/>
        <v>0</v>
      </c>
      <c r="N46" s="275">
        <f t="shared" ca="1" si="6"/>
        <v>0</v>
      </c>
      <c r="O46" s="275" t="str">
        <f t="shared" ca="1" si="3"/>
        <v/>
      </c>
      <c r="P46" s="275">
        <f t="shared" ca="1" si="4"/>
        <v>0</v>
      </c>
      <c r="Q46" s="282">
        <f t="shared" ca="1" si="5"/>
        <v>0</v>
      </c>
    </row>
    <row r="47" spans="3:17" ht="21" x14ac:dyDescent="0.4">
      <c r="C47" s="278" t="str">
        <f ca="1">IF(ROW()-2&gt;Start.listina!$O$7,"",INDIRECT(ADDRESS(3+(ROW()-3)*2,$D$2,1,1,"Centrum")))</f>
        <v/>
      </c>
      <c r="D47" s="278" t="str">
        <f ca="1">IF(ROW()-2&gt;Start.listina!$O$7,"",INDIRECT(ADDRESS(4+(ROW()-3)*2,$D$2,1,1,"Centrum")))</f>
        <v/>
      </c>
      <c r="E47" s="276" t="str">
        <f ca="1">IF(TYPE(VLOOKUP(C47,Centrum!$A$3:$C$130,3,0))&gt;3," - ",VLOOKUP(C47,Centrum!$A$3:$C$130,3,0))</f>
        <v xml:space="preserve"> - </v>
      </c>
      <c r="F47" s="276" t="str">
        <f ca="1">IF(TYPE(VLOOKUP(D47,Centrum!$A$3:$C$130,3,0))&gt;3," - ",VLOOKUP(D47,Centrum!$A$3:$C$130,3,0))</f>
        <v xml:space="preserve"> - </v>
      </c>
      <c r="G47" s="439" t="str">
        <f ca="1">IF(ROW()-2&gt;Start.listina!$O$7,"",ROW()-2)</f>
        <v/>
      </c>
      <c r="H47" s="272"/>
      <c r="I47" s="274"/>
      <c r="K47" s="275" t="str">
        <f t="shared" ca="1" si="0"/>
        <v/>
      </c>
      <c r="L47" s="275" t="str">
        <f t="shared" ca="1" si="1"/>
        <v/>
      </c>
      <c r="M47" s="275">
        <f t="shared" ca="1" si="2"/>
        <v>0</v>
      </c>
      <c r="N47" s="275">
        <f t="shared" ca="1" si="6"/>
        <v>0</v>
      </c>
      <c r="O47" s="275" t="str">
        <f t="shared" ca="1" si="3"/>
        <v/>
      </c>
      <c r="P47" s="275">
        <f t="shared" ca="1" si="4"/>
        <v>0</v>
      </c>
      <c r="Q47" s="282">
        <f t="shared" ca="1" si="5"/>
        <v>0</v>
      </c>
    </row>
    <row r="48" spans="3:17" ht="21" x14ac:dyDescent="0.4">
      <c r="C48" s="278" t="str">
        <f ca="1">IF(ROW()-2&gt;Start.listina!$O$7,"",INDIRECT(ADDRESS(3+(ROW()-3)*2,$D$2,1,1,"Centrum")))</f>
        <v/>
      </c>
      <c r="D48" s="278" t="str">
        <f ca="1">IF(ROW()-2&gt;Start.listina!$O$7,"",INDIRECT(ADDRESS(4+(ROW()-3)*2,$D$2,1,1,"Centrum")))</f>
        <v/>
      </c>
      <c r="E48" s="276" t="str">
        <f ca="1">IF(TYPE(VLOOKUP(C48,Centrum!$A$3:$C$130,3,0))&gt;3," - ",VLOOKUP(C48,Centrum!$A$3:$C$130,3,0))</f>
        <v xml:space="preserve"> - </v>
      </c>
      <c r="F48" s="276" t="str">
        <f ca="1">IF(TYPE(VLOOKUP(D48,Centrum!$A$3:$C$130,3,0))&gt;3," - ",VLOOKUP(D48,Centrum!$A$3:$C$130,3,0))</f>
        <v xml:space="preserve"> - </v>
      </c>
      <c r="G48" s="439" t="str">
        <f ca="1">IF(ROW()-2&gt;Start.listina!$O$7,"",ROW()-2)</f>
        <v/>
      </c>
      <c r="H48" s="272"/>
      <c r="I48" s="274"/>
      <c r="K48" s="275" t="str">
        <f t="shared" ca="1" si="0"/>
        <v/>
      </c>
      <c r="L48" s="275" t="str">
        <f t="shared" ca="1" si="1"/>
        <v/>
      </c>
      <c r="M48" s="275">
        <f t="shared" ca="1" si="2"/>
        <v>0</v>
      </c>
      <c r="N48" s="275">
        <f t="shared" ca="1" si="6"/>
        <v>0</v>
      </c>
      <c r="O48" s="275" t="str">
        <f t="shared" ca="1" si="3"/>
        <v/>
      </c>
      <c r="P48" s="275">
        <f t="shared" ca="1" si="4"/>
        <v>0</v>
      </c>
      <c r="Q48" s="282">
        <f t="shared" ca="1" si="5"/>
        <v>0</v>
      </c>
    </row>
    <row r="49" spans="3:17" ht="21" x14ac:dyDescent="0.4">
      <c r="C49" s="278" t="str">
        <f ca="1">IF(ROW()-2&gt;Start.listina!$O$7,"",INDIRECT(ADDRESS(3+(ROW()-3)*2,$D$2,1,1,"Centrum")))</f>
        <v/>
      </c>
      <c r="D49" s="278" t="str">
        <f ca="1">IF(ROW()-2&gt;Start.listina!$O$7,"",INDIRECT(ADDRESS(4+(ROW()-3)*2,$D$2,1,1,"Centrum")))</f>
        <v/>
      </c>
      <c r="E49" s="276" t="str">
        <f ca="1">IF(TYPE(VLOOKUP(C49,Centrum!$A$3:$C$130,3,0))&gt;3," - ",VLOOKUP(C49,Centrum!$A$3:$C$130,3,0))</f>
        <v xml:space="preserve"> - </v>
      </c>
      <c r="F49" s="276" t="str">
        <f ca="1">IF(TYPE(VLOOKUP(D49,Centrum!$A$3:$C$130,3,0))&gt;3," - ",VLOOKUP(D49,Centrum!$A$3:$C$130,3,0))</f>
        <v xml:space="preserve"> - </v>
      </c>
      <c r="G49" s="439" t="str">
        <f ca="1">IF(ROW()-2&gt;Start.listina!$O$7,"",ROW()-2)</f>
        <v/>
      </c>
      <c r="H49" s="272"/>
      <c r="I49" s="274"/>
      <c r="K49" s="275" t="str">
        <f t="shared" ca="1" si="0"/>
        <v/>
      </c>
      <c r="L49" s="275" t="str">
        <f t="shared" ca="1" si="1"/>
        <v/>
      </c>
      <c r="M49" s="275">
        <f t="shared" ca="1" si="2"/>
        <v>0</v>
      </c>
      <c r="N49" s="275">
        <f t="shared" ca="1" si="6"/>
        <v>0</v>
      </c>
      <c r="O49" s="275" t="str">
        <f t="shared" ca="1" si="3"/>
        <v/>
      </c>
      <c r="P49" s="275">
        <f t="shared" ca="1" si="4"/>
        <v>0</v>
      </c>
      <c r="Q49" s="282">
        <f t="shared" ca="1" si="5"/>
        <v>0</v>
      </c>
    </row>
    <row r="50" spans="3:17" ht="21" x14ac:dyDescent="0.4">
      <c r="C50" s="278" t="str">
        <f ca="1">IF(ROW()-2&gt;Start.listina!$O$7,"",INDIRECT(ADDRESS(3+(ROW()-3)*2,$D$2,1,1,"Centrum")))</f>
        <v/>
      </c>
      <c r="D50" s="278" t="str">
        <f ca="1">IF(ROW()-2&gt;Start.listina!$O$7,"",INDIRECT(ADDRESS(4+(ROW()-3)*2,$D$2,1,1,"Centrum")))</f>
        <v/>
      </c>
      <c r="E50" s="276" t="str">
        <f ca="1">IF(TYPE(VLOOKUP(C50,Centrum!$A$3:$C$130,3,0))&gt;3," - ",VLOOKUP(C50,Centrum!$A$3:$C$130,3,0))</f>
        <v xml:space="preserve"> - </v>
      </c>
      <c r="F50" s="276" t="str">
        <f ca="1">IF(TYPE(VLOOKUP(D50,Centrum!$A$3:$C$130,3,0))&gt;3," - ",VLOOKUP(D50,Centrum!$A$3:$C$130,3,0))</f>
        <v xml:space="preserve"> - </v>
      </c>
      <c r="G50" s="439" t="str">
        <f ca="1">IF(ROW()-2&gt;Start.listina!$O$7,"",ROW()-2)</f>
        <v/>
      </c>
      <c r="H50" s="272"/>
      <c r="I50" s="274"/>
      <c r="K50" s="275" t="str">
        <f t="shared" ca="1" si="0"/>
        <v/>
      </c>
      <c r="L50" s="275" t="str">
        <f t="shared" ca="1" si="1"/>
        <v/>
      </c>
      <c r="M50" s="275">
        <f t="shared" ca="1" si="2"/>
        <v>0</v>
      </c>
      <c r="N50" s="275">
        <f t="shared" ca="1" si="6"/>
        <v>0</v>
      </c>
      <c r="O50" s="275" t="str">
        <f t="shared" ca="1" si="3"/>
        <v/>
      </c>
      <c r="P50" s="275">
        <f t="shared" ca="1" si="4"/>
        <v>0</v>
      </c>
      <c r="Q50" s="282">
        <f t="shared" ca="1" si="5"/>
        <v>0</v>
      </c>
    </row>
    <row r="51" spans="3:17" ht="21" x14ac:dyDescent="0.4">
      <c r="C51" s="278" t="str">
        <f ca="1">IF(ROW()-2&gt;Start.listina!$O$7,"",INDIRECT(ADDRESS(3+(ROW()-3)*2,$D$2,1,1,"Centrum")))</f>
        <v/>
      </c>
      <c r="D51" s="278" t="str">
        <f ca="1">IF(ROW()-2&gt;Start.listina!$O$7,"",INDIRECT(ADDRESS(4+(ROW()-3)*2,$D$2,1,1,"Centrum")))</f>
        <v/>
      </c>
      <c r="E51" s="276" t="str">
        <f ca="1">IF(TYPE(VLOOKUP(C51,Centrum!$A$3:$C$130,3,0))&gt;3," - ",VLOOKUP(C51,Centrum!$A$3:$C$130,3,0))</f>
        <v xml:space="preserve"> - </v>
      </c>
      <c r="F51" s="276" t="str">
        <f ca="1">IF(TYPE(VLOOKUP(D51,Centrum!$A$3:$C$130,3,0))&gt;3," - ",VLOOKUP(D51,Centrum!$A$3:$C$130,3,0))</f>
        <v xml:space="preserve"> - </v>
      </c>
      <c r="G51" s="439" t="str">
        <f ca="1">IF(ROW()-2&gt;Start.listina!$O$7,"",ROW()-2)</f>
        <v/>
      </c>
      <c r="H51" s="272"/>
      <c r="I51" s="274"/>
      <c r="K51" s="275" t="str">
        <f t="shared" ca="1" si="0"/>
        <v/>
      </c>
      <c r="L51" s="275" t="str">
        <f t="shared" ca="1" si="1"/>
        <v/>
      </c>
      <c r="M51" s="275">
        <f t="shared" ca="1" si="2"/>
        <v>0</v>
      </c>
      <c r="N51" s="275">
        <f t="shared" ca="1" si="6"/>
        <v>0</v>
      </c>
      <c r="O51" s="275" t="str">
        <f t="shared" ca="1" si="3"/>
        <v/>
      </c>
      <c r="P51" s="275">
        <f t="shared" ca="1" si="4"/>
        <v>0</v>
      </c>
      <c r="Q51" s="282">
        <f t="shared" ca="1" si="5"/>
        <v>0</v>
      </c>
    </row>
    <row r="52" spans="3:17" ht="21" x14ac:dyDescent="0.4">
      <c r="C52" s="278" t="str">
        <f ca="1">IF(ROW()-2&gt;Start.listina!$O$7,"",INDIRECT(ADDRESS(3+(ROW()-3)*2,$D$2,1,1,"Centrum")))</f>
        <v/>
      </c>
      <c r="D52" s="278" t="str">
        <f ca="1">IF(ROW()-2&gt;Start.listina!$O$7,"",INDIRECT(ADDRESS(4+(ROW()-3)*2,$D$2,1,1,"Centrum")))</f>
        <v/>
      </c>
      <c r="E52" s="276" t="str">
        <f ca="1">IF(TYPE(VLOOKUP(C52,Centrum!$A$3:$C$130,3,0))&gt;3," - ",VLOOKUP(C52,Centrum!$A$3:$C$130,3,0))</f>
        <v xml:space="preserve"> - </v>
      </c>
      <c r="F52" s="276" t="str">
        <f ca="1">IF(TYPE(VLOOKUP(D52,Centrum!$A$3:$C$130,3,0))&gt;3," - ",VLOOKUP(D52,Centrum!$A$3:$C$130,3,0))</f>
        <v xml:space="preserve"> - </v>
      </c>
      <c r="G52" s="439" t="str">
        <f ca="1">IF(ROW()-2&gt;Start.listina!$O$7,"",ROW()-2)</f>
        <v/>
      </c>
      <c r="H52" s="272"/>
      <c r="I52" s="274"/>
      <c r="K52" s="275" t="str">
        <f t="shared" ca="1" si="0"/>
        <v/>
      </c>
      <c r="L52" s="275" t="str">
        <f t="shared" ca="1" si="1"/>
        <v/>
      </c>
      <c r="M52" s="275">
        <f t="shared" ca="1" si="2"/>
        <v>0</v>
      </c>
      <c r="N52" s="275">
        <f t="shared" ca="1" si="6"/>
        <v>0</v>
      </c>
      <c r="O52" s="275" t="str">
        <f t="shared" ca="1" si="3"/>
        <v/>
      </c>
      <c r="P52" s="275">
        <f t="shared" ca="1" si="4"/>
        <v>0</v>
      </c>
      <c r="Q52" s="282">
        <f t="shared" ca="1" si="5"/>
        <v>0</v>
      </c>
    </row>
    <row r="53" spans="3:17" ht="21" x14ac:dyDescent="0.4">
      <c r="C53" s="278" t="str">
        <f ca="1">IF(ROW()-2&gt;Start.listina!$O$7,"",INDIRECT(ADDRESS(3+(ROW()-3)*2,$D$2,1,1,"Centrum")))</f>
        <v/>
      </c>
      <c r="D53" s="278" t="str">
        <f ca="1">IF(ROW()-2&gt;Start.listina!$O$7,"",INDIRECT(ADDRESS(4+(ROW()-3)*2,$D$2,1,1,"Centrum")))</f>
        <v/>
      </c>
      <c r="E53" s="276" t="str">
        <f ca="1">IF(TYPE(VLOOKUP(C53,Centrum!$A$3:$C$130,3,0))&gt;3," - ",VLOOKUP(C53,Centrum!$A$3:$C$130,3,0))</f>
        <v xml:space="preserve"> - </v>
      </c>
      <c r="F53" s="276" t="str">
        <f ca="1">IF(TYPE(VLOOKUP(D53,Centrum!$A$3:$C$130,3,0))&gt;3," - ",VLOOKUP(D53,Centrum!$A$3:$C$130,3,0))</f>
        <v xml:space="preserve"> - </v>
      </c>
      <c r="G53" s="439" t="str">
        <f ca="1">IF(ROW()-2&gt;Start.listina!$O$7,"",ROW()-2)</f>
        <v/>
      </c>
      <c r="H53" s="272"/>
      <c r="I53" s="274"/>
      <c r="K53" s="275" t="str">
        <f t="shared" ca="1" si="0"/>
        <v/>
      </c>
      <c r="L53" s="275" t="str">
        <f t="shared" ca="1" si="1"/>
        <v/>
      </c>
      <c r="M53" s="275">
        <f t="shared" ca="1" si="2"/>
        <v>0</v>
      </c>
      <c r="N53" s="275">
        <f t="shared" ca="1" si="6"/>
        <v>0</v>
      </c>
      <c r="O53" s="275" t="str">
        <f t="shared" ca="1" si="3"/>
        <v/>
      </c>
      <c r="P53" s="275">
        <f t="shared" ca="1" si="4"/>
        <v>0</v>
      </c>
      <c r="Q53" s="282">
        <f t="shared" ca="1" si="5"/>
        <v>0</v>
      </c>
    </row>
    <row r="54" spans="3:17" ht="21" x14ac:dyDescent="0.4">
      <c r="C54" s="278" t="str">
        <f ca="1">IF(ROW()-2&gt;Start.listina!$O$7,"",INDIRECT(ADDRESS(3+(ROW()-3)*2,$D$2,1,1,"Centrum")))</f>
        <v/>
      </c>
      <c r="D54" s="278" t="str">
        <f ca="1">IF(ROW()-2&gt;Start.listina!$O$7,"",INDIRECT(ADDRESS(4+(ROW()-3)*2,$D$2,1,1,"Centrum")))</f>
        <v/>
      </c>
      <c r="E54" s="276" t="str">
        <f ca="1">IF(TYPE(VLOOKUP(C54,Centrum!$A$3:$C$130,3,0))&gt;3," - ",VLOOKUP(C54,Centrum!$A$3:$C$130,3,0))</f>
        <v xml:space="preserve"> - </v>
      </c>
      <c r="F54" s="276" t="str">
        <f ca="1">IF(TYPE(VLOOKUP(D54,Centrum!$A$3:$C$130,3,0))&gt;3," - ",VLOOKUP(D54,Centrum!$A$3:$C$130,3,0))</f>
        <v xml:space="preserve"> - </v>
      </c>
      <c r="G54" s="439" t="str">
        <f ca="1">IF(ROW()-2&gt;Start.listina!$O$7,"",ROW()-2)</f>
        <v/>
      </c>
      <c r="H54" s="272"/>
      <c r="I54" s="274"/>
      <c r="K54" s="275" t="str">
        <f t="shared" ca="1" si="0"/>
        <v/>
      </c>
      <c r="L54" s="275" t="str">
        <f t="shared" ca="1" si="1"/>
        <v/>
      </c>
      <c r="M54" s="275">
        <f t="shared" ca="1" si="2"/>
        <v>0</v>
      </c>
      <c r="N54" s="275">
        <f t="shared" ca="1" si="6"/>
        <v>0</v>
      </c>
      <c r="O54" s="275" t="str">
        <f t="shared" ca="1" si="3"/>
        <v/>
      </c>
      <c r="P54" s="275">
        <f t="shared" ca="1" si="4"/>
        <v>0</v>
      </c>
      <c r="Q54" s="282">
        <f t="shared" ca="1" si="5"/>
        <v>0</v>
      </c>
    </row>
    <row r="55" spans="3:17" ht="21" x14ac:dyDescent="0.4">
      <c r="C55" s="278" t="str">
        <f ca="1">IF(ROW()-2&gt;Start.listina!$O$7,"",INDIRECT(ADDRESS(3+(ROW()-3)*2,$D$2,1,1,"Centrum")))</f>
        <v/>
      </c>
      <c r="D55" s="278" t="str">
        <f ca="1">IF(ROW()-2&gt;Start.listina!$O$7,"",INDIRECT(ADDRESS(4+(ROW()-3)*2,$D$2,1,1,"Centrum")))</f>
        <v/>
      </c>
      <c r="E55" s="276" t="str">
        <f ca="1">IF(TYPE(VLOOKUP(C55,Centrum!$A$3:$C$130,3,0))&gt;3," - ",VLOOKUP(C55,Centrum!$A$3:$C$130,3,0))</f>
        <v xml:space="preserve"> - </v>
      </c>
      <c r="F55" s="276" t="str">
        <f ca="1">IF(TYPE(VLOOKUP(D55,Centrum!$A$3:$C$130,3,0))&gt;3," - ",VLOOKUP(D55,Centrum!$A$3:$C$130,3,0))</f>
        <v xml:space="preserve"> - </v>
      </c>
      <c r="G55" s="439" t="str">
        <f ca="1">IF(ROW()-2&gt;Start.listina!$O$7,"",ROW()-2)</f>
        <v/>
      </c>
      <c r="H55" s="272"/>
      <c r="I55" s="274"/>
      <c r="K55" s="275" t="str">
        <f t="shared" ca="1" si="0"/>
        <v/>
      </c>
      <c r="L55" s="275" t="str">
        <f t="shared" ca="1" si="1"/>
        <v/>
      </c>
      <c r="M55" s="275">
        <f t="shared" ca="1" si="2"/>
        <v>0</v>
      </c>
      <c r="N55" s="275">
        <f t="shared" ca="1" si="6"/>
        <v>0</v>
      </c>
      <c r="O55" s="275" t="str">
        <f t="shared" ca="1" si="3"/>
        <v/>
      </c>
      <c r="P55" s="275">
        <f t="shared" ca="1" si="4"/>
        <v>0</v>
      </c>
      <c r="Q55" s="282">
        <f t="shared" ca="1" si="5"/>
        <v>0</v>
      </c>
    </row>
    <row r="56" spans="3:17" ht="21" x14ac:dyDescent="0.4">
      <c r="C56" s="278" t="str">
        <f ca="1">IF(ROW()-2&gt;Start.listina!$O$7,"",INDIRECT(ADDRESS(3+(ROW()-3)*2,$D$2,1,1,"Centrum")))</f>
        <v/>
      </c>
      <c r="D56" s="278" t="str">
        <f ca="1">IF(ROW()-2&gt;Start.listina!$O$7,"",INDIRECT(ADDRESS(4+(ROW()-3)*2,$D$2,1,1,"Centrum")))</f>
        <v/>
      </c>
      <c r="E56" s="276" t="str">
        <f ca="1">IF(TYPE(VLOOKUP(C56,Centrum!$A$3:$C$130,3,0))&gt;3," - ",VLOOKUP(C56,Centrum!$A$3:$C$130,3,0))</f>
        <v xml:space="preserve"> - </v>
      </c>
      <c r="F56" s="276" t="str">
        <f ca="1">IF(TYPE(VLOOKUP(D56,Centrum!$A$3:$C$130,3,0))&gt;3," - ",VLOOKUP(D56,Centrum!$A$3:$C$130,3,0))</f>
        <v xml:space="preserve"> - </v>
      </c>
      <c r="G56" s="439" t="str">
        <f ca="1">IF(ROW()-2&gt;Start.listina!$O$7,"",ROW()-2)</f>
        <v/>
      </c>
      <c r="H56" s="272"/>
      <c r="I56" s="274"/>
      <c r="K56" s="275" t="str">
        <f t="shared" ca="1" si="0"/>
        <v/>
      </c>
      <c r="L56" s="275" t="str">
        <f t="shared" ca="1" si="1"/>
        <v/>
      </c>
      <c r="M56" s="275">
        <f t="shared" ca="1" si="2"/>
        <v>0</v>
      </c>
      <c r="N56" s="275">
        <f t="shared" ca="1" si="6"/>
        <v>0</v>
      </c>
      <c r="O56" s="275" t="str">
        <f t="shared" ca="1" si="3"/>
        <v/>
      </c>
      <c r="P56" s="275">
        <f t="shared" ca="1" si="4"/>
        <v>0</v>
      </c>
      <c r="Q56" s="282">
        <f t="shared" ca="1" si="5"/>
        <v>0</v>
      </c>
    </row>
    <row r="57" spans="3:17" ht="21" x14ac:dyDescent="0.4">
      <c r="C57" s="278" t="str">
        <f ca="1">IF(ROW()-2&gt;Start.listina!$O$7,"",INDIRECT(ADDRESS(3+(ROW()-3)*2,$D$2,1,1,"Centrum")))</f>
        <v/>
      </c>
      <c r="D57" s="278" t="str">
        <f ca="1">IF(ROW()-2&gt;Start.listina!$O$7,"",INDIRECT(ADDRESS(4+(ROW()-3)*2,$D$2,1,1,"Centrum")))</f>
        <v/>
      </c>
      <c r="E57" s="276" t="str">
        <f ca="1">IF(TYPE(VLOOKUP(C57,Centrum!$A$3:$C$130,3,0))&gt;3," - ",VLOOKUP(C57,Centrum!$A$3:$C$130,3,0))</f>
        <v xml:space="preserve"> - </v>
      </c>
      <c r="F57" s="276" t="str">
        <f ca="1">IF(TYPE(VLOOKUP(D57,Centrum!$A$3:$C$130,3,0))&gt;3," - ",VLOOKUP(D57,Centrum!$A$3:$C$130,3,0))</f>
        <v xml:space="preserve"> - </v>
      </c>
      <c r="G57" s="439" t="str">
        <f ca="1">IF(ROW()-2&gt;Start.listina!$O$7,"",ROW()-2)</f>
        <v/>
      </c>
      <c r="H57" s="272"/>
      <c r="I57" s="274"/>
      <c r="K57" s="275" t="str">
        <f t="shared" ca="1" si="0"/>
        <v/>
      </c>
      <c r="L57" s="275" t="str">
        <f t="shared" ca="1" si="1"/>
        <v/>
      </c>
      <c r="M57" s="275">
        <f t="shared" ca="1" si="2"/>
        <v>0</v>
      </c>
      <c r="N57" s="275">
        <f t="shared" ca="1" si="6"/>
        <v>0</v>
      </c>
      <c r="O57" s="275" t="str">
        <f t="shared" ca="1" si="3"/>
        <v/>
      </c>
      <c r="P57" s="275">
        <f t="shared" ca="1" si="4"/>
        <v>0</v>
      </c>
      <c r="Q57" s="282">
        <f t="shared" ca="1" si="5"/>
        <v>0</v>
      </c>
    </row>
    <row r="58" spans="3:17" ht="21" x14ac:dyDescent="0.4">
      <c r="C58" s="278" t="str">
        <f ca="1">IF(ROW()-2&gt;Start.listina!$O$7,"",INDIRECT(ADDRESS(3+(ROW()-3)*2,$D$2,1,1,"Centrum")))</f>
        <v/>
      </c>
      <c r="D58" s="278" t="str">
        <f ca="1">IF(ROW()-2&gt;Start.listina!$O$7,"",INDIRECT(ADDRESS(4+(ROW()-3)*2,$D$2,1,1,"Centrum")))</f>
        <v/>
      </c>
      <c r="E58" s="276" t="str">
        <f ca="1">IF(TYPE(VLOOKUP(C58,Centrum!$A$3:$C$130,3,0))&gt;3," - ",VLOOKUP(C58,Centrum!$A$3:$C$130,3,0))</f>
        <v xml:space="preserve"> - </v>
      </c>
      <c r="F58" s="276" t="str">
        <f ca="1">IF(TYPE(VLOOKUP(D58,Centrum!$A$3:$C$130,3,0))&gt;3," - ",VLOOKUP(D58,Centrum!$A$3:$C$130,3,0))</f>
        <v xml:space="preserve"> - </v>
      </c>
      <c r="G58" s="439" t="str">
        <f ca="1">IF(ROW()-2&gt;Start.listina!$O$7,"",ROW()-2)</f>
        <v/>
      </c>
      <c r="H58" s="272"/>
      <c r="I58" s="274"/>
      <c r="K58" s="275" t="str">
        <f t="shared" ca="1" si="0"/>
        <v/>
      </c>
      <c r="L58" s="275" t="str">
        <f t="shared" ca="1" si="1"/>
        <v/>
      </c>
      <c r="M58" s="275">
        <f t="shared" ca="1" si="2"/>
        <v>0</v>
      </c>
      <c r="N58" s="275">
        <f t="shared" ca="1" si="6"/>
        <v>0</v>
      </c>
      <c r="O58" s="275" t="str">
        <f t="shared" ca="1" si="3"/>
        <v/>
      </c>
      <c r="P58" s="275">
        <f t="shared" ca="1" si="4"/>
        <v>0</v>
      </c>
      <c r="Q58" s="282">
        <f t="shared" ca="1" si="5"/>
        <v>0</v>
      </c>
    </row>
    <row r="59" spans="3:17" ht="21" x14ac:dyDescent="0.4">
      <c r="C59" s="278" t="str">
        <f ca="1">IF(ROW()-2&gt;Start.listina!$O$7,"",INDIRECT(ADDRESS(3+(ROW()-3)*2,$D$2,1,1,"Centrum")))</f>
        <v/>
      </c>
      <c r="D59" s="278" t="str">
        <f ca="1">IF(ROW()-2&gt;Start.listina!$O$7,"",INDIRECT(ADDRESS(4+(ROW()-3)*2,$D$2,1,1,"Centrum")))</f>
        <v/>
      </c>
      <c r="E59" s="276" t="str">
        <f ca="1">IF(TYPE(VLOOKUP(C59,Centrum!$A$3:$C$130,3,0))&gt;3," - ",VLOOKUP(C59,Centrum!$A$3:$C$130,3,0))</f>
        <v xml:space="preserve"> - </v>
      </c>
      <c r="F59" s="276" t="str">
        <f ca="1">IF(TYPE(VLOOKUP(D59,Centrum!$A$3:$C$130,3,0))&gt;3," - ",VLOOKUP(D59,Centrum!$A$3:$C$130,3,0))</f>
        <v xml:space="preserve"> - </v>
      </c>
      <c r="G59" s="439" t="str">
        <f ca="1">IF(ROW()-2&gt;Start.listina!$O$7,"",ROW()-2)</f>
        <v/>
      </c>
      <c r="H59" s="272"/>
      <c r="I59" s="274"/>
      <c r="K59" s="275" t="str">
        <f t="shared" ca="1" si="0"/>
        <v/>
      </c>
      <c r="L59" s="275" t="str">
        <f t="shared" ca="1" si="1"/>
        <v/>
      </c>
      <c r="M59" s="275">
        <f t="shared" ca="1" si="2"/>
        <v>0</v>
      </c>
      <c r="N59" s="275">
        <f t="shared" ca="1" si="6"/>
        <v>0</v>
      </c>
      <c r="O59" s="275" t="str">
        <f t="shared" ca="1" si="3"/>
        <v/>
      </c>
      <c r="P59" s="275">
        <f t="shared" ca="1" si="4"/>
        <v>0</v>
      </c>
      <c r="Q59" s="282">
        <f t="shared" ca="1" si="5"/>
        <v>0</v>
      </c>
    </row>
    <row r="60" spans="3:17" ht="21" x14ac:dyDescent="0.4">
      <c r="C60" s="278" t="str">
        <f ca="1">IF(ROW()-2&gt;Start.listina!$O$7,"",INDIRECT(ADDRESS(3+(ROW()-3)*2,$D$2,1,1,"Centrum")))</f>
        <v/>
      </c>
      <c r="D60" s="278" t="str">
        <f ca="1">IF(ROW()-2&gt;Start.listina!$O$7,"",INDIRECT(ADDRESS(4+(ROW()-3)*2,$D$2,1,1,"Centrum")))</f>
        <v/>
      </c>
      <c r="E60" s="276" t="str">
        <f ca="1">IF(TYPE(VLOOKUP(C60,Centrum!$A$3:$C$130,3,0))&gt;3," - ",VLOOKUP(C60,Centrum!$A$3:$C$130,3,0))</f>
        <v xml:space="preserve"> - </v>
      </c>
      <c r="F60" s="276" t="str">
        <f ca="1">IF(TYPE(VLOOKUP(D60,Centrum!$A$3:$C$130,3,0))&gt;3," - ",VLOOKUP(D60,Centrum!$A$3:$C$130,3,0))</f>
        <v xml:space="preserve"> - </v>
      </c>
      <c r="G60" s="439" t="str">
        <f ca="1">IF(ROW()-2&gt;Start.listina!$O$7,"",ROW()-2)</f>
        <v/>
      </c>
      <c r="H60" s="272"/>
      <c r="I60" s="274"/>
      <c r="K60" s="275" t="str">
        <f t="shared" ca="1" si="0"/>
        <v/>
      </c>
      <c r="L60" s="275" t="str">
        <f t="shared" ca="1" si="1"/>
        <v/>
      </c>
      <c r="M60" s="275">
        <f t="shared" ca="1" si="2"/>
        <v>0</v>
      </c>
      <c r="N60" s="275">
        <f t="shared" ca="1" si="6"/>
        <v>0</v>
      </c>
      <c r="O60" s="275" t="str">
        <f t="shared" ca="1" si="3"/>
        <v/>
      </c>
      <c r="P60" s="275">
        <f t="shared" ca="1" si="4"/>
        <v>0</v>
      </c>
      <c r="Q60" s="282">
        <f t="shared" ca="1" si="5"/>
        <v>0</v>
      </c>
    </row>
    <row r="61" spans="3:17" ht="21" x14ac:dyDescent="0.4">
      <c r="C61" s="278" t="str">
        <f ca="1">IF(ROW()-2&gt;Start.listina!$O$7,"",INDIRECT(ADDRESS(3+(ROW()-3)*2,$D$2,1,1,"Centrum")))</f>
        <v/>
      </c>
      <c r="D61" s="278" t="str">
        <f ca="1">IF(ROW()-2&gt;Start.listina!$O$7,"",INDIRECT(ADDRESS(4+(ROW()-3)*2,$D$2,1,1,"Centrum")))</f>
        <v/>
      </c>
      <c r="E61" s="276" t="str">
        <f ca="1">IF(TYPE(VLOOKUP(C61,Centrum!$A$3:$C$130,3,0))&gt;3," - ",VLOOKUP(C61,Centrum!$A$3:$C$130,3,0))</f>
        <v xml:space="preserve"> - </v>
      </c>
      <c r="F61" s="276" t="str">
        <f ca="1">IF(TYPE(VLOOKUP(D61,Centrum!$A$3:$C$130,3,0))&gt;3," - ",VLOOKUP(D61,Centrum!$A$3:$C$130,3,0))</f>
        <v xml:space="preserve"> - </v>
      </c>
      <c r="G61" s="439" t="str">
        <f ca="1">IF(ROW()-2&gt;Start.listina!$O$7,"",ROW()-2)</f>
        <v/>
      </c>
      <c r="H61" s="272"/>
      <c r="I61" s="274"/>
      <c r="K61" s="275" t="str">
        <f t="shared" ca="1" si="0"/>
        <v/>
      </c>
      <c r="L61" s="275" t="str">
        <f t="shared" ca="1" si="1"/>
        <v/>
      </c>
      <c r="M61" s="275">
        <f t="shared" ca="1" si="2"/>
        <v>0</v>
      </c>
      <c r="N61" s="275">
        <f t="shared" ca="1" si="6"/>
        <v>0</v>
      </c>
      <c r="O61" s="275" t="str">
        <f t="shared" ca="1" si="3"/>
        <v/>
      </c>
      <c r="P61" s="275">
        <f t="shared" ca="1" si="4"/>
        <v>0</v>
      </c>
      <c r="Q61" s="282">
        <f t="shared" ca="1" si="5"/>
        <v>0</v>
      </c>
    </row>
    <row r="62" spans="3:17" ht="21" x14ac:dyDescent="0.4">
      <c r="C62" s="278" t="str">
        <f ca="1">IF(ROW()-2&gt;Start.listina!$O$7,"",INDIRECT(ADDRESS(3+(ROW()-3)*2,$D$2,1,1,"Centrum")))</f>
        <v/>
      </c>
      <c r="D62" s="278" t="str">
        <f ca="1">IF(ROW()-2&gt;Start.listina!$O$7,"",INDIRECT(ADDRESS(4+(ROW()-3)*2,$D$2,1,1,"Centrum")))</f>
        <v/>
      </c>
      <c r="E62" s="276" t="str">
        <f ca="1">IF(TYPE(VLOOKUP(C62,Centrum!$A$3:$C$130,3,0))&gt;3," - ",VLOOKUP(C62,Centrum!$A$3:$C$130,3,0))</f>
        <v xml:space="preserve"> - </v>
      </c>
      <c r="F62" s="276" t="str">
        <f ca="1">IF(TYPE(VLOOKUP(D62,Centrum!$A$3:$C$130,3,0))&gt;3," - ",VLOOKUP(D62,Centrum!$A$3:$C$130,3,0))</f>
        <v xml:space="preserve"> - </v>
      </c>
      <c r="G62" s="439" t="str">
        <f ca="1">IF(ROW()-2&gt;Start.listina!$O$7,"",ROW()-2)</f>
        <v/>
      </c>
      <c r="H62" s="272"/>
      <c r="I62" s="274"/>
      <c r="K62" s="275" t="str">
        <f t="shared" ca="1" si="0"/>
        <v/>
      </c>
      <c r="L62" s="275" t="str">
        <f t="shared" ca="1" si="1"/>
        <v/>
      </c>
      <c r="M62" s="275">
        <f t="shared" ca="1" si="2"/>
        <v>0</v>
      </c>
      <c r="N62" s="275">
        <f t="shared" ca="1" si="6"/>
        <v>0</v>
      </c>
      <c r="O62" s="275" t="str">
        <f t="shared" ca="1" si="3"/>
        <v/>
      </c>
      <c r="P62" s="275">
        <f t="shared" ca="1" si="4"/>
        <v>0</v>
      </c>
      <c r="Q62" s="282">
        <f t="shared" ca="1" si="5"/>
        <v>0</v>
      </c>
    </row>
    <row r="63" spans="3:17" ht="21" x14ac:dyDescent="0.4">
      <c r="C63" s="278" t="str">
        <f ca="1">IF(ROW()-2&gt;Start.listina!$O$7,"",INDIRECT(ADDRESS(3+(ROW()-3)*2,$D$2,1,1,"Centrum")))</f>
        <v/>
      </c>
      <c r="D63" s="278" t="str">
        <f ca="1">IF(ROW()-2&gt;Start.listina!$O$7,"",INDIRECT(ADDRESS(4+(ROW()-3)*2,$D$2,1,1,"Centrum")))</f>
        <v/>
      </c>
      <c r="E63" s="276" t="str">
        <f ca="1">IF(TYPE(VLOOKUP(C63,Centrum!$A$3:$C$130,3,0))&gt;3," - ",VLOOKUP(C63,Centrum!$A$3:$C$130,3,0))</f>
        <v xml:space="preserve"> - </v>
      </c>
      <c r="F63" s="276" t="str">
        <f ca="1">IF(TYPE(VLOOKUP(D63,Centrum!$A$3:$C$130,3,0))&gt;3," - ",VLOOKUP(D63,Centrum!$A$3:$C$130,3,0))</f>
        <v xml:space="preserve"> - </v>
      </c>
      <c r="G63" s="439" t="str">
        <f ca="1">IF(ROW()-2&gt;Start.listina!$O$7,"",ROW()-2)</f>
        <v/>
      </c>
      <c r="H63" s="272"/>
      <c r="I63" s="274"/>
      <c r="K63" s="275" t="str">
        <f t="shared" ca="1" si="0"/>
        <v/>
      </c>
      <c r="L63" s="275" t="str">
        <f t="shared" ca="1" si="1"/>
        <v/>
      </c>
      <c r="M63" s="275">
        <f t="shared" ca="1" si="2"/>
        <v>0</v>
      </c>
      <c r="N63" s="275">
        <f t="shared" ca="1" si="6"/>
        <v>0</v>
      </c>
      <c r="O63" s="275" t="str">
        <f t="shared" ca="1" si="3"/>
        <v/>
      </c>
      <c r="P63" s="275">
        <f t="shared" ca="1" si="4"/>
        <v>0</v>
      </c>
      <c r="Q63" s="282">
        <f t="shared" ca="1" si="5"/>
        <v>0</v>
      </c>
    </row>
    <row r="64" spans="3:17" ht="21" x14ac:dyDescent="0.4">
      <c r="C64" s="278" t="str">
        <f ca="1">IF(ROW()-2&gt;Start.listina!$O$7,"",INDIRECT(ADDRESS(3+(ROW()-3)*2,$D$2,1,1,"Centrum")))</f>
        <v/>
      </c>
      <c r="D64" s="278" t="str">
        <f ca="1">IF(ROW()-2&gt;Start.listina!$O$7,"",INDIRECT(ADDRESS(4+(ROW()-3)*2,$D$2,1,1,"Centrum")))</f>
        <v/>
      </c>
      <c r="E64" s="276" t="str">
        <f ca="1">IF(TYPE(VLOOKUP(C64,Centrum!$A$3:$C$130,3,0))&gt;3," - ",VLOOKUP(C64,Centrum!$A$3:$C$130,3,0))</f>
        <v xml:space="preserve"> - </v>
      </c>
      <c r="F64" s="276" t="str">
        <f ca="1">IF(TYPE(VLOOKUP(D64,Centrum!$A$3:$C$130,3,0))&gt;3," - ",VLOOKUP(D64,Centrum!$A$3:$C$130,3,0))</f>
        <v xml:space="preserve"> - </v>
      </c>
      <c r="G64" s="439" t="str">
        <f ca="1">IF(ROW()-2&gt;Start.listina!$O$7,"",ROW()-2)</f>
        <v/>
      </c>
      <c r="H64" s="272"/>
      <c r="I64" s="274"/>
      <c r="K64" s="275" t="str">
        <f t="shared" ca="1" si="0"/>
        <v/>
      </c>
      <c r="L64" s="275" t="str">
        <f t="shared" ca="1" si="1"/>
        <v/>
      </c>
      <c r="M64" s="275">
        <f t="shared" ca="1" si="2"/>
        <v>0</v>
      </c>
      <c r="N64" s="275">
        <f t="shared" ca="1" si="6"/>
        <v>0</v>
      </c>
      <c r="O64" s="275" t="str">
        <f t="shared" ca="1" si="3"/>
        <v/>
      </c>
      <c r="P64" s="275">
        <f t="shared" ca="1" si="4"/>
        <v>0</v>
      </c>
      <c r="Q64" s="282">
        <f t="shared" ca="1" si="5"/>
        <v>0</v>
      </c>
    </row>
    <row r="65" spans="3:17" ht="21" x14ac:dyDescent="0.4">
      <c r="C65" s="278" t="str">
        <f ca="1">IF(ROW()-2&gt;Start.listina!$O$7,"",INDIRECT(ADDRESS(3+(ROW()-3)*2,$D$2,1,1,"Centrum")))</f>
        <v/>
      </c>
      <c r="D65" s="278" t="str">
        <f ca="1">IF(ROW()-2&gt;Start.listina!$O$7,"",INDIRECT(ADDRESS(4+(ROW()-3)*2,$D$2,1,1,"Centrum")))</f>
        <v/>
      </c>
      <c r="E65" s="276" t="str">
        <f ca="1">IF(TYPE(VLOOKUP(C65,Centrum!$A$3:$C$130,3,0))&gt;3," - ",VLOOKUP(C65,Centrum!$A$3:$C$130,3,0))</f>
        <v xml:space="preserve"> - </v>
      </c>
      <c r="F65" s="276" t="str">
        <f ca="1">IF(TYPE(VLOOKUP(D65,Centrum!$A$3:$C$130,3,0))&gt;3," - ",VLOOKUP(D65,Centrum!$A$3:$C$130,3,0))</f>
        <v xml:space="preserve"> - </v>
      </c>
      <c r="G65" s="439" t="str">
        <f ca="1">IF(ROW()-2&gt;Start.listina!$O$7,"",ROW()-2)</f>
        <v/>
      </c>
      <c r="H65" s="272"/>
      <c r="I65" s="274"/>
      <c r="K65" s="275" t="str">
        <f t="shared" ca="1" si="0"/>
        <v/>
      </c>
      <c r="L65" s="275" t="str">
        <f t="shared" ca="1" si="1"/>
        <v/>
      </c>
      <c r="M65" s="275">
        <f t="shared" ca="1" si="2"/>
        <v>0</v>
      </c>
      <c r="N65" s="275">
        <f t="shared" ca="1" si="6"/>
        <v>0</v>
      </c>
      <c r="O65" s="275" t="str">
        <f t="shared" ca="1" si="3"/>
        <v/>
      </c>
      <c r="P65" s="275">
        <f t="shared" ca="1" si="4"/>
        <v>0</v>
      </c>
      <c r="Q65" s="282">
        <f t="shared" ca="1" si="5"/>
        <v>0</v>
      </c>
    </row>
    <row r="66" spans="3:17" ht="21" x14ac:dyDescent="0.4">
      <c r="C66" s="278" t="str">
        <f ca="1">IF(ROW()-2&gt;Start.listina!$O$7,"",INDIRECT(ADDRESS(3+(ROW()-3)*2,$D$2,1,1,"Centrum")))</f>
        <v/>
      </c>
      <c r="D66" s="278" t="str">
        <f ca="1">IF(ROW()-2&gt;Start.listina!$O$7,"",INDIRECT(ADDRESS(4+(ROW()-3)*2,$D$2,1,1,"Centrum")))</f>
        <v/>
      </c>
      <c r="E66" s="276" t="str">
        <f ca="1">IF(TYPE(VLOOKUP(C66,Centrum!$A$3:$C$130,3,0))&gt;3," - ",VLOOKUP(C66,Centrum!$A$3:$C$130,3,0))</f>
        <v xml:space="preserve"> - </v>
      </c>
      <c r="F66" s="276" t="str">
        <f ca="1">IF(TYPE(VLOOKUP(D66,Centrum!$A$3:$C$130,3,0))&gt;3," - ",VLOOKUP(D66,Centrum!$A$3:$C$130,3,0))</f>
        <v xml:space="preserve"> - </v>
      </c>
      <c r="G66" s="439" t="str">
        <f ca="1">IF(ROW()-2&gt;Start.listina!$O$7,"",ROW()-2)</f>
        <v/>
      </c>
      <c r="H66" s="272"/>
      <c r="I66" s="274"/>
      <c r="K66" s="275" t="str">
        <f ca="1">IF(TRIM($F66)="-","",$D66)</f>
        <v/>
      </c>
      <c r="L66" s="275" t="str">
        <f ca="1">IF(TRIM($E66)="-","",$C66)</f>
        <v/>
      </c>
      <c r="M66" s="275">
        <f ca="1">IF(AND(TRIM($E66)&lt;&gt;"-",$H66&gt;$I66),1,0)</f>
        <v>0</v>
      </c>
      <c r="N66" s="275">
        <f t="shared" ca="1" si="6"/>
        <v>0</v>
      </c>
      <c r="O66" s="275" t="str">
        <f ca="1">IF(TRIM($F66)="-","",$D66)</f>
        <v/>
      </c>
      <c r="P66" s="275">
        <f ca="1">IF(AND(TRIM($F66)&lt;&gt;"-",$I66&gt;$H66),1,0)</f>
        <v>0</v>
      </c>
      <c r="Q66" s="282">
        <f ca="1">IF(TRIM($F66)="-",0,$I66-$H66)</f>
        <v>0</v>
      </c>
    </row>
  </sheetData>
  <sheetProtection algorithmName="SHA-512" hashValue="LZLSUH7BPVr/zF8b4iQz2czZYsoP4ykD+gZA8sRxCPlbVd0vH/AR+Uvl8x9akjppjmvRtKfLPwA+AYD9sOUy2Q==" saltValue="uCbuzfOZClYDzCPg7naZ4A==" spinCount="100000" sheet="1" objects="1" scenarios="1"/>
  <mergeCells count="2">
    <mergeCell ref="H1:I1"/>
    <mergeCell ref="H2:I2"/>
  </mergeCells>
  <phoneticPr fontId="0" type="noConversion"/>
  <conditionalFormatting sqref="J1:J2">
    <cfRule type="cellIs" dxfId="92" priority="1" stopIfTrue="1" operator="greaterThan">
      <formula>0</formula>
    </cfRule>
  </conditionalFormatting>
  <conditionalFormatting sqref="E3:E66">
    <cfRule type="expression" dxfId="91" priority="2" stopIfTrue="1">
      <formula>IF($H3&gt;$I3,TRUE,FALSE)</formula>
    </cfRule>
  </conditionalFormatting>
  <conditionalFormatting sqref="F3:F66">
    <cfRule type="expression" dxfId="90" priority="3" stopIfTrue="1">
      <formula>IF($I3&gt;$H3,TRUE,FALSE)</formula>
    </cfRule>
  </conditionalFormatting>
  <pageMargins left="0.78740157499999996" right="0.17" top="0.81" bottom="0.63" header="0.82" footer="0.4921259845"/>
  <pageSetup paperSize="9" scale="45" orientation="portrait" horizontalDpi="300" verticalDpi="300" r:id="rId1"/>
  <headerFooter alignWithMargins="0"/>
  <rowBreaks count="1" manualBreakCount="1">
    <brk id="3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9457" r:id="rId4" name="Button 1">
              <controlPr defaultSize="0" print="0" autoFill="0" autoPict="0" macro="[0]!Kolo2">
                <anchor moveWithCells="1">
                  <from>
                    <xdr:col>9</xdr:col>
                    <xdr:colOff>48986</xdr:colOff>
                    <xdr:row>0</xdr:row>
                    <xdr:rowOff>136071</xdr:rowOff>
                  </from>
                  <to>
                    <xdr:col>9</xdr:col>
                    <xdr:colOff>1017814</xdr:colOff>
                    <xdr:row>1</xdr:row>
                    <xdr:rowOff>440871</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List57">
    <tabColor theme="3" tint="-0.249977111117893"/>
    <pageSetUpPr fitToPage="1"/>
  </sheetPr>
  <dimension ref="A1:AI66"/>
  <sheetViews>
    <sheetView view="pageBreakPreview" zoomScaleNormal="100" zoomScaleSheetLayoutView="100" workbookViewId="0">
      <pane xSplit="7" ySplit="2" topLeftCell="H3" activePane="bottomRight" state="frozen"/>
      <selection pane="topRight" activeCell="H3" sqref="H3"/>
      <selection pane="bottomLeft" activeCell="H3" sqref="H3"/>
      <selection pane="bottomRight" activeCell="E1" sqref="E1:I31"/>
    </sheetView>
  </sheetViews>
  <sheetFormatPr defaultRowHeight="12" x14ac:dyDescent="0.4"/>
  <cols>
    <col min="1" max="1" width="2" hidden="1" customWidth="1"/>
    <col min="2" max="2" width="1.75" hidden="1" customWidth="1"/>
    <col min="3" max="3" width="4.4140625" hidden="1" customWidth="1"/>
    <col min="4" max="4" width="4" hidden="1" customWidth="1"/>
    <col min="5" max="6" width="41.75" customWidth="1"/>
    <col min="7" max="7" width="5.4140625" customWidth="1"/>
    <col min="8" max="9" width="6.4140625" customWidth="1"/>
    <col min="10" max="10" width="26.83203125" customWidth="1"/>
    <col min="11" max="17" width="0" hidden="1" customWidth="1"/>
  </cols>
  <sheetData>
    <row r="1" spans="3:35" ht="30.9" thickBot="1" x14ac:dyDescent="0.5">
      <c r="E1" s="284" t="s">
        <v>1641</v>
      </c>
      <c r="F1" s="277" t="str">
        <f>Start.listina!$K$4</f>
        <v>Turnaj Piráta Morgana</v>
      </c>
      <c r="G1" s="1"/>
      <c r="H1" s="476" t="str">
        <f>Start.listina!$K$3</f>
        <v>28.04.2024</v>
      </c>
      <c r="I1" s="477"/>
      <c r="J1" s="283">
        <f ca="1">INDIRECT(ADDRESS(1,$D$2+2,1,1,"Centrum"))</f>
        <v>0</v>
      </c>
      <c r="K1" t="s">
        <v>1633</v>
      </c>
      <c r="L1" s="1"/>
      <c r="M1" s="1"/>
      <c r="N1" s="1"/>
      <c r="O1" s="1"/>
      <c r="P1" s="1"/>
      <c r="Q1" s="1"/>
      <c r="R1" s="1"/>
      <c r="S1" s="1"/>
      <c r="T1" s="1"/>
      <c r="U1" s="1"/>
      <c r="V1" s="1"/>
      <c r="W1" s="1"/>
      <c r="X1" s="1"/>
      <c r="Y1" s="1"/>
      <c r="Z1" s="1"/>
      <c r="AA1" s="1"/>
      <c r="AB1" s="1"/>
      <c r="AC1" s="1"/>
      <c r="AD1" s="1"/>
      <c r="AE1" s="1"/>
      <c r="AF1" s="1"/>
      <c r="AG1" s="1"/>
      <c r="AH1" s="1"/>
      <c r="AI1" s="1"/>
    </row>
    <row r="2" spans="3:35" ht="42.65" customHeight="1" thickTop="1" thickBot="1" x14ac:dyDescent="0.45">
      <c r="D2" s="243">
        <v>55</v>
      </c>
      <c r="E2" s="8" t="s">
        <v>1634</v>
      </c>
      <c r="F2" s="8" t="s">
        <v>1635</v>
      </c>
      <c r="G2" s="273" t="s">
        <v>1636</v>
      </c>
      <c r="H2" s="474" t="s">
        <v>1637</v>
      </c>
      <c r="I2" s="475"/>
      <c r="J2" s="283">
        <f ca="1">INDIRECT(ADDRESS(1,$D$2+2,1,1,"Centrum"))</f>
        <v>0</v>
      </c>
      <c r="K2" s="279" t="s">
        <v>1638</v>
      </c>
      <c r="L2" s="279" t="s">
        <v>1639</v>
      </c>
      <c r="M2" s="279" t="s">
        <v>1591</v>
      </c>
      <c r="N2" s="280" t="s">
        <v>1596</v>
      </c>
      <c r="O2" s="279" t="s">
        <v>1638</v>
      </c>
      <c r="P2" s="279" t="s">
        <v>1591</v>
      </c>
      <c r="Q2" s="280" t="s">
        <v>1596</v>
      </c>
    </row>
    <row r="3" spans="3:35" ht="21" x14ac:dyDescent="0.4">
      <c r="C3" s="278">
        <f ca="1">IF(ROW()-2&gt;Start.listina!$O$7,"",INDIRECT(ADDRESS(3+(ROW()-3)*2,$D$2,1,1,"Centrum")))</f>
        <v>23</v>
      </c>
      <c r="D3" s="278">
        <f ca="1">IF(ROW()-2&gt;Start.listina!$O$7,"",INDIRECT(ADDRESS(4+(ROW()-3)*2,$D$2,1,1,"Centrum")))</f>
        <v>44</v>
      </c>
      <c r="E3" s="276" t="str">
        <f ca="1">IF(TYPE(VLOOKUP(C3,Centrum!$A$3:$C$130,3,0))&gt;3," - ",VLOOKUP(C3,Centrum!$A$3:$C$130,3,0))</f>
        <v>23 PC Kolová - Horáček Jindřich</v>
      </c>
      <c r="F3" s="276" t="str">
        <f ca="1">IF(TYPE(VLOOKUP(D3,Centrum!$A$3:$C$130,3,0))&gt;3," - ",VLOOKUP(D3,Centrum!$A$3:$C$130,3,0))</f>
        <v xml:space="preserve">44   - michael dánsko  </v>
      </c>
      <c r="G3" s="439">
        <f ca="1">IF(ROW()-2&gt;Start.listina!$O$7,"",ROW()-2)</f>
        <v>1</v>
      </c>
      <c r="H3" s="272">
        <v>13</v>
      </c>
      <c r="I3" s="274">
        <v>3</v>
      </c>
      <c r="K3" s="275">
        <f t="shared" ref="K3:K65" ca="1" si="0">IF(TRIM($F3)="-","",$D3)</f>
        <v>44</v>
      </c>
      <c r="L3" s="275">
        <f t="shared" ref="L3:L65" ca="1" si="1">IF(TRIM($E3)="-","",$C3)</f>
        <v>23</v>
      </c>
      <c r="M3" s="275">
        <f t="shared" ref="M3:M65" ca="1" si="2">IF(AND(TRIM($E3)&lt;&gt;"-",$H3&gt;$I3),1,0)</f>
        <v>1</v>
      </c>
      <c r="N3" s="275">
        <f ca="1">IF(TRIM($E3)="-",0,$H3-$I3)</f>
        <v>10</v>
      </c>
      <c r="O3" s="275">
        <f t="shared" ref="O3:O65" ca="1" si="3">IF(TRIM($F3)="-","",$D3)</f>
        <v>44</v>
      </c>
      <c r="P3" s="275">
        <f t="shared" ref="P3:P65" ca="1" si="4">IF(AND(TRIM($F3)&lt;&gt;"-",$I3&gt;$H3),1,0)</f>
        <v>0</v>
      </c>
      <c r="Q3" s="281">
        <f t="shared" ref="Q3:Q65" ca="1" si="5">IF(TRIM($F3)="-",0,$I3-$H3)</f>
        <v>-10</v>
      </c>
    </row>
    <row r="4" spans="3:35" ht="21" x14ac:dyDescent="0.4">
      <c r="C4" s="278">
        <f ca="1">IF(ROW()-2&gt;Start.listina!$O$7,"",INDIRECT(ADDRESS(3+(ROW()-3)*2,$D$2,1,1,"Centrum")))</f>
        <v>57</v>
      </c>
      <c r="D4" s="278">
        <f ca="1">IF(ROW()-2&gt;Start.listina!$O$7,"",INDIRECT(ADDRESS(4+(ROW()-3)*2,$D$2,1,1,"Centrum")))</f>
        <v>14</v>
      </c>
      <c r="E4" s="276" t="str">
        <f ca="1">IF(TYPE(VLOOKUP(C4,Centrum!$A$3:$C$130,3,0))&gt;3," - ",VLOOKUP(C4,Centrum!$A$3:$C$130,3,0))</f>
        <v xml:space="preserve">57   - Bo, Dánsko  </v>
      </c>
      <c r="F4" s="276" t="str">
        <f ca="1">IF(TYPE(VLOOKUP(D4,Centrum!$A$3:$C$130,3,0))&gt;3," - ",VLOOKUP(D4,Centrum!$A$3:$C$130,3,0))</f>
        <v>14 PC Sokol Lipník - Morávek Petr</v>
      </c>
      <c r="G4" s="439">
        <f ca="1">IF(ROW()-2&gt;Start.listina!$O$7,"",ROW()-2)</f>
        <v>2</v>
      </c>
      <c r="H4" s="272">
        <v>3</v>
      </c>
      <c r="I4" s="274">
        <v>13</v>
      </c>
      <c r="K4" s="275">
        <f t="shared" ca="1" si="0"/>
        <v>14</v>
      </c>
      <c r="L4" s="275">
        <f t="shared" ca="1" si="1"/>
        <v>57</v>
      </c>
      <c r="M4" s="275">
        <f t="shared" ca="1" si="2"/>
        <v>0</v>
      </c>
      <c r="N4" s="275">
        <f t="shared" ref="N4:N66" ca="1" si="6">IF(TRIM($E4)="-",0,$H4-$I4)</f>
        <v>-10</v>
      </c>
      <c r="O4" s="275">
        <f t="shared" ca="1" si="3"/>
        <v>14</v>
      </c>
      <c r="P4" s="275">
        <f t="shared" ca="1" si="4"/>
        <v>1</v>
      </c>
      <c r="Q4" s="282">
        <f t="shared" ca="1" si="5"/>
        <v>10</v>
      </c>
    </row>
    <row r="5" spans="3:35" ht="21" x14ac:dyDescent="0.4">
      <c r="C5" s="278">
        <f ca="1">IF(ROW()-2&gt;Start.listina!$O$7,"",INDIRECT(ADDRESS(3+(ROW()-3)*2,$D$2,1,1,"Centrum")))</f>
        <v>54</v>
      </c>
      <c r="D5" s="278">
        <f ca="1">IF(ROW()-2&gt;Start.listina!$O$7,"",INDIRECT(ADDRESS(4+(ROW()-3)*2,$D$2,1,1,"Centrum")))</f>
        <v>7</v>
      </c>
      <c r="E5" s="276" t="str">
        <f ca="1">IF(TYPE(VLOOKUP(C5,Centrum!$A$3:$C$130,3,0))&gt;3," - ",VLOOKUP(C5,Centrum!$A$3:$C$130,3,0))</f>
        <v xml:space="preserve">54   - Schwede Detlef, Chemnitz, Německo  </v>
      </c>
      <c r="F5" s="276" t="str">
        <f ca="1">IF(TYPE(VLOOKUP(D5,Centrum!$A$3:$C$130,3,0))&gt;3," - ",VLOOKUP(D5,Centrum!$A$3:$C$130,3,0))</f>
        <v>7 1. KPK Vrchlabí - Semeniv Maryana Khrystyna</v>
      </c>
      <c r="G5" s="439">
        <f ca="1">IF(ROW()-2&gt;Start.listina!$O$7,"",ROW()-2)</f>
        <v>3</v>
      </c>
      <c r="H5" s="272">
        <v>5</v>
      </c>
      <c r="I5" s="274">
        <v>13</v>
      </c>
      <c r="K5" s="275">
        <f t="shared" ca="1" si="0"/>
        <v>7</v>
      </c>
      <c r="L5" s="275">
        <f t="shared" ca="1" si="1"/>
        <v>54</v>
      </c>
      <c r="M5" s="275">
        <f t="shared" ca="1" si="2"/>
        <v>0</v>
      </c>
      <c r="N5" s="275">
        <f t="shared" ca="1" si="6"/>
        <v>-8</v>
      </c>
      <c r="O5" s="275">
        <f t="shared" ca="1" si="3"/>
        <v>7</v>
      </c>
      <c r="P5" s="275">
        <f t="shared" ca="1" si="4"/>
        <v>1</v>
      </c>
      <c r="Q5" s="282">
        <f t="shared" ca="1" si="5"/>
        <v>8</v>
      </c>
    </row>
    <row r="6" spans="3:35" ht="21" x14ac:dyDescent="0.4">
      <c r="C6" s="278">
        <f ca="1">IF(ROW()-2&gt;Start.listina!$O$7,"",INDIRECT(ADDRESS(3+(ROW()-3)*2,$D$2,1,1,"Centrum")))</f>
        <v>5</v>
      </c>
      <c r="D6" s="278">
        <f ca="1">IF(ROW()-2&gt;Start.listina!$O$7,"",INDIRECT(ADDRESS(4+(ROW()-3)*2,$D$2,1,1,"Centrum")))</f>
        <v>2</v>
      </c>
      <c r="E6" s="276" t="str">
        <f ca="1">IF(TYPE(VLOOKUP(C6,Centrum!$A$3:$C$130,3,0))&gt;3," - ",VLOOKUP(C6,Centrum!$A$3:$C$130,3,0))</f>
        <v>5 CdP Loděnice - Dlouhá Ivana</v>
      </c>
      <c r="F6" s="276" t="str">
        <f ca="1">IF(TYPE(VLOOKUP(D6,Centrum!$A$3:$C$130,3,0))&gt;3," - ",VLOOKUP(D6,Centrum!$A$3:$C$130,3,0))</f>
        <v>2 PLUK Jablonec - Lukáš Vojtěch</v>
      </c>
      <c r="G6" s="439">
        <f ca="1">IF(ROW()-2&gt;Start.listina!$O$7,"",ROW()-2)</f>
        <v>4</v>
      </c>
      <c r="H6" s="272">
        <v>5</v>
      </c>
      <c r="I6" s="274">
        <v>13</v>
      </c>
      <c r="K6" s="275">
        <f t="shared" ca="1" si="0"/>
        <v>2</v>
      </c>
      <c r="L6" s="275">
        <f t="shared" ca="1" si="1"/>
        <v>5</v>
      </c>
      <c r="M6" s="275">
        <f t="shared" ca="1" si="2"/>
        <v>0</v>
      </c>
      <c r="N6" s="275">
        <f t="shared" ca="1" si="6"/>
        <v>-8</v>
      </c>
      <c r="O6" s="275">
        <f t="shared" ca="1" si="3"/>
        <v>2</v>
      </c>
      <c r="P6" s="275">
        <f t="shared" ca="1" si="4"/>
        <v>1</v>
      </c>
      <c r="Q6" s="282">
        <f t="shared" ca="1" si="5"/>
        <v>8</v>
      </c>
    </row>
    <row r="7" spans="3:35" ht="21" x14ac:dyDescent="0.4">
      <c r="C7" s="278">
        <f ca="1">IF(ROW()-2&gt;Start.listina!$O$7,"",INDIRECT(ADDRESS(3+(ROW()-3)*2,$D$2,1,1,"Centrum")))</f>
        <v>10</v>
      </c>
      <c r="D7" s="278">
        <f ca="1">IF(ROW()-2&gt;Start.listina!$O$7,"",INDIRECT(ADDRESS(4+(ROW()-3)*2,$D$2,1,1,"Centrum")))</f>
        <v>28</v>
      </c>
      <c r="E7" s="276" t="str">
        <f ca="1">IF(TYPE(VLOOKUP(C7,Centrum!$A$3:$C$130,3,0))&gt;3," - ",VLOOKUP(C7,Centrum!$A$3:$C$130,3,0))</f>
        <v>10 JAPKO - Stejskal Václav</v>
      </c>
      <c r="F7" s="276" t="str">
        <f ca="1">IF(TYPE(VLOOKUP(D7,Centrum!$A$3:$C$130,3,0))&gt;3," - ",VLOOKUP(D7,Centrum!$A$3:$C$130,3,0))</f>
        <v>28 PC Sokol PP Hr. Králové - Hochmann Lukáš</v>
      </c>
      <c r="G7" s="439">
        <f ca="1">IF(ROW()-2&gt;Start.listina!$O$7,"",ROW()-2)</f>
        <v>5</v>
      </c>
      <c r="H7" s="272">
        <v>10</v>
      </c>
      <c r="I7" s="274">
        <v>13</v>
      </c>
      <c r="K7" s="275">
        <f t="shared" ca="1" si="0"/>
        <v>28</v>
      </c>
      <c r="L7" s="275">
        <f t="shared" ca="1" si="1"/>
        <v>10</v>
      </c>
      <c r="M7" s="275">
        <f t="shared" ca="1" si="2"/>
        <v>0</v>
      </c>
      <c r="N7" s="275">
        <f t="shared" ca="1" si="6"/>
        <v>-3</v>
      </c>
      <c r="O7" s="275">
        <f t="shared" ca="1" si="3"/>
        <v>28</v>
      </c>
      <c r="P7" s="275">
        <f t="shared" ca="1" si="4"/>
        <v>1</v>
      </c>
      <c r="Q7" s="282">
        <f t="shared" ca="1" si="5"/>
        <v>3</v>
      </c>
    </row>
    <row r="8" spans="3:35" ht="21" x14ac:dyDescent="0.4">
      <c r="C8" s="278">
        <f ca="1">IF(ROW()-2&gt;Start.listina!$O$7,"",INDIRECT(ADDRESS(3+(ROW()-3)*2,$D$2,1,1,"Centrum")))</f>
        <v>4</v>
      </c>
      <c r="D8" s="278">
        <f ca="1">IF(ROW()-2&gt;Start.listina!$O$7,"",INDIRECT(ADDRESS(4+(ROW()-3)*2,$D$2,1,1,"Centrum")))</f>
        <v>34</v>
      </c>
      <c r="E8" s="276" t="str">
        <f ca="1">IF(TYPE(VLOOKUP(C8,Centrum!$A$3:$C$130,3,0))&gt;3," - ",VLOOKUP(C8,Centrum!$A$3:$C$130,3,0))</f>
        <v>4 1. KPK Vrchlabí - Srnský Lubomír</v>
      </c>
      <c r="F8" s="276" t="str">
        <f ca="1">IF(TYPE(VLOOKUP(D8,Centrum!$A$3:$C$130,3,0))&gt;3," - ",VLOOKUP(D8,Centrum!$A$3:$C$130,3,0))</f>
        <v>34 1. KPK Vrchlabí - Šebek Viktor</v>
      </c>
      <c r="G8" s="439">
        <f ca="1">IF(ROW()-2&gt;Start.listina!$O$7,"",ROW()-2)</f>
        <v>6</v>
      </c>
      <c r="H8" s="272">
        <v>13</v>
      </c>
      <c r="I8" s="274">
        <v>5</v>
      </c>
      <c r="K8" s="275">
        <f t="shared" ca="1" si="0"/>
        <v>34</v>
      </c>
      <c r="L8" s="275">
        <f t="shared" ca="1" si="1"/>
        <v>4</v>
      </c>
      <c r="M8" s="275">
        <f t="shared" ca="1" si="2"/>
        <v>1</v>
      </c>
      <c r="N8" s="275">
        <f t="shared" ca="1" si="6"/>
        <v>8</v>
      </c>
      <c r="O8" s="275">
        <f t="shared" ca="1" si="3"/>
        <v>34</v>
      </c>
      <c r="P8" s="275">
        <f t="shared" ca="1" si="4"/>
        <v>0</v>
      </c>
      <c r="Q8" s="282">
        <f t="shared" ca="1" si="5"/>
        <v>-8</v>
      </c>
    </row>
    <row r="9" spans="3:35" ht="21" x14ac:dyDescent="0.4">
      <c r="C9" s="278">
        <f ca="1">IF(ROW()-2&gt;Start.listina!$O$7,"",INDIRECT(ADDRESS(3+(ROW()-3)*2,$D$2,1,1,"Centrum")))</f>
        <v>12</v>
      </c>
      <c r="D9" s="278">
        <f ca="1">IF(ROW()-2&gt;Start.listina!$O$7,"",INDIRECT(ADDRESS(4+(ROW()-3)*2,$D$2,1,1,"Centrum")))</f>
        <v>21</v>
      </c>
      <c r="E9" s="276" t="str">
        <f ca="1">IF(TYPE(VLOOKUP(C9,Centrum!$A$3:$C$130,3,0))&gt;3," - ",VLOOKUP(C9,Centrum!$A$3:$C$130,3,0))</f>
        <v>12 PC Mimo Done - Heller Jan</v>
      </c>
      <c r="F9" s="276" t="str">
        <f ca="1">IF(TYPE(VLOOKUP(D9,Centrum!$A$3:$C$130,3,0))&gt;3," - ",VLOOKUP(D9,Centrum!$A$3:$C$130,3,0))</f>
        <v>21 SK Pétanque Řepy - Pastorek Jaroslav</v>
      </c>
      <c r="G9" s="439">
        <f ca="1">IF(ROW()-2&gt;Start.listina!$O$7,"",ROW()-2)</f>
        <v>7</v>
      </c>
      <c r="H9" s="272">
        <v>4</v>
      </c>
      <c r="I9" s="274">
        <v>13</v>
      </c>
      <c r="K9" s="275">
        <f t="shared" ca="1" si="0"/>
        <v>21</v>
      </c>
      <c r="L9" s="275">
        <f t="shared" ca="1" si="1"/>
        <v>12</v>
      </c>
      <c r="M9" s="275">
        <f t="shared" ca="1" si="2"/>
        <v>0</v>
      </c>
      <c r="N9" s="275">
        <f t="shared" ca="1" si="6"/>
        <v>-9</v>
      </c>
      <c r="O9" s="275">
        <f t="shared" ca="1" si="3"/>
        <v>21</v>
      </c>
      <c r="P9" s="275">
        <f t="shared" ca="1" si="4"/>
        <v>1</v>
      </c>
      <c r="Q9" s="282">
        <f t="shared" ca="1" si="5"/>
        <v>9</v>
      </c>
    </row>
    <row r="10" spans="3:35" ht="21" x14ac:dyDescent="0.4">
      <c r="C10" s="278">
        <f ca="1">IF(ROW()-2&gt;Start.listina!$O$7,"",INDIRECT(ADDRESS(3+(ROW()-3)*2,$D$2,1,1,"Centrum")))</f>
        <v>1</v>
      </c>
      <c r="D10" s="278">
        <f ca="1">IF(ROW()-2&gt;Start.listina!$O$7,"",INDIRECT(ADDRESS(4+(ROW()-3)*2,$D$2,1,1,"Centrum")))</f>
        <v>49</v>
      </c>
      <c r="E10" s="276" t="str">
        <f ca="1">IF(TYPE(VLOOKUP(C10,Centrum!$A$3:$C$130,3,0))&gt;3," - ",VLOOKUP(C10,Centrum!$A$3:$C$130,3,0))</f>
        <v>1 PC Sokol Lipník - Vavrovič ml. Petr</v>
      </c>
      <c r="F10" s="276" t="str">
        <f ca="1">IF(TYPE(VLOOKUP(D10,Centrum!$A$3:$C$130,3,0))&gt;3," - ",VLOOKUP(D10,Centrum!$A$3:$C$130,3,0))</f>
        <v xml:space="preserve">49   - František Kožený  </v>
      </c>
      <c r="G10" s="439">
        <f ca="1">IF(ROW()-2&gt;Start.listina!$O$7,"",ROW()-2)</f>
        <v>8</v>
      </c>
      <c r="H10" s="272">
        <v>13</v>
      </c>
      <c r="I10" s="274">
        <v>6</v>
      </c>
      <c r="K10" s="275">
        <f t="shared" ca="1" si="0"/>
        <v>49</v>
      </c>
      <c r="L10" s="275">
        <f t="shared" ca="1" si="1"/>
        <v>1</v>
      </c>
      <c r="M10" s="275">
        <f t="shared" ca="1" si="2"/>
        <v>1</v>
      </c>
      <c r="N10" s="275">
        <f t="shared" ca="1" si="6"/>
        <v>7</v>
      </c>
      <c r="O10" s="275">
        <f t="shared" ca="1" si="3"/>
        <v>49</v>
      </c>
      <c r="P10" s="275">
        <f t="shared" ca="1" si="4"/>
        <v>0</v>
      </c>
      <c r="Q10" s="282">
        <f t="shared" ca="1" si="5"/>
        <v>-7</v>
      </c>
    </row>
    <row r="11" spans="3:35" ht="21" x14ac:dyDescent="0.4">
      <c r="C11" s="278">
        <f ca="1">IF(ROW()-2&gt;Start.listina!$O$7,"",INDIRECT(ADDRESS(3+(ROW()-3)*2,$D$2,1,1,"Centrum")))</f>
        <v>8</v>
      </c>
      <c r="D11" s="278">
        <f ca="1">IF(ROW()-2&gt;Start.listina!$O$7,"",INDIRECT(ADDRESS(4+(ROW()-3)*2,$D$2,1,1,"Centrum")))</f>
        <v>45</v>
      </c>
      <c r="E11" s="276" t="str">
        <f ca="1">IF(TYPE(VLOOKUP(C11,Centrum!$A$3:$C$130,3,0))&gt;3," - ",VLOOKUP(C11,Centrum!$A$3:$C$130,3,0))</f>
        <v>8 PC Damníkov - Brandes Michael</v>
      </c>
      <c r="F11" s="276" t="str">
        <f ca="1">IF(TYPE(VLOOKUP(D11,Centrum!$A$3:$C$130,3,0))&gt;3," - ",VLOOKUP(D11,Centrum!$A$3:$C$130,3,0))</f>
        <v xml:space="preserve">45   - kim, Dánsko  </v>
      </c>
      <c r="G11" s="439">
        <f ca="1">IF(ROW()-2&gt;Start.listina!$O$7,"",ROW()-2)</f>
        <v>9</v>
      </c>
      <c r="H11" s="272">
        <v>6</v>
      </c>
      <c r="I11" s="274">
        <v>13</v>
      </c>
      <c r="K11" s="275">
        <f t="shared" ca="1" si="0"/>
        <v>45</v>
      </c>
      <c r="L11" s="275">
        <f t="shared" ca="1" si="1"/>
        <v>8</v>
      </c>
      <c r="M11" s="275">
        <f t="shared" ca="1" si="2"/>
        <v>0</v>
      </c>
      <c r="N11" s="275">
        <f t="shared" ca="1" si="6"/>
        <v>-7</v>
      </c>
      <c r="O11" s="275">
        <f t="shared" ca="1" si="3"/>
        <v>45</v>
      </c>
      <c r="P11" s="275">
        <f t="shared" ca="1" si="4"/>
        <v>1</v>
      </c>
      <c r="Q11" s="282">
        <f t="shared" ca="1" si="5"/>
        <v>7</v>
      </c>
    </row>
    <row r="12" spans="3:35" ht="21" x14ac:dyDescent="0.4">
      <c r="C12" s="278">
        <f ca="1">IF(ROW()-2&gt;Start.listina!$O$7,"",INDIRECT(ADDRESS(3+(ROW()-3)*2,$D$2,1,1,"Centrum")))</f>
        <v>35</v>
      </c>
      <c r="D12" s="278">
        <f ca="1">IF(ROW()-2&gt;Start.listina!$O$7,"",INDIRECT(ADDRESS(4+(ROW()-3)*2,$D$2,1,1,"Centrum")))</f>
        <v>3</v>
      </c>
      <c r="E12" s="276" t="str">
        <f ca="1">IF(TYPE(VLOOKUP(C12,Centrum!$A$3:$C$130,3,0))&gt;3," - ",VLOOKUP(C12,Centrum!$A$3:$C$130,3,0))</f>
        <v>35 SK Pétanque Řepy - Josífková Eva</v>
      </c>
      <c r="F12" s="276" t="str">
        <f ca="1">IF(TYPE(VLOOKUP(D12,Centrum!$A$3:$C$130,3,0))&gt;3," - ",VLOOKUP(D12,Centrum!$A$3:$C$130,3,0))</f>
        <v>3 PC Sokol Lipník - Froňková Kateřina</v>
      </c>
      <c r="G12" s="439">
        <f ca="1">IF(ROW()-2&gt;Start.listina!$O$7,"",ROW()-2)</f>
        <v>10</v>
      </c>
      <c r="H12" s="272">
        <v>3</v>
      </c>
      <c r="I12" s="274">
        <v>13</v>
      </c>
      <c r="K12" s="275">
        <f t="shared" ca="1" si="0"/>
        <v>3</v>
      </c>
      <c r="L12" s="275">
        <f t="shared" ca="1" si="1"/>
        <v>35</v>
      </c>
      <c r="M12" s="275">
        <f t="shared" ca="1" si="2"/>
        <v>0</v>
      </c>
      <c r="N12" s="275">
        <f t="shared" ca="1" si="6"/>
        <v>-10</v>
      </c>
      <c r="O12" s="275">
        <f t="shared" ca="1" si="3"/>
        <v>3</v>
      </c>
      <c r="P12" s="275">
        <f t="shared" ca="1" si="4"/>
        <v>1</v>
      </c>
      <c r="Q12" s="282">
        <f t="shared" ca="1" si="5"/>
        <v>10</v>
      </c>
    </row>
    <row r="13" spans="3:35" ht="21" x14ac:dyDescent="0.4">
      <c r="C13" s="278">
        <f ca="1">IF(ROW()-2&gt;Start.listina!$O$7,"",INDIRECT(ADDRESS(3+(ROW()-3)*2,$D$2,1,1,"Centrum")))</f>
        <v>27</v>
      </c>
      <c r="D13" s="278">
        <f ca="1">IF(ROW()-2&gt;Start.listina!$O$7,"",INDIRECT(ADDRESS(4+(ROW()-3)*2,$D$2,1,1,"Centrum")))</f>
        <v>37</v>
      </c>
      <c r="E13" s="276" t="str">
        <f ca="1">IF(TYPE(VLOOKUP(C13,Centrum!$A$3:$C$130,3,0))&gt;3," - ",VLOOKUP(C13,Centrum!$A$3:$C$130,3,0))</f>
        <v>27 SK Pétanque Řepy - Hladík Jaroslav</v>
      </c>
      <c r="F13" s="276" t="str">
        <f ca="1">IF(TYPE(VLOOKUP(D13,Centrum!$A$3:$C$130,3,0))&gt;3," - ",VLOOKUP(D13,Centrum!$A$3:$C$130,3,0))</f>
        <v>37 SK Pétanque Řepy - Konopová Marta</v>
      </c>
      <c r="G13" s="439">
        <f ca="1">IF(ROW()-2&gt;Start.listina!$O$7,"",ROW()-2)</f>
        <v>11</v>
      </c>
      <c r="H13" s="272">
        <v>13</v>
      </c>
      <c r="I13" s="274">
        <v>7</v>
      </c>
      <c r="K13" s="275">
        <f t="shared" ca="1" si="0"/>
        <v>37</v>
      </c>
      <c r="L13" s="275">
        <f t="shared" ca="1" si="1"/>
        <v>27</v>
      </c>
      <c r="M13" s="275">
        <f t="shared" ca="1" si="2"/>
        <v>1</v>
      </c>
      <c r="N13" s="275">
        <f t="shared" ca="1" si="6"/>
        <v>6</v>
      </c>
      <c r="O13" s="275">
        <f t="shared" ca="1" si="3"/>
        <v>37</v>
      </c>
      <c r="P13" s="275">
        <f t="shared" ca="1" si="4"/>
        <v>0</v>
      </c>
      <c r="Q13" s="282">
        <f t="shared" ca="1" si="5"/>
        <v>-6</v>
      </c>
    </row>
    <row r="14" spans="3:35" ht="21" x14ac:dyDescent="0.4">
      <c r="C14" s="278">
        <f ca="1">IF(ROW()-2&gt;Start.listina!$O$7,"",INDIRECT(ADDRESS(3+(ROW()-3)*2,$D$2,1,1,"Centrum")))</f>
        <v>25</v>
      </c>
      <c r="D14" s="278">
        <f ca="1">IF(ROW()-2&gt;Start.listina!$O$7,"",INDIRECT(ADDRESS(4+(ROW()-3)*2,$D$2,1,1,"Centrum")))</f>
        <v>51</v>
      </c>
      <c r="E14" s="276" t="str">
        <f ca="1">IF(TYPE(VLOOKUP(C14,Centrum!$A$3:$C$130,3,0))&gt;3," - ",VLOOKUP(C14,Centrum!$A$3:$C$130,3,0))</f>
        <v>25 SK Pétanque Řepy - Vodehnalová Jindra</v>
      </c>
      <c r="F14" s="276" t="str">
        <f ca="1">IF(TYPE(VLOOKUP(D14,Centrum!$A$3:$C$130,3,0))&gt;3," - ",VLOOKUP(D14,Centrum!$A$3:$C$130,3,0))</f>
        <v xml:space="preserve">51   - Erik, Dánsko  </v>
      </c>
      <c r="G14" s="439">
        <f ca="1">IF(ROW()-2&gt;Start.listina!$O$7,"",ROW()-2)</f>
        <v>12</v>
      </c>
      <c r="H14" s="272">
        <v>8</v>
      </c>
      <c r="I14" s="274">
        <v>13</v>
      </c>
      <c r="K14" s="275">
        <f t="shared" ca="1" si="0"/>
        <v>51</v>
      </c>
      <c r="L14" s="275">
        <f t="shared" ca="1" si="1"/>
        <v>25</v>
      </c>
      <c r="M14" s="275">
        <f t="shared" ca="1" si="2"/>
        <v>0</v>
      </c>
      <c r="N14" s="275">
        <f t="shared" ca="1" si="6"/>
        <v>-5</v>
      </c>
      <c r="O14" s="275">
        <f t="shared" ca="1" si="3"/>
        <v>51</v>
      </c>
      <c r="P14" s="275">
        <f t="shared" ca="1" si="4"/>
        <v>1</v>
      </c>
      <c r="Q14" s="282">
        <f t="shared" ca="1" si="5"/>
        <v>5</v>
      </c>
    </row>
    <row r="15" spans="3:35" ht="21" x14ac:dyDescent="0.4">
      <c r="C15" s="278">
        <f ca="1">IF(ROW()-2&gt;Start.listina!$O$7,"",INDIRECT(ADDRESS(3+(ROW()-3)*2,$D$2,1,1,"Centrum")))</f>
        <v>29</v>
      </c>
      <c r="D15" s="278">
        <f ca="1">IF(ROW()-2&gt;Start.listina!$O$7,"",INDIRECT(ADDRESS(4+(ROW()-3)*2,$D$2,1,1,"Centrum")))</f>
        <v>24</v>
      </c>
      <c r="E15" s="276" t="str">
        <f ca="1">IF(TYPE(VLOOKUP(C15,Centrum!$A$3:$C$130,3,0))&gt;3," - ",VLOOKUP(C15,Centrum!$A$3:$C$130,3,0))</f>
        <v>29 PC Mimo Done - Zikmunda Martin</v>
      </c>
      <c r="F15" s="276" t="str">
        <f ca="1">IF(TYPE(VLOOKUP(D15,Centrum!$A$3:$C$130,3,0))&gt;3," - ",VLOOKUP(D15,Centrum!$A$3:$C$130,3,0))</f>
        <v>24 SK Pétanque Řepy - Váňová Věra</v>
      </c>
      <c r="G15" s="439">
        <f ca="1">IF(ROW()-2&gt;Start.listina!$O$7,"",ROW()-2)</f>
        <v>13</v>
      </c>
      <c r="H15" s="272">
        <v>9</v>
      </c>
      <c r="I15" s="274">
        <v>10</v>
      </c>
      <c r="K15" s="275">
        <f t="shared" ca="1" si="0"/>
        <v>24</v>
      </c>
      <c r="L15" s="275">
        <f t="shared" ca="1" si="1"/>
        <v>29</v>
      </c>
      <c r="M15" s="275">
        <f t="shared" ca="1" si="2"/>
        <v>0</v>
      </c>
      <c r="N15" s="275">
        <f t="shared" ca="1" si="6"/>
        <v>-1</v>
      </c>
      <c r="O15" s="275">
        <f t="shared" ca="1" si="3"/>
        <v>24</v>
      </c>
      <c r="P15" s="275">
        <f t="shared" ca="1" si="4"/>
        <v>1</v>
      </c>
      <c r="Q15" s="282">
        <f t="shared" ca="1" si="5"/>
        <v>1</v>
      </c>
    </row>
    <row r="16" spans="3:35" ht="21" x14ac:dyDescent="0.4">
      <c r="C16" s="278">
        <f ca="1">IF(ROW()-2&gt;Start.listina!$O$7,"",INDIRECT(ADDRESS(3+(ROW()-3)*2,$D$2,1,1,"Centrum")))</f>
        <v>41</v>
      </c>
      <c r="D16" s="278">
        <f ca="1">IF(ROW()-2&gt;Start.listina!$O$7,"",INDIRECT(ADDRESS(4+(ROW()-3)*2,$D$2,1,1,"Centrum")))</f>
        <v>11</v>
      </c>
      <c r="E16" s="276" t="str">
        <f ca="1">IF(TYPE(VLOOKUP(C16,Centrum!$A$3:$C$130,3,0))&gt;3," - ",VLOOKUP(C16,Centrum!$A$3:$C$130,3,0))</f>
        <v>41 SKMZ Sport - Kovář Petr</v>
      </c>
      <c r="F16" s="276" t="str">
        <f ca="1">IF(TYPE(VLOOKUP(D16,Centrum!$A$3:$C$130,3,0))&gt;3," - ",VLOOKUP(D16,Centrum!$A$3:$C$130,3,0))</f>
        <v>11 Petank Club Praha - Klouda Aleš</v>
      </c>
      <c r="G16" s="439">
        <f ca="1">IF(ROW()-2&gt;Start.listina!$O$7,"",ROW()-2)</f>
        <v>14</v>
      </c>
      <c r="H16" s="272">
        <v>4</v>
      </c>
      <c r="I16" s="274">
        <v>13</v>
      </c>
      <c r="K16" s="275">
        <f t="shared" ca="1" si="0"/>
        <v>11</v>
      </c>
      <c r="L16" s="275">
        <f t="shared" ca="1" si="1"/>
        <v>41</v>
      </c>
      <c r="M16" s="275">
        <f t="shared" ca="1" si="2"/>
        <v>0</v>
      </c>
      <c r="N16" s="275">
        <f t="shared" ca="1" si="6"/>
        <v>-9</v>
      </c>
      <c r="O16" s="275">
        <f t="shared" ca="1" si="3"/>
        <v>11</v>
      </c>
      <c r="P16" s="275">
        <f t="shared" ca="1" si="4"/>
        <v>1</v>
      </c>
      <c r="Q16" s="282">
        <f t="shared" ca="1" si="5"/>
        <v>9</v>
      </c>
    </row>
    <row r="17" spans="3:17" ht="21" x14ac:dyDescent="0.4">
      <c r="C17" s="278">
        <f ca="1">IF(ROW()-2&gt;Start.listina!$O$7,"",INDIRECT(ADDRESS(3+(ROW()-3)*2,$D$2,1,1,"Centrum")))</f>
        <v>39</v>
      </c>
      <c r="D17" s="278">
        <f ca="1">IF(ROW()-2&gt;Start.listina!$O$7,"",INDIRECT(ADDRESS(4+(ROW()-3)*2,$D$2,1,1,"Centrum")))</f>
        <v>18</v>
      </c>
      <c r="E17" s="276" t="str">
        <f ca="1">IF(TYPE(VLOOKUP(C17,Centrum!$A$3:$C$130,3,0))&gt;3," - ",VLOOKUP(C17,Centrum!$A$3:$C$130,3,0))</f>
        <v>39 PC Přítkov - Šnejdr Josef</v>
      </c>
      <c r="F17" s="276" t="str">
        <f ca="1">IF(TYPE(VLOOKUP(D17,Centrum!$A$3:$C$130,3,0))&gt;3," - ",VLOOKUP(D17,Centrum!$A$3:$C$130,3,0))</f>
        <v>18 Petank Club Praha - Kašparová Barbora</v>
      </c>
      <c r="G17" s="439">
        <f ca="1">IF(ROW()-2&gt;Start.listina!$O$7,"",ROW()-2)</f>
        <v>15</v>
      </c>
      <c r="H17" s="272">
        <v>13</v>
      </c>
      <c r="I17" s="274">
        <v>9</v>
      </c>
      <c r="K17" s="275">
        <f t="shared" ca="1" si="0"/>
        <v>18</v>
      </c>
      <c r="L17" s="275">
        <f t="shared" ca="1" si="1"/>
        <v>39</v>
      </c>
      <c r="M17" s="275">
        <f t="shared" ca="1" si="2"/>
        <v>1</v>
      </c>
      <c r="N17" s="275">
        <f t="shared" ca="1" si="6"/>
        <v>4</v>
      </c>
      <c r="O17" s="275">
        <f t="shared" ca="1" si="3"/>
        <v>18</v>
      </c>
      <c r="P17" s="275">
        <f t="shared" ca="1" si="4"/>
        <v>0</v>
      </c>
      <c r="Q17" s="282">
        <f t="shared" ca="1" si="5"/>
        <v>-4</v>
      </c>
    </row>
    <row r="18" spans="3:17" ht="21" x14ac:dyDescent="0.4">
      <c r="C18" s="278">
        <f ca="1">IF(ROW()-2&gt;Start.listina!$O$7,"",INDIRECT(ADDRESS(3+(ROW()-3)*2,$D$2,1,1,"Centrum")))</f>
        <v>13</v>
      </c>
      <c r="D18" s="278">
        <f ca="1">IF(ROW()-2&gt;Start.listina!$O$7,"",INDIRECT(ADDRESS(4+(ROW()-3)*2,$D$2,1,1,"Centrum")))</f>
        <v>56</v>
      </c>
      <c r="E18" s="276" t="str">
        <f ca="1">IF(TYPE(VLOOKUP(C18,Centrum!$A$3:$C$130,3,0))&gt;3," - ",VLOOKUP(C18,Centrum!$A$3:$C$130,3,0))</f>
        <v>13 PC Sokol Lipník - Froňková Blanka</v>
      </c>
      <c r="F18" s="276" t="str">
        <f ca="1">IF(TYPE(VLOOKUP(D18,Centrum!$A$3:$C$130,3,0))&gt;3," - ",VLOOKUP(D18,Centrum!$A$3:$C$130,3,0))</f>
        <v xml:space="preserve">56   - Lohss, Hartmut, Německo  </v>
      </c>
      <c r="G18" s="439">
        <f ca="1">IF(ROW()-2&gt;Start.listina!$O$7,"",ROW()-2)</f>
        <v>16</v>
      </c>
      <c r="H18" s="272">
        <v>7</v>
      </c>
      <c r="I18" s="274">
        <v>13</v>
      </c>
      <c r="K18" s="275">
        <f t="shared" ca="1" si="0"/>
        <v>56</v>
      </c>
      <c r="L18" s="275">
        <f t="shared" ca="1" si="1"/>
        <v>13</v>
      </c>
      <c r="M18" s="275">
        <f t="shared" ca="1" si="2"/>
        <v>0</v>
      </c>
      <c r="N18" s="275">
        <f t="shared" ca="1" si="6"/>
        <v>-6</v>
      </c>
      <c r="O18" s="275">
        <f t="shared" ca="1" si="3"/>
        <v>56</v>
      </c>
      <c r="P18" s="275">
        <f t="shared" ca="1" si="4"/>
        <v>1</v>
      </c>
      <c r="Q18" s="282">
        <f t="shared" ca="1" si="5"/>
        <v>6</v>
      </c>
    </row>
    <row r="19" spans="3:17" ht="21" x14ac:dyDescent="0.4">
      <c r="C19" s="278">
        <f ca="1">IF(ROW()-2&gt;Start.listina!$O$7,"",INDIRECT(ADDRESS(3+(ROW()-3)*2,$D$2,1,1,"Centrum")))</f>
        <v>9</v>
      </c>
      <c r="D19" s="278">
        <f ca="1">IF(ROW()-2&gt;Start.listina!$O$7,"",INDIRECT(ADDRESS(4+(ROW()-3)*2,$D$2,1,1,"Centrum")))</f>
        <v>36</v>
      </c>
      <c r="E19" s="276" t="str">
        <f ca="1">IF(TYPE(VLOOKUP(C19,Centrum!$A$3:$C$130,3,0))&gt;3," - ",VLOOKUP(C19,Centrum!$A$3:$C$130,3,0))</f>
        <v>9 UBU Únětice - Palas Pavel</v>
      </c>
      <c r="F19" s="276" t="str">
        <f ca="1">IF(TYPE(VLOOKUP(D19,Centrum!$A$3:$C$130,3,0))&gt;3," - ",VLOOKUP(D19,Centrum!$A$3:$C$130,3,0))</f>
        <v>36 FRAPECO - Ondryáš Jiří</v>
      </c>
      <c r="G19" s="439">
        <f ca="1">IF(ROW()-2&gt;Start.listina!$O$7,"",ROW()-2)</f>
        <v>17</v>
      </c>
      <c r="H19" s="272">
        <v>13</v>
      </c>
      <c r="I19" s="274">
        <v>4</v>
      </c>
      <c r="K19" s="275">
        <f t="shared" ca="1" si="0"/>
        <v>36</v>
      </c>
      <c r="L19" s="275">
        <f t="shared" ca="1" si="1"/>
        <v>9</v>
      </c>
      <c r="M19" s="275">
        <f t="shared" ca="1" si="2"/>
        <v>1</v>
      </c>
      <c r="N19" s="275">
        <f t="shared" ca="1" si="6"/>
        <v>9</v>
      </c>
      <c r="O19" s="275">
        <f t="shared" ca="1" si="3"/>
        <v>36</v>
      </c>
      <c r="P19" s="275">
        <f t="shared" ca="1" si="4"/>
        <v>0</v>
      </c>
      <c r="Q19" s="282">
        <f t="shared" ca="1" si="5"/>
        <v>-9</v>
      </c>
    </row>
    <row r="20" spans="3:17" ht="21" x14ac:dyDescent="0.4">
      <c r="C20" s="278">
        <f ca="1">IF(ROW()-2&gt;Start.listina!$O$7,"",INDIRECT(ADDRESS(3+(ROW()-3)*2,$D$2,1,1,"Centrum")))</f>
        <v>16</v>
      </c>
      <c r="D20" s="278">
        <f ca="1">IF(ROW()-2&gt;Start.listina!$O$7,"",INDIRECT(ADDRESS(4+(ROW()-3)*2,$D$2,1,1,"Centrum")))</f>
        <v>17</v>
      </c>
      <c r="E20" s="276" t="str">
        <f ca="1">IF(TYPE(VLOOKUP(C20,Centrum!$A$3:$C$130,3,0))&gt;3," - ",VLOOKUP(C20,Centrum!$A$3:$C$130,3,0))</f>
        <v>16 PC Sokol Lipník - Vyoral Hynek</v>
      </c>
      <c r="F20" s="276" t="str">
        <f ca="1">IF(TYPE(VLOOKUP(D20,Centrum!$A$3:$C$130,3,0))&gt;3," - ",VLOOKUP(D20,Centrum!$A$3:$C$130,3,0))</f>
        <v>17 PC Damníkov - Brandes Valter</v>
      </c>
      <c r="G20" s="439">
        <f ca="1">IF(ROW()-2&gt;Start.listina!$O$7,"",ROW()-2)</f>
        <v>18</v>
      </c>
      <c r="H20" s="272">
        <v>10</v>
      </c>
      <c r="I20" s="274">
        <v>13</v>
      </c>
      <c r="K20" s="275">
        <f t="shared" ca="1" si="0"/>
        <v>17</v>
      </c>
      <c r="L20" s="275">
        <f t="shared" ca="1" si="1"/>
        <v>16</v>
      </c>
      <c r="M20" s="275">
        <f t="shared" ca="1" si="2"/>
        <v>0</v>
      </c>
      <c r="N20" s="275">
        <f t="shared" ca="1" si="6"/>
        <v>-3</v>
      </c>
      <c r="O20" s="275">
        <f t="shared" ca="1" si="3"/>
        <v>17</v>
      </c>
      <c r="P20" s="275">
        <f t="shared" ca="1" si="4"/>
        <v>1</v>
      </c>
      <c r="Q20" s="282">
        <f t="shared" ca="1" si="5"/>
        <v>3</v>
      </c>
    </row>
    <row r="21" spans="3:17" ht="21" x14ac:dyDescent="0.4">
      <c r="C21" s="278">
        <f ca="1">IF(ROW()-2&gt;Start.listina!$O$7,"",INDIRECT(ADDRESS(3+(ROW()-3)*2,$D$2,1,1,"Centrum")))</f>
        <v>38</v>
      </c>
      <c r="D21" s="278">
        <f ca="1">IF(ROW()-2&gt;Start.listina!$O$7,"",INDIRECT(ADDRESS(4+(ROW()-3)*2,$D$2,1,1,"Centrum")))</f>
        <v>53</v>
      </c>
      <c r="E21" s="276" t="str">
        <f ca="1">IF(TYPE(VLOOKUP(C21,Centrum!$A$3:$C$130,3,0))&gt;3," - ",VLOOKUP(C21,Centrum!$A$3:$C$130,3,0))</f>
        <v>38 C.T.P. Club Ořech - Glaser Vladimír</v>
      </c>
      <c r="F21" s="276" t="str">
        <f ca="1">IF(TYPE(VLOOKUP(D21,Centrum!$A$3:$C$130,3,0))&gt;3," - ",VLOOKUP(D21,Centrum!$A$3:$C$130,3,0))</f>
        <v xml:space="preserve">53   - Lars Eriksen, Dánsko  </v>
      </c>
      <c r="G21" s="439">
        <f ca="1">IF(ROW()-2&gt;Start.listina!$O$7,"",ROW()-2)</f>
        <v>19</v>
      </c>
      <c r="H21" s="272">
        <v>13</v>
      </c>
      <c r="I21" s="274">
        <v>8</v>
      </c>
      <c r="K21" s="275">
        <f t="shared" ca="1" si="0"/>
        <v>53</v>
      </c>
      <c r="L21" s="275">
        <f t="shared" ca="1" si="1"/>
        <v>38</v>
      </c>
      <c r="M21" s="275">
        <f t="shared" ca="1" si="2"/>
        <v>1</v>
      </c>
      <c r="N21" s="275">
        <f t="shared" ca="1" si="6"/>
        <v>5</v>
      </c>
      <c r="O21" s="275">
        <f t="shared" ca="1" si="3"/>
        <v>53</v>
      </c>
      <c r="P21" s="275">
        <f t="shared" ca="1" si="4"/>
        <v>0</v>
      </c>
      <c r="Q21" s="282">
        <f t="shared" ca="1" si="5"/>
        <v>-5</v>
      </c>
    </row>
    <row r="22" spans="3:17" ht="21" x14ac:dyDescent="0.4">
      <c r="C22" s="278">
        <f ca="1">IF(ROW()-2&gt;Start.listina!$O$7,"",INDIRECT(ADDRESS(3+(ROW()-3)*2,$D$2,1,1,"Centrum")))</f>
        <v>52</v>
      </c>
      <c r="D22" s="278">
        <f ca="1">IF(ROW()-2&gt;Start.listina!$O$7,"",INDIRECT(ADDRESS(4+(ROW()-3)*2,$D$2,1,1,"Centrum")))</f>
        <v>47</v>
      </c>
      <c r="E22" s="276" t="str">
        <f ca="1">IF(TYPE(VLOOKUP(C22,Centrum!$A$3:$C$130,3,0))&gt;3," - ",VLOOKUP(C22,Centrum!$A$3:$C$130,3,0))</f>
        <v xml:space="preserve">52   - Jesper R, Dánsko  </v>
      </c>
      <c r="F22" s="276" t="str">
        <f ca="1">IF(TYPE(VLOOKUP(D22,Centrum!$A$3:$C$130,3,0))&gt;3," - ",VLOOKUP(D22,Centrum!$A$3:$C$130,3,0))</f>
        <v xml:space="preserve">47   - Brian, Dánsko  </v>
      </c>
      <c r="G22" s="439">
        <f ca="1">IF(ROW()-2&gt;Start.listina!$O$7,"",ROW()-2)</f>
        <v>20</v>
      </c>
      <c r="H22" s="272">
        <v>13</v>
      </c>
      <c r="I22" s="274">
        <v>2</v>
      </c>
      <c r="K22" s="275">
        <f t="shared" ca="1" si="0"/>
        <v>47</v>
      </c>
      <c r="L22" s="275">
        <f t="shared" ca="1" si="1"/>
        <v>52</v>
      </c>
      <c r="M22" s="275">
        <f t="shared" ca="1" si="2"/>
        <v>1</v>
      </c>
      <c r="N22" s="275">
        <f t="shared" ca="1" si="6"/>
        <v>11</v>
      </c>
      <c r="O22" s="275">
        <f t="shared" ca="1" si="3"/>
        <v>47</v>
      </c>
      <c r="P22" s="275">
        <f t="shared" ca="1" si="4"/>
        <v>0</v>
      </c>
      <c r="Q22" s="282">
        <f t="shared" ca="1" si="5"/>
        <v>-11</v>
      </c>
    </row>
    <row r="23" spans="3:17" ht="21" x14ac:dyDescent="0.4">
      <c r="C23" s="278">
        <f ca="1">IF(ROW()-2&gt;Start.listina!$O$7,"",INDIRECT(ADDRESS(3+(ROW()-3)*2,$D$2,1,1,"Centrum")))</f>
        <v>15</v>
      </c>
      <c r="D23" s="278">
        <f ca="1">IF(ROW()-2&gt;Start.listina!$O$7,"",INDIRECT(ADDRESS(4+(ROW()-3)*2,$D$2,1,1,"Centrum")))</f>
        <v>22</v>
      </c>
      <c r="E23" s="276" t="str">
        <f ca="1">IF(TYPE(VLOOKUP(C23,Centrum!$A$3:$C$130,3,0))&gt;3," - ",VLOOKUP(C23,Centrum!$A$3:$C$130,3,0))</f>
        <v>15 Sokol Kostomlaty - Vlach Jaromír</v>
      </c>
      <c r="F23" s="276" t="str">
        <f ca="1">IF(TYPE(VLOOKUP(D23,Centrum!$A$3:$C$130,3,0))&gt;3," - ",VLOOKUP(D23,Centrum!$A$3:$C$130,3,0))</f>
        <v>22 SKP Kulová osma - Pilát Petr</v>
      </c>
      <c r="G23" s="439">
        <f ca="1">IF(ROW()-2&gt;Start.listina!$O$7,"",ROW()-2)</f>
        <v>21</v>
      </c>
      <c r="H23" s="272">
        <v>13</v>
      </c>
      <c r="I23" s="274">
        <v>9</v>
      </c>
      <c r="K23" s="275">
        <f t="shared" ca="1" si="0"/>
        <v>22</v>
      </c>
      <c r="L23" s="275">
        <f t="shared" ca="1" si="1"/>
        <v>15</v>
      </c>
      <c r="M23" s="275">
        <f t="shared" ca="1" si="2"/>
        <v>1</v>
      </c>
      <c r="N23" s="275">
        <f t="shared" ca="1" si="6"/>
        <v>4</v>
      </c>
      <c r="O23" s="275">
        <f t="shared" ca="1" si="3"/>
        <v>22</v>
      </c>
      <c r="P23" s="275">
        <f t="shared" ca="1" si="4"/>
        <v>0</v>
      </c>
      <c r="Q23" s="282">
        <f t="shared" ca="1" si="5"/>
        <v>-4</v>
      </c>
    </row>
    <row r="24" spans="3:17" ht="21" x14ac:dyDescent="0.4">
      <c r="C24" s="278">
        <f ca="1">IF(ROW()-2&gt;Start.listina!$O$7,"",INDIRECT(ADDRESS(3+(ROW()-3)*2,$D$2,1,1,"Centrum")))</f>
        <v>20</v>
      </c>
      <c r="D24" s="278">
        <f ca="1">IF(ROW()-2&gt;Start.listina!$O$7,"",INDIRECT(ADDRESS(4+(ROW()-3)*2,$D$2,1,1,"Centrum")))</f>
        <v>46</v>
      </c>
      <c r="E24" s="276" t="str">
        <f ca="1">IF(TYPE(VLOOKUP(C24,Centrum!$A$3:$C$130,3,0))&gt;3," - ",VLOOKUP(C24,Centrum!$A$3:$C$130,3,0))</f>
        <v>20 HRODE KRUMSÍN - Marcián Vladimír</v>
      </c>
      <c r="F24" s="276" t="str">
        <f ca="1">IF(TYPE(VLOOKUP(D24,Centrum!$A$3:$C$130,3,0))&gt;3," - ",VLOOKUP(D24,Centrum!$A$3:$C$130,3,0))</f>
        <v xml:space="preserve">46   - Vladimír Chládek  </v>
      </c>
      <c r="G24" s="439">
        <f ca="1">IF(ROW()-2&gt;Start.listina!$O$7,"",ROW()-2)</f>
        <v>22</v>
      </c>
      <c r="H24" s="272">
        <v>9</v>
      </c>
      <c r="I24" s="274">
        <v>13</v>
      </c>
      <c r="K24" s="275">
        <f t="shared" ca="1" si="0"/>
        <v>46</v>
      </c>
      <c r="L24" s="275">
        <f t="shared" ca="1" si="1"/>
        <v>20</v>
      </c>
      <c r="M24" s="275">
        <f t="shared" ca="1" si="2"/>
        <v>0</v>
      </c>
      <c r="N24" s="275">
        <f t="shared" ca="1" si="6"/>
        <v>-4</v>
      </c>
      <c r="O24" s="275">
        <f t="shared" ca="1" si="3"/>
        <v>46</v>
      </c>
      <c r="P24" s="275">
        <f t="shared" ca="1" si="4"/>
        <v>1</v>
      </c>
      <c r="Q24" s="282">
        <f t="shared" ca="1" si="5"/>
        <v>4</v>
      </c>
    </row>
    <row r="25" spans="3:17" ht="21" x14ac:dyDescent="0.4">
      <c r="C25" s="278">
        <f ca="1">IF(ROW()-2&gt;Start.listina!$O$7,"",INDIRECT(ADDRESS(3+(ROW()-3)*2,$D$2,1,1,"Centrum")))</f>
        <v>42</v>
      </c>
      <c r="D25" s="278">
        <f ca="1">IF(ROW()-2&gt;Start.listina!$O$7,"",INDIRECT(ADDRESS(4+(ROW()-3)*2,$D$2,1,1,"Centrum")))</f>
        <v>31</v>
      </c>
      <c r="E25" s="276" t="str">
        <f ca="1">IF(TYPE(VLOOKUP(C25,Centrum!$A$3:$C$130,3,0))&gt;3," - ",VLOOKUP(C25,Centrum!$A$3:$C$130,3,0))</f>
        <v>42 C.T.P. Club Ořech - Leiský Leander</v>
      </c>
      <c r="F25" s="276" t="str">
        <f ca="1">IF(TYPE(VLOOKUP(D25,Centrum!$A$3:$C$130,3,0))&gt;3," - ",VLOOKUP(D25,Centrum!$A$3:$C$130,3,0))</f>
        <v>31 SK Pétanque Řepy - Holoubek Pavel</v>
      </c>
      <c r="G25" s="439">
        <f ca="1">IF(ROW()-2&gt;Start.listina!$O$7,"",ROW()-2)</f>
        <v>23</v>
      </c>
      <c r="H25" s="272">
        <v>13</v>
      </c>
      <c r="I25" s="274">
        <v>2</v>
      </c>
      <c r="K25" s="275">
        <f t="shared" ca="1" si="0"/>
        <v>31</v>
      </c>
      <c r="L25" s="275">
        <f t="shared" ca="1" si="1"/>
        <v>42</v>
      </c>
      <c r="M25" s="275">
        <f t="shared" ca="1" si="2"/>
        <v>1</v>
      </c>
      <c r="N25" s="275">
        <f t="shared" ca="1" si="6"/>
        <v>11</v>
      </c>
      <c r="O25" s="275">
        <f t="shared" ca="1" si="3"/>
        <v>31</v>
      </c>
      <c r="P25" s="275">
        <f t="shared" ca="1" si="4"/>
        <v>0</v>
      </c>
      <c r="Q25" s="282">
        <f t="shared" ca="1" si="5"/>
        <v>-11</v>
      </c>
    </row>
    <row r="26" spans="3:17" ht="21" x14ac:dyDescent="0.4">
      <c r="C26" s="278">
        <f ca="1">IF(ROW()-2&gt;Start.listina!$O$7,"",INDIRECT(ADDRESS(3+(ROW()-3)*2,$D$2,1,1,"Centrum")))</f>
        <v>19</v>
      </c>
      <c r="D26" s="278">
        <f ca="1">IF(ROW()-2&gt;Start.listina!$O$7,"",INDIRECT(ADDRESS(4+(ROW()-3)*2,$D$2,1,1,"Centrum")))</f>
        <v>33</v>
      </c>
      <c r="E26" s="276" t="str">
        <f ca="1">IF(TYPE(VLOOKUP(C26,Centrum!$A$3:$C$130,3,0))&gt;3," - ",VLOOKUP(C26,Centrum!$A$3:$C$130,3,0))</f>
        <v>19 UBU Únětice - Křížek Evžen</v>
      </c>
      <c r="F26" s="276" t="str">
        <f ca="1">IF(TYPE(VLOOKUP(D26,Centrum!$A$3:$C$130,3,0))&gt;3," - ",VLOOKUP(D26,Centrum!$A$3:$C$130,3,0))</f>
        <v>33 SK Pétanque Řepy - Müllerová Jiřina</v>
      </c>
      <c r="G26" s="439">
        <f ca="1">IF(ROW()-2&gt;Start.listina!$O$7,"",ROW()-2)</f>
        <v>24</v>
      </c>
      <c r="H26" s="272">
        <v>13</v>
      </c>
      <c r="I26" s="274">
        <v>6</v>
      </c>
      <c r="K26" s="275">
        <f t="shared" ca="1" si="0"/>
        <v>33</v>
      </c>
      <c r="L26" s="275">
        <f t="shared" ca="1" si="1"/>
        <v>19</v>
      </c>
      <c r="M26" s="275">
        <f t="shared" ca="1" si="2"/>
        <v>1</v>
      </c>
      <c r="N26" s="275">
        <f t="shared" ca="1" si="6"/>
        <v>7</v>
      </c>
      <c r="O26" s="275">
        <f t="shared" ca="1" si="3"/>
        <v>33</v>
      </c>
      <c r="P26" s="275">
        <f t="shared" ca="1" si="4"/>
        <v>0</v>
      </c>
      <c r="Q26" s="282">
        <f t="shared" ca="1" si="5"/>
        <v>-7</v>
      </c>
    </row>
    <row r="27" spans="3:17" ht="21" x14ac:dyDescent="0.4">
      <c r="C27" s="278">
        <f ca="1">IF(ROW()-2&gt;Start.listina!$O$7,"",INDIRECT(ADDRESS(3+(ROW()-3)*2,$D$2,1,1,"Centrum")))</f>
        <v>30</v>
      </c>
      <c r="D27" s="278">
        <f ca="1">IF(ROW()-2&gt;Start.listina!$O$7,"",INDIRECT(ADDRESS(4+(ROW()-3)*2,$D$2,1,1,"Centrum")))</f>
        <v>6</v>
      </c>
      <c r="E27" s="276" t="str">
        <f ca="1">IF(TYPE(VLOOKUP(C27,Centrum!$A$3:$C$130,3,0))&gt;3," - ",VLOOKUP(C27,Centrum!$A$3:$C$130,3,0))</f>
        <v>30 PC Přítkov - Blaščák Ondřej</v>
      </c>
      <c r="F27" s="276" t="str">
        <f ca="1">IF(TYPE(VLOOKUP(D27,Centrum!$A$3:$C$130,3,0))&gt;3," - ",VLOOKUP(D27,Centrum!$A$3:$C$130,3,0))</f>
        <v>6 CdP Loděnice - Kamaryt Josef</v>
      </c>
      <c r="G27" s="439">
        <f ca="1">IF(ROW()-2&gt;Start.listina!$O$7,"",ROW()-2)</f>
        <v>25</v>
      </c>
      <c r="H27" s="272">
        <v>12</v>
      </c>
      <c r="I27" s="274">
        <v>13</v>
      </c>
      <c r="K27" s="275">
        <f t="shared" ca="1" si="0"/>
        <v>6</v>
      </c>
      <c r="L27" s="275">
        <f t="shared" ca="1" si="1"/>
        <v>30</v>
      </c>
      <c r="M27" s="275">
        <f t="shared" ca="1" si="2"/>
        <v>0</v>
      </c>
      <c r="N27" s="275">
        <f t="shared" ca="1" si="6"/>
        <v>-1</v>
      </c>
      <c r="O27" s="275">
        <f t="shared" ca="1" si="3"/>
        <v>6</v>
      </c>
      <c r="P27" s="275">
        <f t="shared" ca="1" si="4"/>
        <v>1</v>
      </c>
      <c r="Q27" s="282">
        <f t="shared" ca="1" si="5"/>
        <v>1</v>
      </c>
    </row>
    <row r="28" spans="3:17" ht="21" x14ac:dyDescent="0.4">
      <c r="C28" s="278">
        <f ca="1">IF(ROW()-2&gt;Start.listina!$O$7,"",INDIRECT(ADDRESS(3+(ROW()-3)*2,$D$2,1,1,"Centrum")))</f>
        <v>40</v>
      </c>
      <c r="D28" s="278">
        <f ca="1">IF(ROW()-2&gt;Start.listina!$O$7,"",INDIRECT(ADDRESS(4+(ROW()-3)*2,$D$2,1,1,"Centrum")))</f>
        <v>32</v>
      </c>
      <c r="E28" s="276" t="str">
        <f ca="1">IF(TYPE(VLOOKUP(C28,Centrum!$A$3:$C$130,3,0))&gt;3," - ",VLOOKUP(C28,Centrum!$A$3:$C$130,3,0))</f>
        <v>40 SKP Kulová osma - Krhovská Dana</v>
      </c>
      <c r="F28" s="276" t="str">
        <f ca="1">IF(TYPE(VLOOKUP(D28,Centrum!$A$3:$C$130,3,0))&gt;3," - ",VLOOKUP(D28,Centrum!$A$3:$C$130,3,0))</f>
        <v>32 SK Pétanque Řepy - Vodehnal Zdeněk</v>
      </c>
      <c r="G28" s="439">
        <f ca="1">IF(ROW()-2&gt;Start.listina!$O$7,"",ROW()-2)</f>
        <v>26</v>
      </c>
      <c r="H28" s="272">
        <v>13</v>
      </c>
      <c r="I28" s="274">
        <v>9</v>
      </c>
      <c r="K28" s="275">
        <f t="shared" ca="1" si="0"/>
        <v>32</v>
      </c>
      <c r="L28" s="275">
        <f t="shared" ca="1" si="1"/>
        <v>40</v>
      </c>
      <c r="M28" s="275">
        <f t="shared" ca="1" si="2"/>
        <v>1</v>
      </c>
      <c r="N28" s="275">
        <f t="shared" ca="1" si="6"/>
        <v>4</v>
      </c>
      <c r="O28" s="275">
        <f t="shared" ca="1" si="3"/>
        <v>32</v>
      </c>
      <c r="P28" s="275">
        <f t="shared" ca="1" si="4"/>
        <v>0</v>
      </c>
      <c r="Q28" s="282">
        <f t="shared" ca="1" si="5"/>
        <v>-4</v>
      </c>
    </row>
    <row r="29" spans="3:17" ht="21" x14ac:dyDescent="0.4">
      <c r="C29" s="278">
        <f ca="1">IF(ROW()-2&gt;Start.listina!$O$7,"",INDIRECT(ADDRESS(3+(ROW()-3)*2,$D$2,1,1,"Centrum")))</f>
        <v>55</v>
      </c>
      <c r="D29" s="278">
        <f ca="1">IF(ROW()-2&gt;Start.listina!$O$7,"",INDIRECT(ADDRESS(4+(ROW()-3)*2,$D$2,1,1,"Centrum")))</f>
        <v>43</v>
      </c>
      <c r="E29" s="276" t="str">
        <f ca="1">IF(TYPE(VLOOKUP(C29,Centrum!$A$3:$C$130,3,0))&gt;3," - ",VLOOKUP(C29,Centrum!$A$3:$C$130,3,0))</f>
        <v xml:space="preserve">55   - Bjarne, Dánsko  </v>
      </c>
      <c r="F29" s="276" t="str">
        <f ca="1">IF(TYPE(VLOOKUP(D29,Centrum!$A$3:$C$130,3,0))&gt;3," - ",VLOOKUP(D29,Centrum!$A$3:$C$130,3,0))</f>
        <v xml:space="preserve">43   - Mika, Dánsko  </v>
      </c>
      <c r="G29" s="439">
        <f ca="1">IF(ROW()-2&gt;Start.listina!$O$7,"",ROW()-2)</f>
        <v>27</v>
      </c>
      <c r="H29" s="272">
        <v>13</v>
      </c>
      <c r="I29" s="274">
        <v>4</v>
      </c>
      <c r="K29" s="275">
        <f t="shared" ca="1" si="0"/>
        <v>43</v>
      </c>
      <c r="L29" s="275">
        <f t="shared" ca="1" si="1"/>
        <v>55</v>
      </c>
      <c r="M29" s="275">
        <f t="shared" ca="1" si="2"/>
        <v>1</v>
      </c>
      <c r="N29" s="275">
        <f t="shared" ca="1" si="6"/>
        <v>9</v>
      </c>
      <c r="O29" s="275">
        <f t="shared" ca="1" si="3"/>
        <v>43</v>
      </c>
      <c r="P29" s="275">
        <f t="shared" ca="1" si="4"/>
        <v>0</v>
      </c>
      <c r="Q29" s="282">
        <f t="shared" ca="1" si="5"/>
        <v>-9</v>
      </c>
    </row>
    <row r="30" spans="3:17" ht="21" x14ac:dyDescent="0.4">
      <c r="C30" s="278">
        <f ca="1">IF(ROW()-2&gt;Start.listina!$O$7,"",INDIRECT(ADDRESS(3+(ROW()-3)*2,$D$2,1,1,"Centrum")))</f>
        <v>48</v>
      </c>
      <c r="D30" s="278">
        <f ca="1">IF(ROW()-2&gt;Start.listina!$O$7,"",INDIRECT(ADDRESS(4+(ROW()-3)*2,$D$2,1,1,"Centrum")))</f>
        <v>50</v>
      </c>
      <c r="E30" s="276" t="str">
        <f ca="1">IF(TYPE(VLOOKUP(C30,Centrum!$A$3:$C$130,3,0))&gt;3," - ",VLOOKUP(C30,Centrum!$A$3:$C$130,3,0))</f>
        <v xml:space="preserve">48   - Tony, Dánsko  </v>
      </c>
      <c r="F30" s="276" t="str">
        <f ca="1">IF(TYPE(VLOOKUP(D30,Centrum!$A$3:$C$130,3,0))&gt;3," - ",VLOOKUP(D30,Centrum!$A$3:$C$130,3,0))</f>
        <v xml:space="preserve">50   - Jesper K, Dánsko  </v>
      </c>
      <c r="G30" s="439">
        <f ca="1">IF(ROW()-2&gt;Start.listina!$O$7,"",ROW()-2)</f>
        <v>28</v>
      </c>
      <c r="H30" s="272">
        <v>11</v>
      </c>
      <c r="I30" s="274">
        <v>13</v>
      </c>
      <c r="K30" s="275">
        <f t="shared" ca="1" si="0"/>
        <v>50</v>
      </c>
      <c r="L30" s="275">
        <f t="shared" ca="1" si="1"/>
        <v>48</v>
      </c>
      <c r="M30" s="275">
        <f t="shared" ca="1" si="2"/>
        <v>0</v>
      </c>
      <c r="N30" s="275">
        <f t="shared" ca="1" si="6"/>
        <v>-2</v>
      </c>
      <c r="O30" s="275">
        <f t="shared" ca="1" si="3"/>
        <v>50</v>
      </c>
      <c r="P30" s="275">
        <f t="shared" ca="1" si="4"/>
        <v>1</v>
      </c>
      <c r="Q30" s="282">
        <f t="shared" ca="1" si="5"/>
        <v>2</v>
      </c>
    </row>
    <row r="31" spans="3:17" ht="21" x14ac:dyDescent="0.4">
      <c r="C31" s="278">
        <f ca="1">IF(ROW()-2&gt;Start.listina!$O$7,"",INDIRECT(ADDRESS(3+(ROW()-3)*2,$D$2,1,1,"Centrum")))</f>
        <v>26</v>
      </c>
      <c r="D31" s="278" t="str">
        <f ca="1">IF(ROW()-2&gt;Start.listina!$O$7,"",INDIRECT(ADDRESS(4+(ROW()-3)*2,$D$2,1,1,"Centrum")))</f>
        <v/>
      </c>
      <c r="E31" s="276" t="str">
        <f ca="1">IF(TYPE(VLOOKUP(C31,Centrum!$A$3:$C$130,3,0))&gt;3," - ",VLOOKUP(C31,Centrum!$A$3:$C$130,3,0))</f>
        <v>26 Petank Club Praha - Klír Tomáš</v>
      </c>
      <c r="F31" s="276" t="str">
        <f ca="1">IF(TYPE(VLOOKUP(D31,Centrum!$A$3:$C$130,3,0))&gt;3," - ",VLOOKUP(D31,Centrum!$A$3:$C$130,3,0))</f>
        <v xml:space="preserve"> - </v>
      </c>
      <c r="G31" s="439">
        <f ca="1">IF(ROW()-2&gt;Start.listina!$O$7,"",ROW()-2)</f>
        <v>29</v>
      </c>
      <c r="H31" s="272">
        <v>13</v>
      </c>
      <c r="I31" s="274">
        <v>7</v>
      </c>
      <c r="K31" s="275" t="str">
        <f t="shared" ca="1" si="0"/>
        <v/>
      </c>
      <c r="L31" s="275">
        <f t="shared" ca="1" si="1"/>
        <v>26</v>
      </c>
      <c r="M31" s="275">
        <f t="shared" ca="1" si="2"/>
        <v>1</v>
      </c>
      <c r="N31" s="275">
        <f t="shared" ca="1" si="6"/>
        <v>6</v>
      </c>
      <c r="O31" s="275" t="str">
        <f t="shared" ca="1" si="3"/>
        <v/>
      </c>
      <c r="P31" s="275">
        <f t="shared" ca="1" si="4"/>
        <v>0</v>
      </c>
      <c r="Q31" s="282">
        <f t="shared" ca="1" si="5"/>
        <v>0</v>
      </c>
    </row>
    <row r="32" spans="3:17" ht="21" x14ac:dyDescent="0.4">
      <c r="C32" s="278" t="str">
        <f ca="1">IF(ROW()-2&gt;Start.listina!$O$7,"",INDIRECT(ADDRESS(3+(ROW()-3)*2,$D$2,1,1,"Centrum")))</f>
        <v/>
      </c>
      <c r="D32" s="278" t="str">
        <f ca="1">IF(ROW()-2&gt;Start.listina!$O$7,"",INDIRECT(ADDRESS(4+(ROW()-3)*2,$D$2,1,1,"Centrum")))</f>
        <v/>
      </c>
      <c r="E32" s="276" t="str">
        <f ca="1">IF(TYPE(VLOOKUP(C32,Centrum!$A$3:$C$130,3,0))&gt;3," - ",VLOOKUP(C32,Centrum!$A$3:$C$130,3,0))</f>
        <v xml:space="preserve"> - </v>
      </c>
      <c r="F32" s="276" t="str">
        <f ca="1">IF(TYPE(VLOOKUP(D32,Centrum!$A$3:$C$130,3,0))&gt;3," - ",VLOOKUP(D32,Centrum!$A$3:$C$130,3,0))</f>
        <v xml:space="preserve"> - </v>
      </c>
      <c r="G32" s="439" t="str">
        <f ca="1">IF(ROW()-2&gt;Start.listina!$O$7,"",ROW()-2)</f>
        <v/>
      </c>
      <c r="H32" s="272"/>
      <c r="I32" s="274"/>
      <c r="K32" s="275" t="str">
        <f t="shared" ca="1" si="0"/>
        <v/>
      </c>
      <c r="L32" s="275" t="str">
        <f t="shared" ca="1" si="1"/>
        <v/>
      </c>
      <c r="M32" s="275">
        <f t="shared" ca="1" si="2"/>
        <v>0</v>
      </c>
      <c r="N32" s="275">
        <f t="shared" ca="1" si="6"/>
        <v>0</v>
      </c>
      <c r="O32" s="275" t="str">
        <f t="shared" ca="1" si="3"/>
        <v/>
      </c>
      <c r="P32" s="275">
        <f t="shared" ca="1" si="4"/>
        <v>0</v>
      </c>
      <c r="Q32" s="282">
        <f t="shared" ca="1" si="5"/>
        <v>0</v>
      </c>
    </row>
    <row r="33" spans="3:17" ht="21" x14ac:dyDescent="0.4">
      <c r="C33" s="278" t="str">
        <f ca="1">IF(ROW()-2&gt;Start.listina!$O$7,"",INDIRECT(ADDRESS(3+(ROW()-3)*2,$D$2,1,1,"Centrum")))</f>
        <v/>
      </c>
      <c r="D33" s="278" t="str">
        <f ca="1">IF(ROW()-2&gt;Start.listina!$O$7,"",INDIRECT(ADDRESS(4+(ROW()-3)*2,$D$2,1,1,"Centrum")))</f>
        <v/>
      </c>
      <c r="E33" s="276" t="str">
        <f ca="1">IF(TYPE(VLOOKUP(C33,Centrum!$A$3:$C$130,3,0))&gt;3," - ",VLOOKUP(C33,Centrum!$A$3:$C$130,3,0))</f>
        <v xml:space="preserve"> - </v>
      </c>
      <c r="F33" s="276" t="str">
        <f ca="1">IF(TYPE(VLOOKUP(D33,Centrum!$A$3:$C$130,3,0))&gt;3," - ",VLOOKUP(D33,Centrum!$A$3:$C$130,3,0))</f>
        <v xml:space="preserve"> - </v>
      </c>
      <c r="G33" s="439" t="str">
        <f ca="1">IF(ROW()-2&gt;Start.listina!$O$7,"",ROW()-2)</f>
        <v/>
      </c>
      <c r="H33" s="272"/>
      <c r="I33" s="274"/>
      <c r="K33" s="275" t="str">
        <f t="shared" ca="1" si="0"/>
        <v/>
      </c>
      <c r="L33" s="275" t="str">
        <f t="shared" ca="1" si="1"/>
        <v/>
      </c>
      <c r="M33" s="275">
        <f t="shared" ca="1" si="2"/>
        <v>0</v>
      </c>
      <c r="N33" s="275">
        <f t="shared" ca="1" si="6"/>
        <v>0</v>
      </c>
      <c r="O33" s="275" t="str">
        <f t="shared" ca="1" si="3"/>
        <v/>
      </c>
      <c r="P33" s="275">
        <f t="shared" ca="1" si="4"/>
        <v>0</v>
      </c>
      <c r="Q33" s="282">
        <f t="shared" ca="1" si="5"/>
        <v>0</v>
      </c>
    </row>
    <row r="34" spans="3:17" ht="21" x14ac:dyDescent="0.4">
      <c r="C34" s="278" t="str">
        <f ca="1">IF(ROW()-2&gt;Start.listina!$O$7,"",INDIRECT(ADDRESS(3+(ROW()-3)*2,$D$2,1,1,"Centrum")))</f>
        <v/>
      </c>
      <c r="D34" s="278" t="str">
        <f ca="1">IF(ROW()-2&gt;Start.listina!$O$7,"",INDIRECT(ADDRESS(4+(ROW()-3)*2,$D$2,1,1,"Centrum")))</f>
        <v/>
      </c>
      <c r="E34" s="276" t="str">
        <f ca="1">IF(TYPE(VLOOKUP(C34,Centrum!$A$3:$C$130,3,0))&gt;3," - ",VLOOKUP(C34,Centrum!$A$3:$C$130,3,0))</f>
        <v xml:space="preserve"> - </v>
      </c>
      <c r="F34" s="276" t="str">
        <f ca="1">IF(TYPE(VLOOKUP(D34,Centrum!$A$3:$C$130,3,0))&gt;3," - ",VLOOKUP(D34,Centrum!$A$3:$C$130,3,0))</f>
        <v xml:space="preserve"> - </v>
      </c>
      <c r="G34" s="439" t="str">
        <f ca="1">IF(ROW()-2&gt;Start.listina!$O$7,"",ROW()-2)</f>
        <v/>
      </c>
      <c r="H34" s="272"/>
      <c r="I34" s="274"/>
      <c r="K34" s="275" t="str">
        <f t="shared" ca="1" si="0"/>
        <v/>
      </c>
      <c r="L34" s="275" t="str">
        <f t="shared" ca="1" si="1"/>
        <v/>
      </c>
      <c r="M34" s="275">
        <f t="shared" ca="1" si="2"/>
        <v>0</v>
      </c>
      <c r="N34" s="275">
        <f t="shared" ca="1" si="6"/>
        <v>0</v>
      </c>
      <c r="O34" s="275" t="str">
        <f t="shared" ca="1" si="3"/>
        <v/>
      </c>
      <c r="P34" s="275">
        <f t="shared" ca="1" si="4"/>
        <v>0</v>
      </c>
      <c r="Q34" s="282">
        <f t="shared" ca="1" si="5"/>
        <v>0</v>
      </c>
    </row>
    <row r="35" spans="3:17" ht="21" x14ac:dyDescent="0.4">
      <c r="C35" s="278" t="str">
        <f ca="1">IF(ROW()-2&gt;Start.listina!$O$7,"",INDIRECT(ADDRESS(3+(ROW()-3)*2,$D$2,1,1,"Centrum")))</f>
        <v/>
      </c>
      <c r="D35" s="278" t="str">
        <f ca="1">IF(ROW()-2&gt;Start.listina!$O$7,"",INDIRECT(ADDRESS(4+(ROW()-3)*2,$D$2,1,1,"Centrum")))</f>
        <v/>
      </c>
      <c r="E35" s="276" t="str">
        <f ca="1">IF(TYPE(VLOOKUP(C35,Centrum!$A$3:$C$130,3,0))&gt;3," - ",VLOOKUP(C35,Centrum!$A$3:$C$130,3,0))</f>
        <v xml:space="preserve"> - </v>
      </c>
      <c r="F35" s="276" t="str">
        <f ca="1">IF(TYPE(VLOOKUP(D35,Centrum!$A$3:$C$130,3,0))&gt;3," - ",VLOOKUP(D35,Centrum!$A$3:$C$130,3,0))</f>
        <v xml:space="preserve"> - </v>
      </c>
      <c r="G35" s="439" t="str">
        <f ca="1">IF(ROW()-2&gt;Start.listina!$O$7,"",ROW()-2)</f>
        <v/>
      </c>
      <c r="H35" s="272"/>
      <c r="I35" s="274"/>
      <c r="K35" s="275" t="str">
        <f t="shared" ca="1" si="0"/>
        <v/>
      </c>
      <c r="L35" s="275" t="str">
        <f t="shared" ca="1" si="1"/>
        <v/>
      </c>
      <c r="M35" s="275">
        <f t="shared" ca="1" si="2"/>
        <v>0</v>
      </c>
      <c r="N35" s="275">
        <f t="shared" ca="1" si="6"/>
        <v>0</v>
      </c>
      <c r="O35" s="275" t="str">
        <f t="shared" ca="1" si="3"/>
        <v/>
      </c>
      <c r="P35" s="275">
        <f t="shared" ca="1" si="4"/>
        <v>0</v>
      </c>
      <c r="Q35" s="282">
        <f t="shared" ca="1" si="5"/>
        <v>0</v>
      </c>
    </row>
    <row r="36" spans="3:17" ht="21" x14ac:dyDescent="0.4">
      <c r="C36" s="278" t="str">
        <f ca="1">IF(ROW()-2&gt;Start.listina!$O$7,"",INDIRECT(ADDRESS(3+(ROW()-3)*2,$D$2,1,1,"Centrum")))</f>
        <v/>
      </c>
      <c r="D36" s="278" t="str">
        <f ca="1">IF(ROW()-2&gt;Start.listina!$O$7,"",INDIRECT(ADDRESS(4+(ROW()-3)*2,$D$2,1,1,"Centrum")))</f>
        <v/>
      </c>
      <c r="E36" s="276" t="str">
        <f ca="1">IF(TYPE(VLOOKUP(C36,Centrum!$A$3:$C$130,3,0))&gt;3," - ",VLOOKUP(C36,Centrum!$A$3:$C$130,3,0))</f>
        <v xml:space="preserve"> - </v>
      </c>
      <c r="F36" s="276" t="str">
        <f ca="1">IF(TYPE(VLOOKUP(D36,Centrum!$A$3:$C$130,3,0))&gt;3," - ",VLOOKUP(D36,Centrum!$A$3:$C$130,3,0))</f>
        <v xml:space="preserve"> - </v>
      </c>
      <c r="G36" s="439" t="str">
        <f ca="1">IF(ROW()-2&gt;Start.listina!$O$7,"",ROW()-2)</f>
        <v/>
      </c>
      <c r="H36" s="272"/>
      <c r="I36" s="274"/>
      <c r="K36" s="275" t="str">
        <f t="shared" ca="1" si="0"/>
        <v/>
      </c>
      <c r="L36" s="275" t="str">
        <f t="shared" ca="1" si="1"/>
        <v/>
      </c>
      <c r="M36" s="275">
        <f t="shared" ca="1" si="2"/>
        <v>0</v>
      </c>
      <c r="N36" s="275">
        <f t="shared" ca="1" si="6"/>
        <v>0</v>
      </c>
      <c r="O36" s="275" t="str">
        <f t="shared" ca="1" si="3"/>
        <v/>
      </c>
      <c r="P36" s="275">
        <f t="shared" ca="1" si="4"/>
        <v>0</v>
      </c>
      <c r="Q36" s="282">
        <f t="shared" ca="1" si="5"/>
        <v>0</v>
      </c>
    </row>
    <row r="37" spans="3:17" ht="21" x14ac:dyDescent="0.4">
      <c r="C37" s="278" t="str">
        <f ca="1">IF(ROW()-2&gt;Start.listina!$O$7,"",INDIRECT(ADDRESS(3+(ROW()-3)*2,$D$2,1,1,"Centrum")))</f>
        <v/>
      </c>
      <c r="D37" s="278" t="str">
        <f ca="1">IF(ROW()-2&gt;Start.listina!$O$7,"",INDIRECT(ADDRESS(4+(ROW()-3)*2,$D$2,1,1,"Centrum")))</f>
        <v/>
      </c>
      <c r="E37" s="276" t="str">
        <f ca="1">IF(TYPE(VLOOKUP(C37,Centrum!$A$3:$C$130,3,0))&gt;3," - ",VLOOKUP(C37,Centrum!$A$3:$C$130,3,0))</f>
        <v xml:space="preserve"> - </v>
      </c>
      <c r="F37" s="276" t="str">
        <f ca="1">IF(TYPE(VLOOKUP(D37,Centrum!$A$3:$C$130,3,0))&gt;3," - ",VLOOKUP(D37,Centrum!$A$3:$C$130,3,0))</f>
        <v xml:space="preserve"> - </v>
      </c>
      <c r="G37" s="439" t="str">
        <f ca="1">IF(ROW()-2&gt;Start.listina!$O$7,"",ROW()-2)</f>
        <v/>
      </c>
      <c r="H37" s="272"/>
      <c r="I37" s="274"/>
      <c r="K37" s="275" t="str">
        <f t="shared" ca="1" si="0"/>
        <v/>
      </c>
      <c r="L37" s="275" t="str">
        <f t="shared" ca="1" si="1"/>
        <v/>
      </c>
      <c r="M37" s="275">
        <f t="shared" ca="1" si="2"/>
        <v>0</v>
      </c>
      <c r="N37" s="275">
        <f t="shared" ca="1" si="6"/>
        <v>0</v>
      </c>
      <c r="O37" s="275" t="str">
        <f t="shared" ca="1" si="3"/>
        <v/>
      </c>
      <c r="P37" s="275">
        <f t="shared" ca="1" si="4"/>
        <v>0</v>
      </c>
      <c r="Q37" s="282">
        <f t="shared" ca="1" si="5"/>
        <v>0</v>
      </c>
    </row>
    <row r="38" spans="3:17" ht="21" x14ac:dyDescent="0.4">
      <c r="C38" s="278" t="str">
        <f ca="1">IF(ROW()-2&gt;Start.listina!$O$7,"",INDIRECT(ADDRESS(3+(ROW()-3)*2,$D$2,1,1,"Centrum")))</f>
        <v/>
      </c>
      <c r="D38" s="278" t="str">
        <f ca="1">IF(ROW()-2&gt;Start.listina!$O$7,"",INDIRECT(ADDRESS(4+(ROW()-3)*2,$D$2,1,1,"Centrum")))</f>
        <v/>
      </c>
      <c r="E38" s="276" t="str">
        <f ca="1">IF(TYPE(VLOOKUP(C38,Centrum!$A$3:$C$130,3,0))&gt;3," - ",VLOOKUP(C38,Centrum!$A$3:$C$130,3,0))</f>
        <v xml:space="preserve"> - </v>
      </c>
      <c r="F38" s="276" t="str">
        <f ca="1">IF(TYPE(VLOOKUP(D38,Centrum!$A$3:$C$130,3,0))&gt;3," - ",VLOOKUP(D38,Centrum!$A$3:$C$130,3,0))</f>
        <v xml:space="preserve"> - </v>
      </c>
      <c r="G38" s="439" t="str">
        <f ca="1">IF(ROW()-2&gt;Start.listina!$O$7,"",ROW()-2)</f>
        <v/>
      </c>
      <c r="H38" s="272"/>
      <c r="I38" s="274"/>
      <c r="K38" s="275" t="str">
        <f t="shared" ca="1" si="0"/>
        <v/>
      </c>
      <c r="L38" s="275" t="str">
        <f t="shared" ca="1" si="1"/>
        <v/>
      </c>
      <c r="M38" s="275">
        <f t="shared" ca="1" si="2"/>
        <v>0</v>
      </c>
      <c r="N38" s="275">
        <f t="shared" ca="1" si="6"/>
        <v>0</v>
      </c>
      <c r="O38" s="275" t="str">
        <f t="shared" ca="1" si="3"/>
        <v/>
      </c>
      <c r="P38" s="275">
        <f t="shared" ca="1" si="4"/>
        <v>0</v>
      </c>
      <c r="Q38" s="282">
        <f t="shared" ca="1" si="5"/>
        <v>0</v>
      </c>
    </row>
    <row r="39" spans="3:17" ht="21" x14ac:dyDescent="0.4">
      <c r="C39" s="278" t="str">
        <f ca="1">IF(ROW()-2&gt;Start.listina!$O$7,"",INDIRECT(ADDRESS(3+(ROW()-3)*2,$D$2,1,1,"Centrum")))</f>
        <v/>
      </c>
      <c r="D39" s="278" t="str">
        <f ca="1">IF(ROW()-2&gt;Start.listina!$O$7,"",INDIRECT(ADDRESS(4+(ROW()-3)*2,$D$2,1,1,"Centrum")))</f>
        <v/>
      </c>
      <c r="E39" s="276" t="str">
        <f ca="1">IF(TYPE(VLOOKUP(C39,Centrum!$A$3:$C$130,3,0))&gt;3," - ",VLOOKUP(C39,Centrum!$A$3:$C$130,3,0))</f>
        <v xml:space="preserve"> - </v>
      </c>
      <c r="F39" s="276" t="str">
        <f ca="1">IF(TYPE(VLOOKUP(D39,Centrum!$A$3:$C$130,3,0))&gt;3," - ",VLOOKUP(D39,Centrum!$A$3:$C$130,3,0))</f>
        <v xml:space="preserve"> - </v>
      </c>
      <c r="G39" s="439" t="str">
        <f ca="1">IF(ROW()-2&gt;Start.listina!$O$7,"",ROW()-2)</f>
        <v/>
      </c>
      <c r="H39" s="272"/>
      <c r="I39" s="274"/>
      <c r="K39" s="275" t="str">
        <f t="shared" ca="1" si="0"/>
        <v/>
      </c>
      <c r="L39" s="275" t="str">
        <f t="shared" ca="1" si="1"/>
        <v/>
      </c>
      <c r="M39" s="275">
        <f t="shared" ca="1" si="2"/>
        <v>0</v>
      </c>
      <c r="N39" s="275">
        <f t="shared" ca="1" si="6"/>
        <v>0</v>
      </c>
      <c r="O39" s="275" t="str">
        <f t="shared" ca="1" si="3"/>
        <v/>
      </c>
      <c r="P39" s="275">
        <f t="shared" ca="1" si="4"/>
        <v>0</v>
      </c>
      <c r="Q39" s="282">
        <f t="shared" ca="1" si="5"/>
        <v>0</v>
      </c>
    </row>
    <row r="40" spans="3:17" ht="21" x14ac:dyDescent="0.4">
      <c r="C40" s="278" t="str">
        <f ca="1">IF(ROW()-2&gt;Start.listina!$O$7,"",INDIRECT(ADDRESS(3+(ROW()-3)*2,$D$2,1,1,"Centrum")))</f>
        <v/>
      </c>
      <c r="D40" s="278" t="str">
        <f ca="1">IF(ROW()-2&gt;Start.listina!$O$7,"",INDIRECT(ADDRESS(4+(ROW()-3)*2,$D$2,1,1,"Centrum")))</f>
        <v/>
      </c>
      <c r="E40" s="276" t="str">
        <f ca="1">IF(TYPE(VLOOKUP(C40,Centrum!$A$3:$C$130,3,0))&gt;3," - ",VLOOKUP(C40,Centrum!$A$3:$C$130,3,0))</f>
        <v xml:space="preserve"> - </v>
      </c>
      <c r="F40" s="276" t="str">
        <f ca="1">IF(TYPE(VLOOKUP(D40,Centrum!$A$3:$C$130,3,0))&gt;3," - ",VLOOKUP(D40,Centrum!$A$3:$C$130,3,0))</f>
        <v xml:space="preserve"> - </v>
      </c>
      <c r="G40" s="439" t="str">
        <f ca="1">IF(ROW()-2&gt;Start.listina!$O$7,"",ROW()-2)</f>
        <v/>
      </c>
      <c r="H40" s="272"/>
      <c r="I40" s="274"/>
      <c r="K40" s="275" t="str">
        <f t="shared" ca="1" si="0"/>
        <v/>
      </c>
      <c r="L40" s="275" t="str">
        <f t="shared" ca="1" si="1"/>
        <v/>
      </c>
      <c r="M40" s="275">
        <f t="shared" ca="1" si="2"/>
        <v>0</v>
      </c>
      <c r="N40" s="275">
        <f t="shared" ca="1" si="6"/>
        <v>0</v>
      </c>
      <c r="O40" s="275" t="str">
        <f t="shared" ca="1" si="3"/>
        <v/>
      </c>
      <c r="P40" s="275">
        <f t="shared" ca="1" si="4"/>
        <v>0</v>
      </c>
      <c r="Q40" s="282">
        <f t="shared" ca="1" si="5"/>
        <v>0</v>
      </c>
    </row>
    <row r="41" spans="3:17" ht="21" x14ac:dyDescent="0.4">
      <c r="C41" s="278" t="str">
        <f ca="1">IF(ROW()-2&gt;Start.listina!$O$7,"",INDIRECT(ADDRESS(3+(ROW()-3)*2,$D$2,1,1,"Centrum")))</f>
        <v/>
      </c>
      <c r="D41" s="278" t="str">
        <f ca="1">IF(ROW()-2&gt;Start.listina!$O$7,"",INDIRECT(ADDRESS(4+(ROW()-3)*2,$D$2,1,1,"Centrum")))</f>
        <v/>
      </c>
      <c r="E41" s="276" t="str">
        <f ca="1">IF(TYPE(VLOOKUP(C41,Centrum!$A$3:$C$130,3,0))&gt;3," - ",VLOOKUP(C41,Centrum!$A$3:$C$130,3,0))</f>
        <v xml:space="preserve"> - </v>
      </c>
      <c r="F41" s="276" t="str">
        <f ca="1">IF(TYPE(VLOOKUP(D41,Centrum!$A$3:$C$130,3,0))&gt;3," - ",VLOOKUP(D41,Centrum!$A$3:$C$130,3,0))</f>
        <v xml:space="preserve"> - </v>
      </c>
      <c r="G41" s="439" t="str">
        <f ca="1">IF(ROW()-2&gt;Start.listina!$O$7,"",ROW()-2)</f>
        <v/>
      </c>
      <c r="H41" s="272"/>
      <c r="I41" s="274"/>
      <c r="K41" s="275" t="str">
        <f t="shared" ca="1" si="0"/>
        <v/>
      </c>
      <c r="L41" s="275" t="str">
        <f t="shared" ca="1" si="1"/>
        <v/>
      </c>
      <c r="M41" s="275">
        <f t="shared" ca="1" si="2"/>
        <v>0</v>
      </c>
      <c r="N41" s="275">
        <f t="shared" ca="1" si="6"/>
        <v>0</v>
      </c>
      <c r="O41" s="275" t="str">
        <f t="shared" ca="1" si="3"/>
        <v/>
      </c>
      <c r="P41" s="275">
        <f t="shared" ca="1" si="4"/>
        <v>0</v>
      </c>
      <c r="Q41" s="282">
        <f t="shared" ca="1" si="5"/>
        <v>0</v>
      </c>
    </row>
    <row r="42" spans="3:17" ht="21" x14ac:dyDescent="0.4">
      <c r="C42" s="278" t="str">
        <f ca="1">IF(ROW()-2&gt;Start.listina!$O$7,"",INDIRECT(ADDRESS(3+(ROW()-3)*2,$D$2,1,1,"Centrum")))</f>
        <v/>
      </c>
      <c r="D42" s="278" t="str">
        <f ca="1">IF(ROW()-2&gt;Start.listina!$O$7,"",INDIRECT(ADDRESS(4+(ROW()-3)*2,$D$2,1,1,"Centrum")))</f>
        <v/>
      </c>
      <c r="E42" s="276" t="str">
        <f ca="1">IF(TYPE(VLOOKUP(C42,Centrum!$A$3:$C$130,3,0))&gt;3," - ",VLOOKUP(C42,Centrum!$A$3:$C$130,3,0))</f>
        <v xml:space="preserve"> - </v>
      </c>
      <c r="F42" s="276" t="str">
        <f ca="1">IF(TYPE(VLOOKUP(D42,Centrum!$A$3:$C$130,3,0))&gt;3," - ",VLOOKUP(D42,Centrum!$A$3:$C$130,3,0))</f>
        <v xml:space="preserve"> - </v>
      </c>
      <c r="G42" s="439" t="str">
        <f ca="1">IF(ROW()-2&gt;Start.listina!$O$7,"",ROW()-2)</f>
        <v/>
      </c>
      <c r="H42" s="272"/>
      <c r="I42" s="274"/>
      <c r="K42" s="275" t="str">
        <f t="shared" ca="1" si="0"/>
        <v/>
      </c>
      <c r="L42" s="275" t="str">
        <f t="shared" ca="1" si="1"/>
        <v/>
      </c>
      <c r="M42" s="275">
        <f t="shared" ca="1" si="2"/>
        <v>0</v>
      </c>
      <c r="N42" s="275">
        <f t="shared" ca="1" si="6"/>
        <v>0</v>
      </c>
      <c r="O42" s="275" t="str">
        <f t="shared" ca="1" si="3"/>
        <v/>
      </c>
      <c r="P42" s="275">
        <f t="shared" ca="1" si="4"/>
        <v>0</v>
      </c>
      <c r="Q42" s="282">
        <f t="shared" ca="1" si="5"/>
        <v>0</v>
      </c>
    </row>
    <row r="43" spans="3:17" ht="21" x14ac:dyDescent="0.4">
      <c r="C43" s="278" t="str">
        <f ca="1">IF(ROW()-2&gt;Start.listina!$O$7,"",INDIRECT(ADDRESS(3+(ROW()-3)*2,$D$2,1,1,"Centrum")))</f>
        <v/>
      </c>
      <c r="D43" s="278" t="str">
        <f ca="1">IF(ROW()-2&gt;Start.listina!$O$7,"",INDIRECT(ADDRESS(4+(ROW()-3)*2,$D$2,1,1,"Centrum")))</f>
        <v/>
      </c>
      <c r="E43" s="276" t="str">
        <f ca="1">IF(TYPE(VLOOKUP(C43,Centrum!$A$3:$C$130,3,0))&gt;3," - ",VLOOKUP(C43,Centrum!$A$3:$C$130,3,0))</f>
        <v xml:space="preserve"> - </v>
      </c>
      <c r="F43" s="276" t="str">
        <f ca="1">IF(TYPE(VLOOKUP(D43,Centrum!$A$3:$C$130,3,0))&gt;3," - ",VLOOKUP(D43,Centrum!$A$3:$C$130,3,0))</f>
        <v xml:space="preserve"> - </v>
      </c>
      <c r="G43" s="439" t="str">
        <f ca="1">IF(ROW()-2&gt;Start.listina!$O$7,"",ROW()-2)</f>
        <v/>
      </c>
      <c r="H43" s="272"/>
      <c r="I43" s="274"/>
      <c r="K43" s="275" t="str">
        <f t="shared" ca="1" si="0"/>
        <v/>
      </c>
      <c r="L43" s="275" t="str">
        <f t="shared" ca="1" si="1"/>
        <v/>
      </c>
      <c r="M43" s="275">
        <f t="shared" ca="1" si="2"/>
        <v>0</v>
      </c>
      <c r="N43" s="275">
        <f t="shared" ca="1" si="6"/>
        <v>0</v>
      </c>
      <c r="O43" s="275" t="str">
        <f t="shared" ca="1" si="3"/>
        <v/>
      </c>
      <c r="P43" s="275">
        <f t="shared" ca="1" si="4"/>
        <v>0</v>
      </c>
      <c r="Q43" s="282">
        <f t="shared" ca="1" si="5"/>
        <v>0</v>
      </c>
    </row>
    <row r="44" spans="3:17" ht="21" x14ac:dyDescent="0.4">
      <c r="C44" s="278" t="str">
        <f ca="1">IF(ROW()-2&gt;Start.listina!$O$7,"",INDIRECT(ADDRESS(3+(ROW()-3)*2,$D$2,1,1,"Centrum")))</f>
        <v/>
      </c>
      <c r="D44" s="278" t="str">
        <f ca="1">IF(ROW()-2&gt;Start.listina!$O$7,"",INDIRECT(ADDRESS(4+(ROW()-3)*2,$D$2,1,1,"Centrum")))</f>
        <v/>
      </c>
      <c r="E44" s="276" t="str">
        <f ca="1">IF(TYPE(VLOOKUP(C44,Centrum!$A$3:$C$130,3,0))&gt;3," - ",VLOOKUP(C44,Centrum!$A$3:$C$130,3,0))</f>
        <v xml:space="preserve"> - </v>
      </c>
      <c r="F44" s="276" t="str">
        <f ca="1">IF(TYPE(VLOOKUP(D44,Centrum!$A$3:$C$130,3,0))&gt;3," - ",VLOOKUP(D44,Centrum!$A$3:$C$130,3,0))</f>
        <v xml:space="preserve"> - </v>
      </c>
      <c r="G44" s="439" t="str">
        <f ca="1">IF(ROW()-2&gt;Start.listina!$O$7,"",ROW()-2)</f>
        <v/>
      </c>
      <c r="H44" s="272"/>
      <c r="I44" s="274"/>
      <c r="K44" s="275" t="str">
        <f t="shared" ca="1" si="0"/>
        <v/>
      </c>
      <c r="L44" s="275" t="str">
        <f t="shared" ca="1" si="1"/>
        <v/>
      </c>
      <c r="M44" s="275">
        <f t="shared" ca="1" si="2"/>
        <v>0</v>
      </c>
      <c r="N44" s="275">
        <f t="shared" ca="1" si="6"/>
        <v>0</v>
      </c>
      <c r="O44" s="275" t="str">
        <f t="shared" ca="1" si="3"/>
        <v/>
      </c>
      <c r="P44" s="275">
        <f t="shared" ca="1" si="4"/>
        <v>0</v>
      </c>
      <c r="Q44" s="282">
        <f t="shared" ca="1" si="5"/>
        <v>0</v>
      </c>
    </row>
    <row r="45" spans="3:17" ht="21" x14ac:dyDescent="0.4">
      <c r="C45" s="278" t="str">
        <f ca="1">IF(ROW()-2&gt;Start.listina!$O$7,"",INDIRECT(ADDRESS(3+(ROW()-3)*2,$D$2,1,1,"Centrum")))</f>
        <v/>
      </c>
      <c r="D45" s="278" t="str">
        <f ca="1">IF(ROW()-2&gt;Start.listina!$O$7,"",INDIRECT(ADDRESS(4+(ROW()-3)*2,$D$2,1,1,"Centrum")))</f>
        <v/>
      </c>
      <c r="E45" s="276" t="str">
        <f ca="1">IF(TYPE(VLOOKUP(C45,Centrum!$A$3:$C$130,3,0))&gt;3," - ",VLOOKUP(C45,Centrum!$A$3:$C$130,3,0))</f>
        <v xml:space="preserve"> - </v>
      </c>
      <c r="F45" s="276" t="str">
        <f ca="1">IF(TYPE(VLOOKUP(D45,Centrum!$A$3:$C$130,3,0))&gt;3," - ",VLOOKUP(D45,Centrum!$A$3:$C$130,3,0))</f>
        <v xml:space="preserve"> - </v>
      </c>
      <c r="G45" s="439" t="str">
        <f ca="1">IF(ROW()-2&gt;Start.listina!$O$7,"",ROW()-2)</f>
        <v/>
      </c>
      <c r="H45" s="272"/>
      <c r="I45" s="274"/>
      <c r="K45" s="275" t="str">
        <f t="shared" ca="1" si="0"/>
        <v/>
      </c>
      <c r="L45" s="275" t="str">
        <f t="shared" ca="1" si="1"/>
        <v/>
      </c>
      <c r="M45" s="275">
        <f t="shared" ca="1" si="2"/>
        <v>0</v>
      </c>
      <c r="N45" s="275">
        <f t="shared" ca="1" si="6"/>
        <v>0</v>
      </c>
      <c r="O45" s="275" t="str">
        <f t="shared" ca="1" si="3"/>
        <v/>
      </c>
      <c r="P45" s="275">
        <f t="shared" ca="1" si="4"/>
        <v>0</v>
      </c>
      <c r="Q45" s="282">
        <f t="shared" ca="1" si="5"/>
        <v>0</v>
      </c>
    </row>
    <row r="46" spans="3:17" ht="21" x14ac:dyDescent="0.4">
      <c r="C46" s="278" t="str">
        <f ca="1">IF(ROW()-2&gt;Start.listina!$O$7,"",INDIRECT(ADDRESS(3+(ROW()-3)*2,$D$2,1,1,"Centrum")))</f>
        <v/>
      </c>
      <c r="D46" s="278" t="str">
        <f ca="1">IF(ROW()-2&gt;Start.listina!$O$7,"",INDIRECT(ADDRESS(4+(ROW()-3)*2,$D$2,1,1,"Centrum")))</f>
        <v/>
      </c>
      <c r="E46" s="276" t="str">
        <f ca="1">IF(TYPE(VLOOKUP(C46,Centrum!$A$3:$C$130,3,0))&gt;3," - ",VLOOKUP(C46,Centrum!$A$3:$C$130,3,0))</f>
        <v xml:space="preserve"> - </v>
      </c>
      <c r="F46" s="276" t="str">
        <f ca="1">IF(TYPE(VLOOKUP(D46,Centrum!$A$3:$C$130,3,0))&gt;3," - ",VLOOKUP(D46,Centrum!$A$3:$C$130,3,0))</f>
        <v xml:space="preserve"> - </v>
      </c>
      <c r="G46" s="439" t="str">
        <f ca="1">IF(ROW()-2&gt;Start.listina!$O$7,"",ROW()-2)</f>
        <v/>
      </c>
      <c r="H46" s="272"/>
      <c r="I46" s="274"/>
      <c r="K46" s="275" t="str">
        <f t="shared" ca="1" si="0"/>
        <v/>
      </c>
      <c r="L46" s="275" t="str">
        <f t="shared" ca="1" si="1"/>
        <v/>
      </c>
      <c r="M46" s="275">
        <f t="shared" ca="1" si="2"/>
        <v>0</v>
      </c>
      <c r="N46" s="275">
        <f t="shared" ca="1" si="6"/>
        <v>0</v>
      </c>
      <c r="O46" s="275" t="str">
        <f t="shared" ca="1" si="3"/>
        <v/>
      </c>
      <c r="P46" s="275">
        <f t="shared" ca="1" si="4"/>
        <v>0</v>
      </c>
      <c r="Q46" s="282">
        <f t="shared" ca="1" si="5"/>
        <v>0</v>
      </c>
    </row>
    <row r="47" spans="3:17" ht="21" x14ac:dyDescent="0.4">
      <c r="C47" s="278" t="str">
        <f ca="1">IF(ROW()-2&gt;Start.listina!$O$7,"",INDIRECT(ADDRESS(3+(ROW()-3)*2,$D$2,1,1,"Centrum")))</f>
        <v/>
      </c>
      <c r="D47" s="278" t="str">
        <f ca="1">IF(ROW()-2&gt;Start.listina!$O$7,"",INDIRECT(ADDRESS(4+(ROW()-3)*2,$D$2,1,1,"Centrum")))</f>
        <v/>
      </c>
      <c r="E47" s="276" t="str">
        <f ca="1">IF(TYPE(VLOOKUP(C47,Centrum!$A$3:$C$130,3,0))&gt;3," - ",VLOOKUP(C47,Centrum!$A$3:$C$130,3,0))</f>
        <v xml:space="preserve"> - </v>
      </c>
      <c r="F47" s="276" t="str">
        <f ca="1">IF(TYPE(VLOOKUP(D47,Centrum!$A$3:$C$130,3,0))&gt;3," - ",VLOOKUP(D47,Centrum!$A$3:$C$130,3,0))</f>
        <v xml:space="preserve"> - </v>
      </c>
      <c r="G47" s="439" t="str">
        <f ca="1">IF(ROW()-2&gt;Start.listina!$O$7,"",ROW()-2)</f>
        <v/>
      </c>
      <c r="H47" s="272"/>
      <c r="I47" s="274"/>
      <c r="K47" s="275" t="str">
        <f t="shared" ca="1" si="0"/>
        <v/>
      </c>
      <c r="L47" s="275" t="str">
        <f t="shared" ca="1" si="1"/>
        <v/>
      </c>
      <c r="M47" s="275">
        <f t="shared" ca="1" si="2"/>
        <v>0</v>
      </c>
      <c r="N47" s="275">
        <f t="shared" ca="1" si="6"/>
        <v>0</v>
      </c>
      <c r="O47" s="275" t="str">
        <f t="shared" ca="1" si="3"/>
        <v/>
      </c>
      <c r="P47" s="275">
        <f t="shared" ca="1" si="4"/>
        <v>0</v>
      </c>
      <c r="Q47" s="282">
        <f t="shared" ca="1" si="5"/>
        <v>0</v>
      </c>
    </row>
    <row r="48" spans="3:17" ht="21" x14ac:dyDescent="0.4">
      <c r="C48" s="278" t="str">
        <f ca="1">IF(ROW()-2&gt;Start.listina!$O$7,"",INDIRECT(ADDRESS(3+(ROW()-3)*2,$D$2,1,1,"Centrum")))</f>
        <v/>
      </c>
      <c r="D48" s="278" t="str">
        <f ca="1">IF(ROW()-2&gt;Start.listina!$O$7,"",INDIRECT(ADDRESS(4+(ROW()-3)*2,$D$2,1,1,"Centrum")))</f>
        <v/>
      </c>
      <c r="E48" s="276" t="str">
        <f ca="1">IF(TYPE(VLOOKUP(C48,Centrum!$A$3:$C$130,3,0))&gt;3," - ",VLOOKUP(C48,Centrum!$A$3:$C$130,3,0))</f>
        <v xml:space="preserve"> - </v>
      </c>
      <c r="F48" s="276" t="str">
        <f ca="1">IF(TYPE(VLOOKUP(D48,Centrum!$A$3:$C$130,3,0))&gt;3," - ",VLOOKUP(D48,Centrum!$A$3:$C$130,3,0))</f>
        <v xml:space="preserve"> - </v>
      </c>
      <c r="G48" s="439" t="str">
        <f ca="1">IF(ROW()-2&gt;Start.listina!$O$7,"",ROW()-2)</f>
        <v/>
      </c>
      <c r="H48" s="272"/>
      <c r="I48" s="274"/>
      <c r="K48" s="275" t="str">
        <f t="shared" ca="1" si="0"/>
        <v/>
      </c>
      <c r="L48" s="275" t="str">
        <f t="shared" ca="1" si="1"/>
        <v/>
      </c>
      <c r="M48" s="275">
        <f t="shared" ca="1" si="2"/>
        <v>0</v>
      </c>
      <c r="N48" s="275">
        <f t="shared" ca="1" si="6"/>
        <v>0</v>
      </c>
      <c r="O48" s="275" t="str">
        <f t="shared" ca="1" si="3"/>
        <v/>
      </c>
      <c r="P48" s="275">
        <f t="shared" ca="1" si="4"/>
        <v>0</v>
      </c>
      <c r="Q48" s="282">
        <f t="shared" ca="1" si="5"/>
        <v>0</v>
      </c>
    </row>
    <row r="49" spans="3:17" ht="21" x14ac:dyDescent="0.4">
      <c r="C49" s="278" t="str">
        <f ca="1">IF(ROW()-2&gt;Start.listina!$O$7,"",INDIRECT(ADDRESS(3+(ROW()-3)*2,$D$2,1,1,"Centrum")))</f>
        <v/>
      </c>
      <c r="D49" s="278" t="str">
        <f ca="1">IF(ROW()-2&gt;Start.listina!$O$7,"",INDIRECT(ADDRESS(4+(ROW()-3)*2,$D$2,1,1,"Centrum")))</f>
        <v/>
      </c>
      <c r="E49" s="276" t="str">
        <f ca="1">IF(TYPE(VLOOKUP(C49,Centrum!$A$3:$C$130,3,0))&gt;3," - ",VLOOKUP(C49,Centrum!$A$3:$C$130,3,0))</f>
        <v xml:space="preserve"> - </v>
      </c>
      <c r="F49" s="276" t="str">
        <f ca="1">IF(TYPE(VLOOKUP(D49,Centrum!$A$3:$C$130,3,0))&gt;3," - ",VLOOKUP(D49,Centrum!$A$3:$C$130,3,0))</f>
        <v xml:space="preserve"> - </v>
      </c>
      <c r="G49" s="439" t="str">
        <f ca="1">IF(ROW()-2&gt;Start.listina!$O$7,"",ROW()-2)</f>
        <v/>
      </c>
      <c r="H49" s="272"/>
      <c r="I49" s="274"/>
      <c r="K49" s="275" t="str">
        <f t="shared" ca="1" si="0"/>
        <v/>
      </c>
      <c r="L49" s="275" t="str">
        <f t="shared" ca="1" si="1"/>
        <v/>
      </c>
      <c r="M49" s="275">
        <f t="shared" ca="1" si="2"/>
        <v>0</v>
      </c>
      <c r="N49" s="275">
        <f t="shared" ca="1" si="6"/>
        <v>0</v>
      </c>
      <c r="O49" s="275" t="str">
        <f t="shared" ca="1" si="3"/>
        <v/>
      </c>
      <c r="P49" s="275">
        <f t="shared" ca="1" si="4"/>
        <v>0</v>
      </c>
      <c r="Q49" s="282">
        <f t="shared" ca="1" si="5"/>
        <v>0</v>
      </c>
    </row>
    <row r="50" spans="3:17" ht="21" x14ac:dyDescent="0.4">
      <c r="C50" s="278" t="str">
        <f ca="1">IF(ROW()-2&gt;Start.listina!$O$7,"",INDIRECT(ADDRESS(3+(ROW()-3)*2,$D$2,1,1,"Centrum")))</f>
        <v/>
      </c>
      <c r="D50" s="278" t="str">
        <f ca="1">IF(ROW()-2&gt;Start.listina!$O$7,"",INDIRECT(ADDRESS(4+(ROW()-3)*2,$D$2,1,1,"Centrum")))</f>
        <v/>
      </c>
      <c r="E50" s="276" t="str">
        <f ca="1">IF(TYPE(VLOOKUP(C50,Centrum!$A$3:$C$130,3,0))&gt;3," - ",VLOOKUP(C50,Centrum!$A$3:$C$130,3,0))</f>
        <v xml:space="preserve"> - </v>
      </c>
      <c r="F50" s="276" t="str">
        <f ca="1">IF(TYPE(VLOOKUP(D50,Centrum!$A$3:$C$130,3,0))&gt;3," - ",VLOOKUP(D50,Centrum!$A$3:$C$130,3,0))</f>
        <v xml:space="preserve"> - </v>
      </c>
      <c r="G50" s="439" t="str">
        <f ca="1">IF(ROW()-2&gt;Start.listina!$O$7,"",ROW()-2)</f>
        <v/>
      </c>
      <c r="H50" s="272"/>
      <c r="I50" s="274"/>
      <c r="K50" s="275" t="str">
        <f t="shared" ca="1" si="0"/>
        <v/>
      </c>
      <c r="L50" s="275" t="str">
        <f t="shared" ca="1" si="1"/>
        <v/>
      </c>
      <c r="M50" s="275">
        <f t="shared" ca="1" si="2"/>
        <v>0</v>
      </c>
      <c r="N50" s="275">
        <f t="shared" ca="1" si="6"/>
        <v>0</v>
      </c>
      <c r="O50" s="275" t="str">
        <f t="shared" ca="1" si="3"/>
        <v/>
      </c>
      <c r="P50" s="275">
        <f t="shared" ca="1" si="4"/>
        <v>0</v>
      </c>
      <c r="Q50" s="282">
        <f t="shared" ca="1" si="5"/>
        <v>0</v>
      </c>
    </row>
    <row r="51" spans="3:17" ht="21" x14ac:dyDescent="0.4">
      <c r="C51" s="278" t="str">
        <f ca="1">IF(ROW()-2&gt;Start.listina!$O$7,"",INDIRECT(ADDRESS(3+(ROW()-3)*2,$D$2,1,1,"Centrum")))</f>
        <v/>
      </c>
      <c r="D51" s="278" t="str">
        <f ca="1">IF(ROW()-2&gt;Start.listina!$O$7,"",INDIRECT(ADDRESS(4+(ROW()-3)*2,$D$2,1,1,"Centrum")))</f>
        <v/>
      </c>
      <c r="E51" s="276" t="str">
        <f ca="1">IF(TYPE(VLOOKUP(C51,Centrum!$A$3:$C$130,3,0))&gt;3," - ",VLOOKUP(C51,Centrum!$A$3:$C$130,3,0))</f>
        <v xml:space="preserve"> - </v>
      </c>
      <c r="F51" s="276" t="str">
        <f ca="1">IF(TYPE(VLOOKUP(D51,Centrum!$A$3:$C$130,3,0))&gt;3," - ",VLOOKUP(D51,Centrum!$A$3:$C$130,3,0))</f>
        <v xml:space="preserve"> - </v>
      </c>
      <c r="G51" s="439" t="str">
        <f ca="1">IF(ROW()-2&gt;Start.listina!$O$7,"",ROW()-2)</f>
        <v/>
      </c>
      <c r="H51" s="272"/>
      <c r="I51" s="274"/>
      <c r="K51" s="275" t="str">
        <f t="shared" ca="1" si="0"/>
        <v/>
      </c>
      <c r="L51" s="275" t="str">
        <f t="shared" ca="1" si="1"/>
        <v/>
      </c>
      <c r="M51" s="275">
        <f t="shared" ca="1" si="2"/>
        <v>0</v>
      </c>
      <c r="N51" s="275">
        <f t="shared" ca="1" si="6"/>
        <v>0</v>
      </c>
      <c r="O51" s="275" t="str">
        <f t="shared" ca="1" si="3"/>
        <v/>
      </c>
      <c r="P51" s="275">
        <f t="shared" ca="1" si="4"/>
        <v>0</v>
      </c>
      <c r="Q51" s="282">
        <f t="shared" ca="1" si="5"/>
        <v>0</v>
      </c>
    </row>
    <row r="52" spans="3:17" ht="21" x14ac:dyDescent="0.4">
      <c r="C52" s="278" t="str">
        <f ca="1">IF(ROW()-2&gt;Start.listina!$O$7,"",INDIRECT(ADDRESS(3+(ROW()-3)*2,$D$2,1,1,"Centrum")))</f>
        <v/>
      </c>
      <c r="D52" s="278" t="str">
        <f ca="1">IF(ROW()-2&gt;Start.listina!$O$7,"",INDIRECT(ADDRESS(4+(ROW()-3)*2,$D$2,1,1,"Centrum")))</f>
        <v/>
      </c>
      <c r="E52" s="276" t="str">
        <f ca="1">IF(TYPE(VLOOKUP(C52,Centrum!$A$3:$C$130,3,0))&gt;3," - ",VLOOKUP(C52,Centrum!$A$3:$C$130,3,0))</f>
        <v xml:space="preserve"> - </v>
      </c>
      <c r="F52" s="276" t="str">
        <f ca="1">IF(TYPE(VLOOKUP(D52,Centrum!$A$3:$C$130,3,0))&gt;3," - ",VLOOKUP(D52,Centrum!$A$3:$C$130,3,0))</f>
        <v xml:space="preserve"> - </v>
      </c>
      <c r="G52" s="439" t="str">
        <f ca="1">IF(ROW()-2&gt;Start.listina!$O$7,"",ROW()-2)</f>
        <v/>
      </c>
      <c r="H52" s="272"/>
      <c r="I52" s="274"/>
      <c r="K52" s="275" t="str">
        <f t="shared" ca="1" si="0"/>
        <v/>
      </c>
      <c r="L52" s="275" t="str">
        <f t="shared" ca="1" si="1"/>
        <v/>
      </c>
      <c r="M52" s="275">
        <f t="shared" ca="1" si="2"/>
        <v>0</v>
      </c>
      <c r="N52" s="275">
        <f t="shared" ca="1" si="6"/>
        <v>0</v>
      </c>
      <c r="O52" s="275" t="str">
        <f t="shared" ca="1" si="3"/>
        <v/>
      </c>
      <c r="P52" s="275">
        <f t="shared" ca="1" si="4"/>
        <v>0</v>
      </c>
      <c r="Q52" s="282">
        <f t="shared" ca="1" si="5"/>
        <v>0</v>
      </c>
    </row>
    <row r="53" spans="3:17" ht="21" x14ac:dyDescent="0.4">
      <c r="C53" s="278" t="str">
        <f ca="1">IF(ROW()-2&gt;Start.listina!$O$7,"",INDIRECT(ADDRESS(3+(ROW()-3)*2,$D$2,1,1,"Centrum")))</f>
        <v/>
      </c>
      <c r="D53" s="278" t="str">
        <f ca="1">IF(ROW()-2&gt;Start.listina!$O$7,"",INDIRECT(ADDRESS(4+(ROW()-3)*2,$D$2,1,1,"Centrum")))</f>
        <v/>
      </c>
      <c r="E53" s="276" t="str">
        <f ca="1">IF(TYPE(VLOOKUP(C53,Centrum!$A$3:$C$130,3,0))&gt;3," - ",VLOOKUP(C53,Centrum!$A$3:$C$130,3,0))</f>
        <v xml:space="preserve"> - </v>
      </c>
      <c r="F53" s="276" t="str">
        <f ca="1">IF(TYPE(VLOOKUP(D53,Centrum!$A$3:$C$130,3,0))&gt;3," - ",VLOOKUP(D53,Centrum!$A$3:$C$130,3,0))</f>
        <v xml:space="preserve"> - </v>
      </c>
      <c r="G53" s="439" t="str">
        <f ca="1">IF(ROW()-2&gt;Start.listina!$O$7,"",ROW()-2)</f>
        <v/>
      </c>
      <c r="H53" s="272"/>
      <c r="I53" s="274"/>
      <c r="K53" s="275" t="str">
        <f t="shared" ca="1" si="0"/>
        <v/>
      </c>
      <c r="L53" s="275" t="str">
        <f t="shared" ca="1" si="1"/>
        <v/>
      </c>
      <c r="M53" s="275">
        <f t="shared" ca="1" si="2"/>
        <v>0</v>
      </c>
      <c r="N53" s="275">
        <f t="shared" ca="1" si="6"/>
        <v>0</v>
      </c>
      <c r="O53" s="275" t="str">
        <f t="shared" ca="1" si="3"/>
        <v/>
      </c>
      <c r="P53" s="275">
        <f t="shared" ca="1" si="4"/>
        <v>0</v>
      </c>
      <c r="Q53" s="282">
        <f t="shared" ca="1" si="5"/>
        <v>0</v>
      </c>
    </row>
    <row r="54" spans="3:17" ht="21" x14ac:dyDescent="0.4">
      <c r="C54" s="278" t="str">
        <f ca="1">IF(ROW()-2&gt;Start.listina!$O$7,"",INDIRECT(ADDRESS(3+(ROW()-3)*2,$D$2,1,1,"Centrum")))</f>
        <v/>
      </c>
      <c r="D54" s="278" t="str">
        <f ca="1">IF(ROW()-2&gt;Start.listina!$O$7,"",INDIRECT(ADDRESS(4+(ROW()-3)*2,$D$2,1,1,"Centrum")))</f>
        <v/>
      </c>
      <c r="E54" s="276" t="str">
        <f ca="1">IF(TYPE(VLOOKUP(C54,Centrum!$A$3:$C$130,3,0))&gt;3," - ",VLOOKUP(C54,Centrum!$A$3:$C$130,3,0))</f>
        <v xml:space="preserve"> - </v>
      </c>
      <c r="F54" s="276" t="str">
        <f ca="1">IF(TYPE(VLOOKUP(D54,Centrum!$A$3:$C$130,3,0))&gt;3," - ",VLOOKUP(D54,Centrum!$A$3:$C$130,3,0))</f>
        <v xml:space="preserve"> - </v>
      </c>
      <c r="G54" s="439" t="str">
        <f ca="1">IF(ROW()-2&gt;Start.listina!$O$7,"",ROW()-2)</f>
        <v/>
      </c>
      <c r="H54" s="272"/>
      <c r="I54" s="274"/>
      <c r="K54" s="275" t="str">
        <f t="shared" ca="1" si="0"/>
        <v/>
      </c>
      <c r="L54" s="275" t="str">
        <f t="shared" ca="1" si="1"/>
        <v/>
      </c>
      <c r="M54" s="275">
        <f t="shared" ca="1" si="2"/>
        <v>0</v>
      </c>
      <c r="N54" s="275">
        <f t="shared" ca="1" si="6"/>
        <v>0</v>
      </c>
      <c r="O54" s="275" t="str">
        <f t="shared" ca="1" si="3"/>
        <v/>
      </c>
      <c r="P54" s="275">
        <f t="shared" ca="1" si="4"/>
        <v>0</v>
      </c>
      <c r="Q54" s="282">
        <f t="shared" ca="1" si="5"/>
        <v>0</v>
      </c>
    </row>
    <row r="55" spans="3:17" ht="21" x14ac:dyDescent="0.4">
      <c r="C55" s="278" t="str">
        <f ca="1">IF(ROW()-2&gt;Start.listina!$O$7,"",INDIRECT(ADDRESS(3+(ROW()-3)*2,$D$2,1,1,"Centrum")))</f>
        <v/>
      </c>
      <c r="D55" s="278" t="str">
        <f ca="1">IF(ROW()-2&gt;Start.listina!$O$7,"",INDIRECT(ADDRESS(4+(ROW()-3)*2,$D$2,1,1,"Centrum")))</f>
        <v/>
      </c>
      <c r="E55" s="276" t="str">
        <f ca="1">IF(TYPE(VLOOKUP(C55,Centrum!$A$3:$C$130,3,0))&gt;3," - ",VLOOKUP(C55,Centrum!$A$3:$C$130,3,0))</f>
        <v xml:space="preserve"> - </v>
      </c>
      <c r="F55" s="276" t="str">
        <f ca="1">IF(TYPE(VLOOKUP(D55,Centrum!$A$3:$C$130,3,0))&gt;3," - ",VLOOKUP(D55,Centrum!$A$3:$C$130,3,0))</f>
        <v xml:space="preserve"> - </v>
      </c>
      <c r="G55" s="439" t="str">
        <f ca="1">IF(ROW()-2&gt;Start.listina!$O$7,"",ROW()-2)</f>
        <v/>
      </c>
      <c r="H55" s="272"/>
      <c r="I55" s="274"/>
      <c r="K55" s="275" t="str">
        <f t="shared" ca="1" si="0"/>
        <v/>
      </c>
      <c r="L55" s="275" t="str">
        <f t="shared" ca="1" si="1"/>
        <v/>
      </c>
      <c r="M55" s="275">
        <f t="shared" ca="1" si="2"/>
        <v>0</v>
      </c>
      <c r="N55" s="275">
        <f t="shared" ca="1" si="6"/>
        <v>0</v>
      </c>
      <c r="O55" s="275" t="str">
        <f t="shared" ca="1" si="3"/>
        <v/>
      </c>
      <c r="P55" s="275">
        <f t="shared" ca="1" si="4"/>
        <v>0</v>
      </c>
      <c r="Q55" s="282">
        <f t="shared" ca="1" si="5"/>
        <v>0</v>
      </c>
    </row>
    <row r="56" spans="3:17" ht="21" x14ac:dyDescent="0.4">
      <c r="C56" s="278" t="str">
        <f ca="1">IF(ROW()-2&gt;Start.listina!$O$7,"",INDIRECT(ADDRESS(3+(ROW()-3)*2,$D$2,1,1,"Centrum")))</f>
        <v/>
      </c>
      <c r="D56" s="278" t="str">
        <f ca="1">IF(ROW()-2&gt;Start.listina!$O$7,"",INDIRECT(ADDRESS(4+(ROW()-3)*2,$D$2,1,1,"Centrum")))</f>
        <v/>
      </c>
      <c r="E56" s="276" t="str">
        <f ca="1">IF(TYPE(VLOOKUP(C56,Centrum!$A$3:$C$130,3,0))&gt;3," - ",VLOOKUP(C56,Centrum!$A$3:$C$130,3,0))</f>
        <v xml:space="preserve"> - </v>
      </c>
      <c r="F56" s="276" t="str">
        <f ca="1">IF(TYPE(VLOOKUP(D56,Centrum!$A$3:$C$130,3,0))&gt;3," - ",VLOOKUP(D56,Centrum!$A$3:$C$130,3,0))</f>
        <v xml:space="preserve"> - </v>
      </c>
      <c r="G56" s="439" t="str">
        <f ca="1">IF(ROW()-2&gt;Start.listina!$O$7,"",ROW()-2)</f>
        <v/>
      </c>
      <c r="H56" s="272"/>
      <c r="I56" s="274"/>
      <c r="K56" s="275" t="str">
        <f t="shared" ca="1" si="0"/>
        <v/>
      </c>
      <c r="L56" s="275" t="str">
        <f t="shared" ca="1" si="1"/>
        <v/>
      </c>
      <c r="M56" s="275">
        <f t="shared" ca="1" si="2"/>
        <v>0</v>
      </c>
      <c r="N56" s="275">
        <f t="shared" ca="1" si="6"/>
        <v>0</v>
      </c>
      <c r="O56" s="275" t="str">
        <f t="shared" ca="1" si="3"/>
        <v/>
      </c>
      <c r="P56" s="275">
        <f t="shared" ca="1" si="4"/>
        <v>0</v>
      </c>
      <c r="Q56" s="282">
        <f t="shared" ca="1" si="5"/>
        <v>0</v>
      </c>
    </row>
    <row r="57" spans="3:17" ht="21" x14ac:dyDescent="0.4">
      <c r="C57" s="278" t="str">
        <f ca="1">IF(ROW()-2&gt;Start.listina!$O$7,"",INDIRECT(ADDRESS(3+(ROW()-3)*2,$D$2,1,1,"Centrum")))</f>
        <v/>
      </c>
      <c r="D57" s="278" t="str">
        <f ca="1">IF(ROW()-2&gt;Start.listina!$O$7,"",INDIRECT(ADDRESS(4+(ROW()-3)*2,$D$2,1,1,"Centrum")))</f>
        <v/>
      </c>
      <c r="E57" s="276" t="str">
        <f ca="1">IF(TYPE(VLOOKUP(C57,Centrum!$A$3:$C$130,3,0))&gt;3," - ",VLOOKUP(C57,Centrum!$A$3:$C$130,3,0))</f>
        <v xml:space="preserve"> - </v>
      </c>
      <c r="F57" s="276" t="str">
        <f ca="1">IF(TYPE(VLOOKUP(D57,Centrum!$A$3:$C$130,3,0))&gt;3," - ",VLOOKUP(D57,Centrum!$A$3:$C$130,3,0))</f>
        <v xml:space="preserve"> - </v>
      </c>
      <c r="G57" s="439" t="str">
        <f ca="1">IF(ROW()-2&gt;Start.listina!$O$7,"",ROW()-2)</f>
        <v/>
      </c>
      <c r="H57" s="272"/>
      <c r="I57" s="274"/>
      <c r="K57" s="275" t="str">
        <f t="shared" ca="1" si="0"/>
        <v/>
      </c>
      <c r="L57" s="275" t="str">
        <f t="shared" ca="1" si="1"/>
        <v/>
      </c>
      <c r="M57" s="275">
        <f t="shared" ca="1" si="2"/>
        <v>0</v>
      </c>
      <c r="N57" s="275">
        <f t="shared" ca="1" si="6"/>
        <v>0</v>
      </c>
      <c r="O57" s="275" t="str">
        <f t="shared" ca="1" si="3"/>
        <v/>
      </c>
      <c r="P57" s="275">
        <f t="shared" ca="1" si="4"/>
        <v>0</v>
      </c>
      <c r="Q57" s="282">
        <f t="shared" ca="1" si="5"/>
        <v>0</v>
      </c>
    </row>
    <row r="58" spans="3:17" ht="21" x14ac:dyDescent="0.4">
      <c r="C58" s="278" t="str">
        <f ca="1">IF(ROW()-2&gt;Start.listina!$O$7,"",INDIRECT(ADDRESS(3+(ROW()-3)*2,$D$2,1,1,"Centrum")))</f>
        <v/>
      </c>
      <c r="D58" s="278" t="str">
        <f ca="1">IF(ROW()-2&gt;Start.listina!$O$7,"",INDIRECT(ADDRESS(4+(ROW()-3)*2,$D$2,1,1,"Centrum")))</f>
        <v/>
      </c>
      <c r="E58" s="276" t="str">
        <f ca="1">IF(TYPE(VLOOKUP(C58,Centrum!$A$3:$C$130,3,0))&gt;3," - ",VLOOKUP(C58,Centrum!$A$3:$C$130,3,0))</f>
        <v xml:space="preserve"> - </v>
      </c>
      <c r="F58" s="276" t="str">
        <f ca="1">IF(TYPE(VLOOKUP(D58,Centrum!$A$3:$C$130,3,0))&gt;3," - ",VLOOKUP(D58,Centrum!$A$3:$C$130,3,0))</f>
        <v xml:space="preserve"> - </v>
      </c>
      <c r="G58" s="439" t="str">
        <f ca="1">IF(ROW()-2&gt;Start.listina!$O$7,"",ROW()-2)</f>
        <v/>
      </c>
      <c r="H58" s="272"/>
      <c r="I58" s="274"/>
      <c r="K58" s="275" t="str">
        <f t="shared" ca="1" si="0"/>
        <v/>
      </c>
      <c r="L58" s="275" t="str">
        <f t="shared" ca="1" si="1"/>
        <v/>
      </c>
      <c r="M58" s="275">
        <f t="shared" ca="1" si="2"/>
        <v>0</v>
      </c>
      <c r="N58" s="275">
        <f t="shared" ca="1" si="6"/>
        <v>0</v>
      </c>
      <c r="O58" s="275" t="str">
        <f t="shared" ca="1" si="3"/>
        <v/>
      </c>
      <c r="P58" s="275">
        <f t="shared" ca="1" si="4"/>
        <v>0</v>
      </c>
      <c r="Q58" s="282">
        <f t="shared" ca="1" si="5"/>
        <v>0</v>
      </c>
    </row>
    <row r="59" spans="3:17" ht="21" x14ac:dyDescent="0.4">
      <c r="C59" s="278" t="str">
        <f ca="1">IF(ROW()-2&gt;Start.listina!$O$7,"",INDIRECT(ADDRESS(3+(ROW()-3)*2,$D$2,1,1,"Centrum")))</f>
        <v/>
      </c>
      <c r="D59" s="278" t="str">
        <f ca="1">IF(ROW()-2&gt;Start.listina!$O$7,"",INDIRECT(ADDRESS(4+(ROW()-3)*2,$D$2,1,1,"Centrum")))</f>
        <v/>
      </c>
      <c r="E59" s="276" t="str">
        <f ca="1">IF(TYPE(VLOOKUP(C59,Centrum!$A$3:$C$130,3,0))&gt;3," - ",VLOOKUP(C59,Centrum!$A$3:$C$130,3,0))</f>
        <v xml:space="preserve"> - </v>
      </c>
      <c r="F59" s="276" t="str">
        <f ca="1">IF(TYPE(VLOOKUP(D59,Centrum!$A$3:$C$130,3,0))&gt;3," - ",VLOOKUP(D59,Centrum!$A$3:$C$130,3,0))</f>
        <v xml:space="preserve"> - </v>
      </c>
      <c r="G59" s="439" t="str">
        <f ca="1">IF(ROW()-2&gt;Start.listina!$O$7,"",ROW()-2)</f>
        <v/>
      </c>
      <c r="H59" s="272"/>
      <c r="I59" s="274"/>
      <c r="K59" s="275" t="str">
        <f t="shared" ca="1" si="0"/>
        <v/>
      </c>
      <c r="L59" s="275" t="str">
        <f t="shared" ca="1" si="1"/>
        <v/>
      </c>
      <c r="M59" s="275">
        <f t="shared" ca="1" si="2"/>
        <v>0</v>
      </c>
      <c r="N59" s="275">
        <f t="shared" ca="1" si="6"/>
        <v>0</v>
      </c>
      <c r="O59" s="275" t="str">
        <f t="shared" ca="1" si="3"/>
        <v/>
      </c>
      <c r="P59" s="275">
        <f t="shared" ca="1" si="4"/>
        <v>0</v>
      </c>
      <c r="Q59" s="282">
        <f t="shared" ca="1" si="5"/>
        <v>0</v>
      </c>
    </row>
    <row r="60" spans="3:17" ht="21" x14ac:dyDescent="0.4">
      <c r="C60" s="278" t="str">
        <f ca="1">IF(ROW()-2&gt;Start.listina!$O$7,"",INDIRECT(ADDRESS(3+(ROW()-3)*2,$D$2,1,1,"Centrum")))</f>
        <v/>
      </c>
      <c r="D60" s="278" t="str">
        <f ca="1">IF(ROW()-2&gt;Start.listina!$O$7,"",INDIRECT(ADDRESS(4+(ROW()-3)*2,$D$2,1,1,"Centrum")))</f>
        <v/>
      </c>
      <c r="E60" s="276" t="str">
        <f ca="1">IF(TYPE(VLOOKUP(C60,Centrum!$A$3:$C$130,3,0))&gt;3," - ",VLOOKUP(C60,Centrum!$A$3:$C$130,3,0))</f>
        <v xml:space="preserve"> - </v>
      </c>
      <c r="F60" s="276" t="str">
        <f ca="1">IF(TYPE(VLOOKUP(D60,Centrum!$A$3:$C$130,3,0))&gt;3," - ",VLOOKUP(D60,Centrum!$A$3:$C$130,3,0))</f>
        <v xml:space="preserve"> - </v>
      </c>
      <c r="G60" s="439" t="str">
        <f ca="1">IF(ROW()-2&gt;Start.listina!$O$7,"",ROW()-2)</f>
        <v/>
      </c>
      <c r="H60" s="272"/>
      <c r="I60" s="274"/>
      <c r="K60" s="275" t="str">
        <f t="shared" ca="1" si="0"/>
        <v/>
      </c>
      <c r="L60" s="275" t="str">
        <f t="shared" ca="1" si="1"/>
        <v/>
      </c>
      <c r="M60" s="275">
        <f t="shared" ca="1" si="2"/>
        <v>0</v>
      </c>
      <c r="N60" s="275">
        <f t="shared" ca="1" si="6"/>
        <v>0</v>
      </c>
      <c r="O60" s="275" t="str">
        <f t="shared" ca="1" si="3"/>
        <v/>
      </c>
      <c r="P60" s="275">
        <f t="shared" ca="1" si="4"/>
        <v>0</v>
      </c>
      <c r="Q60" s="282">
        <f t="shared" ca="1" si="5"/>
        <v>0</v>
      </c>
    </row>
    <row r="61" spans="3:17" ht="21" x14ac:dyDescent="0.4">
      <c r="C61" s="278" t="str">
        <f ca="1">IF(ROW()-2&gt;Start.listina!$O$7,"",INDIRECT(ADDRESS(3+(ROW()-3)*2,$D$2,1,1,"Centrum")))</f>
        <v/>
      </c>
      <c r="D61" s="278" t="str">
        <f ca="1">IF(ROW()-2&gt;Start.listina!$O$7,"",INDIRECT(ADDRESS(4+(ROW()-3)*2,$D$2,1,1,"Centrum")))</f>
        <v/>
      </c>
      <c r="E61" s="276" t="str">
        <f ca="1">IF(TYPE(VLOOKUP(C61,Centrum!$A$3:$C$130,3,0))&gt;3," - ",VLOOKUP(C61,Centrum!$A$3:$C$130,3,0))</f>
        <v xml:space="preserve"> - </v>
      </c>
      <c r="F61" s="276" t="str">
        <f ca="1">IF(TYPE(VLOOKUP(D61,Centrum!$A$3:$C$130,3,0))&gt;3," - ",VLOOKUP(D61,Centrum!$A$3:$C$130,3,0))</f>
        <v xml:space="preserve"> - </v>
      </c>
      <c r="G61" s="439" t="str">
        <f ca="1">IF(ROW()-2&gt;Start.listina!$O$7,"",ROW()-2)</f>
        <v/>
      </c>
      <c r="H61" s="272"/>
      <c r="I61" s="274"/>
      <c r="K61" s="275" t="str">
        <f t="shared" ca="1" si="0"/>
        <v/>
      </c>
      <c r="L61" s="275" t="str">
        <f t="shared" ca="1" si="1"/>
        <v/>
      </c>
      <c r="M61" s="275">
        <f t="shared" ca="1" si="2"/>
        <v>0</v>
      </c>
      <c r="N61" s="275">
        <f t="shared" ca="1" si="6"/>
        <v>0</v>
      </c>
      <c r="O61" s="275" t="str">
        <f t="shared" ca="1" si="3"/>
        <v/>
      </c>
      <c r="P61" s="275">
        <f t="shared" ca="1" si="4"/>
        <v>0</v>
      </c>
      <c r="Q61" s="282">
        <f t="shared" ca="1" si="5"/>
        <v>0</v>
      </c>
    </row>
    <row r="62" spans="3:17" ht="21" x14ac:dyDescent="0.4">
      <c r="C62" s="278" t="str">
        <f ca="1">IF(ROW()-2&gt;Start.listina!$O$7,"",INDIRECT(ADDRESS(3+(ROW()-3)*2,$D$2,1,1,"Centrum")))</f>
        <v/>
      </c>
      <c r="D62" s="278" t="str">
        <f ca="1">IF(ROW()-2&gt;Start.listina!$O$7,"",INDIRECT(ADDRESS(4+(ROW()-3)*2,$D$2,1,1,"Centrum")))</f>
        <v/>
      </c>
      <c r="E62" s="276" t="str">
        <f ca="1">IF(TYPE(VLOOKUP(C62,Centrum!$A$3:$C$130,3,0))&gt;3," - ",VLOOKUP(C62,Centrum!$A$3:$C$130,3,0))</f>
        <v xml:space="preserve"> - </v>
      </c>
      <c r="F62" s="276" t="str">
        <f ca="1">IF(TYPE(VLOOKUP(D62,Centrum!$A$3:$C$130,3,0))&gt;3," - ",VLOOKUP(D62,Centrum!$A$3:$C$130,3,0))</f>
        <v xml:space="preserve"> - </v>
      </c>
      <c r="G62" s="439" t="str">
        <f ca="1">IF(ROW()-2&gt;Start.listina!$O$7,"",ROW()-2)</f>
        <v/>
      </c>
      <c r="H62" s="272"/>
      <c r="I62" s="274"/>
      <c r="K62" s="275" t="str">
        <f t="shared" ca="1" si="0"/>
        <v/>
      </c>
      <c r="L62" s="275" t="str">
        <f t="shared" ca="1" si="1"/>
        <v/>
      </c>
      <c r="M62" s="275">
        <f t="shared" ca="1" si="2"/>
        <v>0</v>
      </c>
      <c r="N62" s="275">
        <f t="shared" ca="1" si="6"/>
        <v>0</v>
      </c>
      <c r="O62" s="275" t="str">
        <f t="shared" ca="1" si="3"/>
        <v/>
      </c>
      <c r="P62" s="275">
        <f t="shared" ca="1" si="4"/>
        <v>0</v>
      </c>
      <c r="Q62" s="282">
        <f t="shared" ca="1" si="5"/>
        <v>0</v>
      </c>
    </row>
    <row r="63" spans="3:17" ht="21" x14ac:dyDescent="0.4">
      <c r="C63" s="278" t="str">
        <f ca="1">IF(ROW()-2&gt;Start.listina!$O$7,"",INDIRECT(ADDRESS(3+(ROW()-3)*2,$D$2,1,1,"Centrum")))</f>
        <v/>
      </c>
      <c r="D63" s="278" t="str">
        <f ca="1">IF(ROW()-2&gt;Start.listina!$O$7,"",INDIRECT(ADDRESS(4+(ROW()-3)*2,$D$2,1,1,"Centrum")))</f>
        <v/>
      </c>
      <c r="E63" s="276" t="str">
        <f ca="1">IF(TYPE(VLOOKUP(C63,Centrum!$A$3:$C$130,3,0))&gt;3," - ",VLOOKUP(C63,Centrum!$A$3:$C$130,3,0))</f>
        <v xml:space="preserve"> - </v>
      </c>
      <c r="F63" s="276" t="str">
        <f ca="1">IF(TYPE(VLOOKUP(D63,Centrum!$A$3:$C$130,3,0))&gt;3," - ",VLOOKUP(D63,Centrum!$A$3:$C$130,3,0))</f>
        <v xml:space="preserve"> - </v>
      </c>
      <c r="G63" s="439" t="str">
        <f ca="1">IF(ROW()-2&gt;Start.listina!$O$7,"",ROW()-2)</f>
        <v/>
      </c>
      <c r="H63" s="272"/>
      <c r="I63" s="274"/>
      <c r="K63" s="275" t="str">
        <f t="shared" ca="1" si="0"/>
        <v/>
      </c>
      <c r="L63" s="275" t="str">
        <f t="shared" ca="1" si="1"/>
        <v/>
      </c>
      <c r="M63" s="275">
        <f t="shared" ca="1" si="2"/>
        <v>0</v>
      </c>
      <c r="N63" s="275">
        <f t="shared" ca="1" si="6"/>
        <v>0</v>
      </c>
      <c r="O63" s="275" t="str">
        <f t="shared" ca="1" si="3"/>
        <v/>
      </c>
      <c r="P63" s="275">
        <f t="shared" ca="1" si="4"/>
        <v>0</v>
      </c>
      <c r="Q63" s="282">
        <f t="shared" ca="1" si="5"/>
        <v>0</v>
      </c>
    </row>
    <row r="64" spans="3:17" ht="21" x14ac:dyDescent="0.4">
      <c r="C64" s="278" t="str">
        <f ca="1">IF(ROW()-2&gt;Start.listina!$O$7,"",INDIRECT(ADDRESS(3+(ROW()-3)*2,$D$2,1,1,"Centrum")))</f>
        <v/>
      </c>
      <c r="D64" s="278" t="str">
        <f ca="1">IF(ROW()-2&gt;Start.listina!$O$7,"",INDIRECT(ADDRESS(4+(ROW()-3)*2,$D$2,1,1,"Centrum")))</f>
        <v/>
      </c>
      <c r="E64" s="276" t="str">
        <f ca="1">IF(TYPE(VLOOKUP(C64,Centrum!$A$3:$C$130,3,0))&gt;3," - ",VLOOKUP(C64,Centrum!$A$3:$C$130,3,0))</f>
        <v xml:space="preserve"> - </v>
      </c>
      <c r="F64" s="276" t="str">
        <f ca="1">IF(TYPE(VLOOKUP(D64,Centrum!$A$3:$C$130,3,0))&gt;3," - ",VLOOKUP(D64,Centrum!$A$3:$C$130,3,0))</f>
        <v xml:space="preserve"> - </v>
      </c>
      <c r="G64" s="439" t="str">
        <f ca="1">IF(ROW()-2&gt;Start.listina!$O$7,"",ROW()-2)</f>
        <v/>
      </c>
      <c r="H64" s="272"/>
      <c r="I64" s="274"/>
      <c r="K64" s="275" t="str">
        <f t="shared" ca="1" si="0"/>
        <v/>
      </c>
      <c r="L64" s="275" t="str">
        <f t="shared" ca="1" si="1"/>
        <v/>
      </c>
      <c r="M64" s="275">
        <f t="shared" ca="1" si="2"/>
        <v>0</v>
      </c>
      <c r="N64" s="275">
        <f t="shared" ca="1" si="6"/>
        <v>0</v>
      </c>
      <c r="O64" s="275" t="str">
        <f t="shared" ca="1" si="3"/>
        <v/>
      </c>
      <c r="P64" s="275">
        <f t="shared" ca="1" si="4"/>
        <v>0</v>
      </c>
      <c r="Q64" s="282">
        <f t="shared" ca="1" si="5"/>
        <v>0</v>
      </c>
    </row>
    <row r="65" spans="3:17" ht="21" x14ac:dyDescent="0.4">
      <c r="C65" s="278" t="str">
        <f ca="1">IF(ROW()-2&gt;Start.listina!$O$7,"",INDIRECT(ADDRESS(3+(ROW()-3)*2,$D$2,1,1,"Centrum")))</f>
        <v/>
      </c>
      <c r="D65" s="278" t="str">
        <f ca="1">IF(ROW()-2&gt;Start.listina!$O$7,"",INDIRECT(ADDRESS(4+(ROW()-3)*2,$D$2,1,1,"Centrum")))</f>
        <v/>
      </c>
      <c r="E65" s="276" t="str">
        <f ca="1">IF(TYPE(VLOOKUP(C65,Centrum!$A$3:$C$130,3,0))&gt;3," - ",VLOOKUP(C65,Centrum!$A$3:$C$130,3,0))</f>
        <v xml:space="preserve"> - </v>
      </c>
      <c r="F65" s="276" t="str">
        <f ca="1">IF(TYPE(VLOOKUP(D65,Centrum!$A$3:$C$130,3,0))&gt;3," - ",VLOOKUP(D65,Centrum!$A$3:$C$130,3,0))</f>
        <v xml:space="preserve"> - </v>
      </c>
      <c r="G65" s="439" t="str">
        <f ca="1">IF(ROW()-2&gt;Start.listina!$O$7,"",ROW()-2)</f>
        <v/>
      </c>
      <c r="H65" s="272"/>
      <c r="I65" s="274"/>
      <c r="K65" s="275" t="str">
        <f t="shared" ca="1" si="0"/>
        <v/>
      </c>
      <c r="L65" s="275" t="str">
        <f t="shared" ca="1" si="1"/>
        <v/>
      </c>
      <c r="M65" s="275">
        <f t="shared" ca="1" si="2"/>
        <v>0</v>
      </c>
      <c r="N65" s="275">
        <f t="shared" ca="1" si="6"/>
        <v>0</v>
      </c>
      <c r="O65" s="275" t="str">
        <f t="shared" ca="1" si="3"/>
        <v/>
      </c>
      <c r="P65" s="275">
        <f t="shared" ca="1" si="4"/>
        <v>0</v>
      </c>
      <c r="Q65" s="282">
        <f t="shared" ca="1" si="5"/>
        <v>0</v>
      </c>
    </row>
    <row r="66" spans="3:17" ht="21" x14ac:dyDescent="0.4">
      <c r="C66" s="278" t="str">
        <f ca="1">IF(ROW()-2&gt;Start.listina!$O$7,"",INDIRECT(ADDRESS(3+(ROW()-3)*2,$D$2,1,1,"Centrum")))</f>
        <v/>
      </c>
      <c r="D66" s="278" t="str">
        <f ca="1">IF(ROW()-2&gt;Start.listina!$O$7,"",INDIRECT(ADDRESS(4+(ROW()-3)*2,$D$2,1,1,"Centrum")))</f>
        <v/>
      </c>
      <c r="E66" s="276" t="str">
        <f ca="1">IF(TYPE(VLOOKUP(C66,Centrum!$A$3:$C$130,3,0))&gt;3," - ",VLOOKUP(C66,Centrum!$A$3:$C$130,3,0))</f>
        <v xml:space="preserve"> - </v>
      </c>
      <c r="F66" s="276" t="str">
        <f ca="1">IF(TYPE(VLOOKUP(D66,Centrum!$A$3:$C$130,3,0))&gt;3," - ",VLOOKUP(D66,Centrum!$A$3:$C$130,3,0))</f>
        <v xml:space="preserve"> - </v>
      </c>
      <c r="G66" s="439" t="str">
        <f ca="1">IF(ROW()-2&gt;Start.listina!$O$7,"",ROW()-2)</f>
        <v/>
      </c>
      <c r="H66" s="272"/>
      <c r="I66" s="274"/>
      <c r="K66" s="275" t="str">
        <f ca="1">IF(TRIM($F66)="-","",$D66)</f>
        <v/>
      </c>
      <c r="L66" s="275" t="str">
        <f ca="1">IF(TRIM($E66)="-","",$C66)</f>
        <v/>
      </c>
      <c r="M66" s="275">
        <f ca="1">IF(AND(TRIM($E66)&lt;&gt;"-",$H66&gt;$I66),1,0)</f>
        <v>0</v>
      </c>
      <c r="N66" s="275">
        <f t="shared" ca="1" si="6"/>
        <v>0</v>
      </c>
      <c r="O66" s="275" t="str">
        <f ca="1">IF(TRIM($F66)="-","",$D66)</f>
        <v/>
      </c>
      <c r="P66" s="275">
        <f ca="1">IF(AND(TRIM($F66)&lt;&gt;"-",$I66&gt;$H66),1,0)</f>
        <v>0</v>
      </c>
      <c r="Q66" s="282">
        <f ca="1">IF(TRIM($F66)="-",0,$I66-$H66)</f>
        <v>0</v>
      </c>
    </row>
  </sheetData>
  <sheetProtection algorithmName="SHA-512" hashValue="TBjrj2VTgTEvwtPNnKLAPEQcm/9ZtXKdskJ37LJtUQndLE/iV6iB8IK2uoLHb51Esd+FjK2SgeYggLZwna6w/g==" saltValue="IERrw8Q51c3MNI4zI2YE5w==" spinCount="100000" sheet="1" objects="1" scenarios="1"/>
  <mergeCells count="2">
    <mergeCell ref="H1:I1"/>
    <mergeCell ref="H2:I2"/>
  </mergeCells>
  <phoneticPr fontId="0" type="noConversion"/>
  <conditionalFormatting sqref="J1:J2">
    <cfRule type="cellIs" dxfId="89" priority="1" stopIfTrue="1" operator="greaterThan">
      <formula>0</formula>
    </cfRule>
  </conditionalFormatting>
  <conditionalFormatting sqref="E3:E66">
    <cfRule type="expression" dxfId="88" priority="2" stopIfTrue="1">
      <formula>IF($H3&gt;$I3,TRUE,FALSE)</formula>
    </cfRule>
  </conditionalFormatting>
  <conditionalFormatting sqref="F3:F66">
    <cfRule type="expression" dxfId="87" priority="3" stopIfTrue="1">
      <formula>IF($I3&gt;$H3,TRUE,FALSE)</formula>
    </cfRule>
  </conditionalFormatting>
  <pageMargins left="0.78740157499999996" right="0.78740157499999996" top="0.49" bottom="0.63" header="0.4921259845" footer="0.4921259845"/>
  <pageSetup paperSize="9" scale="46" orientation="portrait" horizontalDpi="300" verticalDpi="300" r:id="rId1"/>
  <headerFooter alignWithMargins="0"/>
  <rowBreaks count="1" manualBreakCount="1">
    <brk id="33" max="16383" man="1"/>
  </rowBreaks>
  <colBreaks count="1" manualBreakCount="1">
    <brk id="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0482" r:id="rId4" name="Button 2">
              <controlPr defaultSize="0" print="0" autoFill="0" autoPict="0" macro="[0]!Kolo3">
                <anchor moveWithCells="1">
                  <from>
                    <xdr:col>9</xdr:col>
                    <xdr:colOff>48986</xdr:colOff>
                    <xdr:row>0</xdr:row>
                    <xdr:rowOff>136071</xdr:rowOff>
                  </from>
                  <to>
                    <xdr:col>9</xdr:col>
                    <xdr:colOff>941614</xdr:colOff>
                    <xdr:row>1</xdr:row>
                    <xdr:rowOff>381000</xdr:rowOff>
                  </to>
                </anchor>
              </controlPr>
            </control>
          </mc:Choice>
        </mc:AlternateContent>
        <mc:AlternateContent xmlns:mc="http://schemas.openxmlformats.org/markup-compatibility/2006">
          <mc:Choice Requires="x14">
            <control shapeId="20483" r:id="rId5" name="Button 3">
              <controlPr defaultSize="0" print="0" autoFill="0" autoPict="0" macro="[0]!TrideniPostupuoKO">
                <anchor moveWithCells="1">
                  <from>
                    <xdr:col>9</xdr:col>
                    <xdr:colOff>48986</xdr:colOff>
                    <xdr:row>2</xdr:row>
                    <xdr:rowOff>48986</xdr:rowOff>
                  </from>
                  <to>
                    <xdr:col>9</xdr:col>
                    <xdr:colOff>941614</xdr:colOff>
                    <xdr:row>4</xdr:row>
                    <xdr:rowOff>141514</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List58">
    <tabColor theme="3" tint="-0.249977111117893"/>
    <pageSetUpPr fitToPage="1"/>
  </sheetPr>
  <dimension ref="A1:AI66"/>
  <sheetViews>
    <sheetView view="pageBreakPreview" zoomScaleNormal="100" zoomScaleSheetLayoutView="100" workbookViewId="0">
      <pane xSplit="7" ySplit="2" topLeftCell="H3" activePane="bottomRight" state="frozen"/>
      <selection pane="topRight" activeCell="H3" sqref="H3"/>
      <selection pane="bottomLeft" activeCell="H3" sqref="H3"/>
      <selection pane="bottomRight" activeCell="I31" sqref="E1:I31"/>
    </sheetView>
  </sheetViews>
  <sheetFormatPr defaultRowHeight="12" x14ac:dyDescent="0.4"/>
  <cols>
    <col min="1" max="1" width="2" hidden="1" customWidth="1"/>
    <col min="2" max="2" width="1.75" hidden="1" customWidth="1"/>
    <col min="3" max="3" width="4.4140625" hidden="1" customWidth="1"/>
    <col min="4" max="4" width="4" hidden="1" customWidth="1"/>
    <col min="5" max="6" width="41.75" customWidth="1"/>
    <col min="7" max="7" width="5.4140625" customWidth="1"/>
    <col min="8" max="9" width="6.4140625" customWidth="1"/>
    <col min="10" max="10" width="26.83203125" customWidth="1"/>
    <col min="11" max="17" width="9" hidden="1" customWidth="1"/>
  </cols>
  <sheetData>
    <row r="1" spans="3:35" ht="30.9" thickBot="1" x14ac:dyDescent="0.5">
      <c r="E1" s="284" t="s">
        <v>1642</v>
      </c>
      <c r="F1" s="277" t="str">
        <f>Start.listina!$K$4</f>
        <v>Turnaj Piráta Morgana</v>
      </c>
      <c r="G1" s="1"/>
      <c r="H1" s="476" t="str">
        <f>Start.listina!$K$3</f>
        <v>28.04.2024</v>
      </c>
      <c r="I1" s="477"/>
      <c r="J1" s="283">
        <f ca="1">INDIRECT(ADDRESS(1,$D$2+2,1,1,"Centrum"))</f>
        <v>0</v>
      </c>
      <c r="K1" t="s">
        <v>1633</v>
      </c>
      <c r="L1" s="1"/>
      <c r="M1" s="1"/>
      <c r="N1" s="1"/>
      <c r="O1" s="1"/>
      <c r="P1" s="1"/>
      <c r="Q1" s="1"/>
      <c r="R1" s="1"/>
      <c r="S1" s="1"/>
      <c r="T1" s="1"/>
      <c r="U1" s="1"/>
      <c r="V1" s="1"/>
      <c r="W1" s="1"/>
      <c r="X1" s="1"/>
      <c r="Y1" s="1"/>
      <c r="Z1" s="1"/>
      <c r="AA1" s="1"/>
      <c r="AB1" s="1"/>
      <c r="AC1" s="1"/>
      <c r="AD1" s="1"/>
      <c r="AE1" s="1"/>
      <c r="AF1" s="1"/>
      <c r="AG1" s="1"/>
      <c r="AH1" s="1"/>
      <c r="AI1" s="1"/>
    </row>
    <row r="2" spans="3:35" ht="42.65" customHeight="1" thickTop="1" thickBot="1" x14ac:dyDescent="0.45">
      <c r="D2" s="243">
        <v>64</v>
      </c>
      <c r="E2" s="8" t="s">
        <v>1634</v>
      </c>
      <c r="F2" s="8" t="s">
        <v>1635</v>
      </c>
      <c r="G2" s="273" t="s">
        <v>1636</v>
      </c>
      <c r="H2" s="474" t="s">
        <v>1637</v>
      </c>
      <c r="I2" s="475"/>
      <c r="J2" s="283">
        <f ca="1">INDIRECT(ADDRESS(1,$D$2+2,1,1,"Centrum"))</f>
        <v>0</v>
      </c>
      <c r="K2" s="279" t="s">
        <v>1638</v>
      </c>
      <c r="L2" s="279" t="s">
        <v>1639</v>
      </c>
      <c r="M2" s="279" t="s">
        <v>1591</v>
      </c>
      <c r="N2" s="280" t="s">
        <v>1596</v>
      </c>
      <c r="O2" s="279" t="s">
        <v>1638</v>
      </c>
      <c r="P2" s="279" t="s">
        <v>1591</v>
      </c>
      <c r="Q2" s="280" t="s">
        <v>1596</v>
      </c>
    </row>
    <row r="3" spans="3:35" ht="21" x14ac:dyDescent="0.4">
      <c r="C3" s="278">
        <f ca="1">IF(ROW()-2&gt;Start.listina!$O$7,"",INDIRECT(ADDRESS(3+(ROW()-3)*2,$D$2,1,1,"Centrum")))</f>
        <v>7</v>
      </c>
      <c r="D3" s="278">
        <f ca="1">IF(ROW()-2&gt;Start.listina!$O$7,"",INDIRECT(ADDRESS(4+(ROW()-3)*2,$D$2,1,1,"Centrum")))</f>
        <v>21</v>
      </c>
      <c r="E3" s="276" t="str">
        <f ca="1">IF(TYPE(VLOOKUP(C3,Centrum!$A$3:$C$130,3,0))&gt;3," - ",VLOOKUP(C3,Centrum!$A$3:$C$130,3,0))</f>
        <v>7 1. KPK Vrchlabí - Semeniv Maryana Khrystyna</v>
      </c>
      <c r="F3" s="276" t="str">
        <f ca="1">IF(TYPE(VLOOKUP(D3,Centrum!$A$3:$C$130,3,0))&gt;3," - ",VLOOKUP(D3,Centrum!$A$3:$C$130,3,0))</f>
        <v>21 SK Pétanque Řepy - Pastorek Jaroslav</v>
      </c>
      <c r="G3" s="439">
        <v>32</v>
      </c>
      <c r="H3" s="272">
        <v>13</v>
      </c>
      <c r="I3" s="274">
        <v>6</v>
      </c>
      <c r="K3" s="275">
        <f t="shared" ref="K3:K65" ca="1" si="0">IF(TRIM($F3)="-","",$D3)</f>
        <v>21</v>
      </c>
      <c r="L3" s="275">
        <f t="shared" ref="L3:L65" ca="1" si="1">IF(TRIM($E3)="-","",$C3)</f>
        <v>7</v>
      </c>
      <c r="M3" s="275">
        <f t="shared" ref="M3:M65" ca="1" si="2">IF(AND(TRIM($E3)&lt;&gt;"-",$H3&gt;$I3),1,0)</f>
        <v>1</v>
      </c>
      <c r="N3" s="275">
        <f ca="1">IF(TRIM($E3)="-",0,$H3-$I3)</f>
        <v>7</v>
      </c>
      <c r="O3" s="275">
        <f t="shared" ref="O3:O65" ca="1" si="3">IF(TRIM($F3)="-","",$D3)</f>
        <v>21</v>
      </c>
      <c r="P3" s="275">
        <f t="shared" ref="P3:P65" ca="1" si="4">IF(AND(TRIM($F3)&lt;&gt;"-",$I3&gt;$H3),1,0)</f>
        <v>0</v>
      </c>
      <c r="Q3" s="281">
        <f t="shared" ref="Q3:Q65" ca="1" si="5">IF(TRIM($F3)="-",0,$I3-$H3)</f>
        <v>-7</v>
      </c>
    </row>
    <row r="4" spans="3:35" ht="21" x14ac:dyDescent="0.4">
      <c r="C4" s="278">
        <f ca="1">IF(ROW()-2&gt;Start.listina!$O$7,"",INDIRECT(ADDRESS(3+(ROW()-3)*2,$D$2,1,1,"Centrum")))</f>
        <v>2</v>
      </c>
      <c r="D4" s="278">
        <f ca="1">IF(ROW()-2&gt;Start.listina!$O$7,"",INDIRECT(ADDRESS(4+(ROW()-3)*2,$D$2,1,1,"Centrum")))</f>
        <v>28</v>
      </c>
      <c r="E4" s="276" t="str">
        <f ca="1">IF(TYPE(VLOOKUP(C4,Centrum!$A$3:$C$130,3,0))&gt;3," - ",VLOOKUP(C4,Centrum!$A$3:$C$130,3,0))</f>
        <v>2 PLUK Jablonec - Lukáš Vojtěch</v>
      </c>
      <c r="F4" s="276" t="str">
        <f ca="1">IF(TYPE(VLOOKUP(D4,Centrum!$A$3:$C$130,3,0))&gt;3," - ",VLOOKUP(D4,Centrum!$A$3:$C$130,3,0))</f>
        <v>28 PC Sokol PP Hr. Králové - Hochmann Lukáš</v>
      </c>
      <c r="G4" s="439">
        <v>31</v>
      </c>
      <c r="H4" s="272">
        <v>13</v>
      </c>
      <c r="I4" s="274">
        <v>3</v>
      </c>
      <c r="K4" s="275">
        <f t="shared" ca="1" si="0"/>
        <v>28</v>
      </c>
      <c r="L4" s="275">
        <f t="shared" ca="1" si="1"/>
        <v>2</v>
      </c>
      <c r="M4" s="275">
        <f t="shared" ca="1" si="2"/>
        <v>1</v>
      </c>
      <c r="N4" s="275">
        <f t="shared" ref="N4:N66" ca="1" si="6">IF(TRIM($E4)="-",0,$H4-$I4)</f>
        <v>10</v>
      </c>
      <c r="O4" s="275">
        <f t="shared" ca="1" si="3"/>
        <v>28</v>
      </c>
      <c r="P4" s="275">
        <f t="shared" ca="1" si="4"/>
        <v>0</v>
      </c>
      <c r="Q4" s="282">
        <f t="shared" ca="1" si="5"/>
        <v>-10</v>
      </c>
    </row>
    <row r="5" spans="3:35" ht="21" x14ac:dyDescent="0.4">
      <c r="C5" s="278">
        <f ca="1">IF(ROW()-2&gt;Start.listina!$O$7,"",INDIRECT(ADDRESS(3+(ROW()-3)*2,$D$2,1,1,"Centrum")))</f>
        <v>4</v>
      </c>
      <c r="D5" s="278">
        <f ca="1">IF(ROW()-2&gt;Start.listina!$O$7,"",INDIRECT(ADDRESS(4+(ROW()-3)*2,$D$2,1,1,"Centrum")))</f>
        <v>23</v>
      </c>
      <c r="E5" s="276" t="str">
        <f ca="1">IF(TYPE(VLOOKUP(C5,Centrum!$A$3:$C$130,3,0))&gt;3," - ",VLOOKUP(C5,Centrum!$A$3:$C$130,3,0))</f>
        <v>4 1. KPK Vrchlabí - Srnský Lubomír</v>
      </c>
      <c r="F5" s="276" t="str">
        <f ca="1">IF(TYPE(VLOOKUP(D5,Centrum!$A$3:$C$130,3,0))&gt;3," - ",VLOOKUP(D5,Centrum!$A$3:$C$130,3,0))</f>
        <v>23 PC Kolová - Horáček Jindřich</v>
      </c>
      <c r="G5" s="439">
        <v>30</v>
      </c>
      <c r="H5" s="272">
        <v>13</v>
      </c>
      <c r="I5" s="274">
        <v>11</v>
      </c>
      <c r="K5" s="275">
        <f t="shared" ca="1" si="0"/>
        <v>23</v>
      </c>
      <c r="L5" s="275">
        <f t="shared" ca="1" si="1"/>
        <v>4</v>
      </c>
      <c r="M5" s="275">
        <f t="shared" ca="1" si="2"/>
        <v>1</v>
      </c>
      <c r="N5" s="275">
        <f t="shared" ca="1" si="6"/>
        <v>2</v>
      </c>
      <c r="O5" s="275">
        <f t="shared" ca="1" si="3"/>
        <v>23</v>
      </c>
      <c r="P5" s="275">
        <f t="shared" ca="1" si="4"/>
        <v>0</v>
      </c>
      <c r="Q5" s="282">
        <f t="shared" ca="1" si="5"/>
        <v>-2</v>
      </c>
    </row>
    <row r="6" spans="3:35" ht="21" x14ac:dyDescent="0.4">
      <c r="C6" s="278">
        <f ca="1">IF(ROW()-2&gt;Start.listina!$O$7,"",INDIRECT(ADDRESS(3+(ROW()-3)*2,$D$2,1,1,"Centrum")))</f>
        <v>1</v>
      </c>
      <c r="D6" s="278">
        <f ca="1">IF(ROW()-2&gt;Start.listina!$O$7,"",INDIRECT(ADDRESS(4+(ROW()-3)*2,$D$2,1,1,"Centrum")))</f>
        <v>14</v>
      </c>
      <c r="E6" s="276" t="str">
        <f ca="1">IF(TYPE(VLOOKUP(C6,Centrum!$A$3:$C$130,3,0))&gt;3," - ",VLOOKUP(C6,Centrum!$A$3:$C$130,3,0))</f>
        <v>1 PC Sokol Lipník - Vavrovič ml. Petr</v>
      </c>
      <c r="F6" s="276" t="str">
        <f ca="1">IF(TYPE(VLOOKUP(D6,Centrum!$A$3:$C$130,3,0))&gt;3," - ",VLOOKUP(D6,Centrum!$A$3:$C$130,3,0))</f>
        <v>14 PC Sokol Lipník - Morávek Petr</v>
      </c>
      <c r="G6" s="439">
        <v>29</v>
      </c>
      <c r="H6" s="272">
        <v>13</v>
      </c>
      <c r="I6" s="274">
        <v>3</v>
      </c>
      <c r="K6" s="275">
        <f t="shared" ca="1" si="0"/>
        <v>14</v>
      </c>
      <c r="L6" s="275">
        <f t="shared" ca="1" si="1"/>
        <v>1</v>
      </c>
      <c r="M6" s="275">
        <f t="shared" ca="1" si="2"/>
        <v>1</v>
      </c>
      <c r="N6" s="275">
        <f t="shared" ca="1" si="6"/>
        <v>10</v>
      </c>
      <c r="O6" s="275">
        <f t="shared" ca="1" si="3"/>
        <v>14</v>
      </c>
      <c r="P6" s="275">
        <f t="shared" ca="1" si="4"/>
        <v>0</v>
      </c>
      <c r="Q6" s="282">
        <f t="shared" ca="1" si="5"/>
        <v>-10</v>
      </c>
    </row>
    <row r="7" spans="3:35" ht="21" x14ac:dyDescent="0.4">
      <c r="C7" s="278">
        <f ca="1">IF(ROW()-2&gt;Start.listina!$O$7,"",INDIRECT(ADDRESS(3+(ROW()-3)*2,$D$2,1,1,"Centrum")))</f>
        <v>52</v>
      </c>
      <c r="D7" s="278">
        <f ca="1">IF(ROW()-2&gt;Start.listina!$O$7,"",INDIRECT(ADDRESS(4+(ROW()-3)*2,$D$2,1,1,"Centrum")))</f>
        <v>17</v>
      </c>
      <c r="E7" s="276" t="str">
        <f ca="1">IF(TYPE(VLOOKUP(C7,Centrum!$A$3:$C$130,3,0))&gt;3," - ",VLOOKUP(C7,Centrum!$A$3:$C$130,3,0))</f>
        <v xml:space="preserve">52   - Jesper R, Dánsko  </v>
      </c>
      <c r="F7" s="276" t="str">
        <f ca="1">IF(TYPE(VLOOKUP(D7,Centrum!$A$3:$C$130,3,0))&gt;3," - ",VLOOKUP(D7,Centrum!$A$3:$C$130,3,0))</f>
        <v>17 PC Damníkov - Brandes Valter</v>
      </c>
      <c r="G7" s="439">
        <v>28</v>
      </c>
      <c r="H7" s="272">
        <v>13</v>
      </c>
      <c r="I7" s="274">
        <v>5</v>
      </c>
      <c r="K7" s="275">
        <f t="shared" ca="1" si="0"/>
        <v>17</v>
      </c>
      <c r="L7" s="275">
        <f t="shared" ca="1" si="1"/>
        <v>52</v>
      </c>
      <c r="M7" s="275">
        <f t="shared" ca="1" si="2"/>
        <v>1</v>
      </c>
      <c r="N7" s="275">
        <f t="shared" ca="1" si="6"/>
        <v>8</v>
      </c>
      <c r="O7" s="275">
        <f t="shared" ca="1" si="3"/>
        <v>17</v>
      </c>
      <c r="P7" s="275">
        <f t="shared" ca="1" si="4"/>
        <v>0</v>
      </c>
      <c r="Q7" s="282">
        <f t="shared" ca="1" si="5"/>
        <v>-8</v>
      </c>
    </row>
    <row r="8" spans="3:35" ht="21" x14ac:dyDescent="0.4">
      <c r="C8" s="278">
        <f ca="1">IF(ROW()-2&gt;Start.listina!$O$7,"",INDIRECT(ADDRESS(3+(ROW()-3)*2,$D$2,1,1,"Centrum")))</f>
        <v>27</v>
      </c>
      <c r="D8" s="278">
        <f ca="1">IF(ROW()-2&gt;Start.listina!$O$7,"",INDIRECT(ADDRESS(4+(ROW()-3)*2,$D$2,1,1,"Centrum")))</f>
        <v>12</v>
      </c>
      <c r="E8" s="276" t="str">
        <f ca="1">IF(TYPE(VLOOKUP(C8,Centrum!$A$3:$C$130,3,0))&gt;3," - ",VLOOKUP(C8,Centrum!$A$3:$C$130,3,0))</f>
        <v>27 SK Pétanque Řepy - Hladík Jaroslav</v>
      </c>
      <c r="F8" s="276" t="str">
        <f ca="1">IF(TYPE(VLOOKUP(D8,Centrum!$A$3:$C$130,3,0))&gt;3," - ",VLOOKUP(D8,Centrum!$A$3:$C$130,3,0))</f>
        <v>12 PC Mimo Done - Heller Jan</v>
      </c>
      <c r="G8" s="439">
        <v>27</v>
      </c>
      <c r="H8" s="272">
        <v>9</v>
      </c>
      <c r="I8" s="274">
        <v>13</v>
      </c>
      <c r="K8" s="275">
        <f t="shared" ca="1" si="0"/>
        <v>12</v>
      </c>
      <c r="L8" s="275">
        <f t="shared" ca="1" si="1"/>
        <v>27</v>
      </c>
      <c r="M8" s="275">
        <f t="shared" ca="1" si="2"/>
        <v>0</v>
      </c>
      <c r="N8" s="275">
        <f t="shared" ca="1" si="6"/>
        <v>-4</v>
      </c>
      <c r="O8" s="275">
        <f t="shared" ca="1" si="3"/>
        <v>12</v>
      </c>
      <c r="P8" s="275">
        <f t="shared" ca="1" si="4"/>
        <v>1</v>
      </c>
      <c r="Q8" s="282">
        <f t="shared" ca="1" si="5"/>
        <v>4</v>
      </c>
    </row>
    <row r="9" spans="3:35" ht="21" x14ac:dyDescent="0.4">
      <c r="C9" s="278">
        <f ca="1">IF(ROW()-2&gt;Start.listina!$O$7,"",INDIRECT(ADDRESS(3+(ROW()-3)*2,$D$2,1,1,"Centrum")))</f>
        <v>39</v>
      </c>
      <c r="D9" s="278">
        <f ca="1">IF(ROW()-2&gt;Start.listina!$O$7,"",INDIRECT(ADDRESS(4+(ROW()-3)*2,$D$2,1,1,"Centrum")))</f>
        <v>56</v>
      </c>
      <c r="E9" s="276" t="str">
        <f ca="1">IF(TYPE(VLOOKUP(C9,Centrum!$A$3:$C$130,3,0))&gt;3," - ",VLOOKUP(C9,Centrum!$A$3:$C$130,3,0))</f>
        <v>39 PC Přítkov - Šnejdr Josef</v>
      </c>
      <c r="F9" s="276" t="str">
        <f ca="1">IF(TYPE(VLOOKUP(D9,Centrum!$A$3:$C$130,3,0))&gt;3," - ",VLOOKUP(D9,Centrum!$A$3:$C$130,3,0))</f>
        <v xml:space="preserve">56   - Lohss, Hartmut, Německo  </v>
      </c>
      <c r="G9" s="439">
        <v>26</v>
      </c>
      <c r="H9" s="272">
        <v>8</v>
      </c>
      <c r="I9" s="274">
        <v>13</v>
      </c>
      <c r="K9" s="275">
        <f t="shared" ca="1" si="0"/>
        <v>56</v>
      </c>
      <c r="L9" s="275">
        <f t="shared" ca="1" si="1"/>
        <v>39</v>
      </c>
      <c r="M9" s="275">
        <f t="shared" ca="1" si="2"/>
        <v>0</v>
      </c>
      <c r="N9" s="275">
        <f t="shared" ca="1" si="6"/>
        <v>-5</v>
      </c>
      <c r="O9" s="275">
        <f t="shared" ca="1" si="3"/>
        <v>56</v>
      </c>
      <c r="P9" s="275">
        <f t="shared" ca="1" si="4"/>
        <v>1</v>
      </c>
      <c r="Q9" s="282">
        <f t="shared" ca="1" si="5"/>
        <v>5</v>
      </c>
    </row>
    <row r="10" spans="3:35" ht="21" x14ac:dyDescent="0.4">
      <c r="C10" s="278">
        <f ca="1">IF(ROW()-2&gt;Start.listina!$O$7,"",INDIRECT(ADDRESS(3+(ROW()-3)*2,$D$2,1,1,"Centrum")))</f>
        <v>44</v>
      </c>
      <c r="D10" s="278">
        <f ca="1">IF(ROW()-2&gt;Start.listina!$O$7,"",INDIRECT(ADDRESS(4+(ROW()-3)*2,$D$2,1,1,"Centrum")))</f>
        <v>11</v>
      </c>
      <c r="E10" s="276" t="str">
        <f ca="1">IF(TYPE(VLOOKUP(C10,Centrum!$A$3:$C$130,3,0))&gt;3," - ",VLOOKUP(C10,Centrum!$A$3:$C$130,3,0))</f>
        <v xml:space="preserve">44   - michael dánsko  </v>
      </c>
      <c r="F10" s="276" t="str">
        <f ca="1">IF(TYPE(VLOOKUP(D10,Centrum!$A$3:$C$130,3,0))&gt;3," - ",VLOOKUP(D10,Centrum!$A$3:$C$130,3,0))</f>
        <v>11 Petank Club Praha - Klouda Aleš</v>
      </c>
      <c r="G10" s="439">
        <v>25</v>
      </c>
      <c r="H10" s="272">
        <v>13</v>
      </c>
      <c r="I10" s="274">
        <v>7</v>
      </c>
      <c r="K10" s="275">
        <f t="shared" ca="1" si="0"/>
        <v>11</v>
      </c>
      <c r="L10" s="275">
        <f t="shared" ca="1" si="1"/>
        <v>44</v>
      </c>
      <c r="M10" s="275">
        <f t="shared" ca="1" si="2"/>
        <v>1</v>
      </c>
      <c r="N10" s="275">
        <f t="shared" ca="1" si="6"/>
        <v>6</v>
      </c>
      <c r="O10" s="275">
        <f t="shared" ca="1" si="3"/>
        <v>11</v>
      </c>
      <c r="P10" s="275">
        <f t="shared" ca="1" si="4"/>
        <v>0</v>
      </c>
      <c r="Q10" s="282">
        <f t="shared" ca="1" si="5"/>
        <v>-6</v>
      </c>
    </row>
    <row r="11" spans="3:35" ht="21" x14ac:dyDescent="0.4">
      <c r="C11" s="278">
        <f ca="1">IF(ROW()-2&gt;Start.listina!$O$7,"",INDIRECT(ADDRESS(3+(ROW()-3)*2,$D$2,1,1,"Centrum")))</f>
        <v>10</v>
      </c>
      <c r="D11" s="278">
        <f ca="1">IF(ROW()-2&gt;Start.listina!$O$7,"",INDIRECT(ADDRESS(4+(ROW()-3)*2,$D$2,1,1,"Centrum")))</f>
        <v>34</v>
      </c>
      <c r="E11" s="276" t="str">
        <f ca="1">IF(TYPE(VLOOKUP(C11,Centrum!$A$3:$C$130,3,0))&gt;3," - ",VLOOKUP(C11,Centrum!$A$3:$C$130,3,0))</f>
        <v>10 JAPKO - Stejskal Václav</v>
      </c>
      <c r="F11" s="276" t="str">
        <f ca="1">IF(TYPE(VLOOKUP(D11,Centrum!$A$3:$C$130,3,0))&gt;3," - ",VLOOKUP(D11,Centrum!$A$3:$C$130,3,0))</f>
        <v>34 1. KPK Vrchlabí - Šebek Viktor</v>
      </c>
      <c r="G11" s="439">
        <v>24</v>
      </c>
      <c r="H11" s="272">
        <v>6</v>
      </c>
      <c r="I11" s="274">
        <v>13</v>
      </c>
      <c r="K11" s="275">
        <f t="shared" ca="1" si="0"/>
        <v>34</v>
      </c>
      <c r="L11" s="275">
        <f t="shared" ca="1" si="1"/>
        <v>10</v>
      </c>
      <c r="M11" s="275">
        <f t="shared" ca="1" si="2"/>
        <v>0</v>
      </c>
      <c r="N11" s="275">
        <f t="shared" ca="1" si="6"/>
        <v>-7</v>
      </c>
      <c r="O11" s="275">
        <f t="shared" ca="1" si="3"/>
        <v>34</v>
      </c>
      <c r="P11" s="275">
        <f t="shared" ca="1" si="4"/>
        <v>1</v>
      </c>
      <c r="Q11" s="282">
        <f t="shared" ca="1" si="5"/>
        <v>7</v>
      </c>
    </row>
    <row r="12" spans="3:35" ht="21" x14ac:dyDescent="0.4">
      <c r="C12" s="278">
        <f ca="1">IF(ROW()-2&gt;Start.listina!$O$7,"",INDIRECT(ADDRESS(3+(ROW()-3)*2,$D$2,1,1,"Centrum")))</f>
        <v>51</v>
      </c>
      <c r="D12" s="278">
        <f ca="1">IF(ROW()-2&gt;Start.listina!$O$7,"",INDIRECT(ADDRESS(4+(ROW()-3)*2,$D$2,1,1,"Centrum")))</f>
        <v>38</v>
      </c>
      <c r="E12" s="276" t="str">
        <f ca="1">IF(TYPE(VLOOKUP(C12,Centrum!$A$3:$C$130,3,0))&gt;3," - ",VLOOKUP(C12,Centrum!$A$3:$C$130,3,0))</f>
        <v xml:space="preserve">51   - Erik, Dánsko  </v>
      </c>
      <c r="F12" s="276" t="str">
        <f ca="1">IF(TYPE(VLOOKUP(D12,Centrum!$A$3:$C$130,3,0))&gt;3," - ",VLOOKUP(D12,Centrum!$A$3:$C$130,3,0))</f>
        <v>38 C.T.P. Club Ořech - Glaser Vladimír</v>
      </c>
      <c r="G12" s="439">
        <v>23</v>
      </c>
      <c r="H12" s="272">
        <v>13</v>
      </c>
      <c r="I12" s="274">
        <v>12</v>
      </c>
      <c r="K12" s="275">
        <f t="shared" ca="1" si="0"/>
        <v>38</v>
      </c>
      <c r="L12" s="275">
        <f t="shared" ca="1" si="1"/>
        <v>51</v>
      </c>
      <c r="M12" s="275">
        <f t="shared" ca="1" si="2"/>
        <v>1</v>
      </c>
      <c r="N12" s="275">
        <f t="shared" ca="1" si="6"/>
        <v>1</v>
      </c>
      <c r="O12" s="275">
        <f t="shared" ca="1" si="3"/>
        <v>38</v>
      </c>
      <c r="P12" s="275">
        <f t="shared" ca="1" si="4"/>
        <v>0</v>
      </c>
      <c r="Q12" s="282">
        <f t="shared" ca="1" si="5"/>
        <v>-1</v>
      </c>
    </row>
    <row r="13" spans="3:35" ht="21" x14ac:dyDescent="0.4">
      <c r="C13" s="278">
        <f ca="1">IF(ROW()-2&gt;Start.listina!$O$7,"",INDIRECT(ADDRESS(3+(ROW()-3)*2,$D$2,1,1,"Centrum")))</f>
        <v>5</v>
      </c>
      <c r="D13" s="278">
        <f ca="1">IF(ROW()-2&gt;Start.listina!$O$7,"",INDIRECT(ADDRESS(4+(ROW()-3)*2,$D$2,1,1,"Centrum")))</f>
        <v>57</v>
      </c>
      <c r="E13" s="276" t="str">
        <f ca="1">IF(TYPE(VLOOKUP(C13,Centrum!$A$3:$C$130,3,0))&gt;3," - ",VLOOKUP(C13,Centrum!$A$3:$C$130,3,0))</f>
        <v>5 CdP Loděnice - Dlouhá Ivana</v>
      </c>
      <c r="F13" s="276" t="str">
        <f ca="1">IF(TYPE(VLOOKUP(D13,Centrum!$A$3:$C$130,3,0))&gt;3," - ",VLOOKUP(D13,Centrum!$A$3:$C$130,3,0))</f>
        <v xml:space="preserve">57   - Bo, Dánsko  </v>
      </c>
      <c r="G13" s="439">
        <v>22</v>
      </c>
      <c r="H13" s="272">
        <v>13</v>
      </c>
      <c r="I13" s="274">
        <v>12</v>
      </c>
      <c r="K13" s="275">
        <f t="shared" ca="1" si="0"/>
        <v>57</v>
      </c>
      <c r="L13" s="275">
        <f t="shared" ca="1" si="1"/>
        <v>5</v>
      </c>
      <c r="M13" s="275">
        <f t="shared" ca="1" si="2"/>
        <v>1</v>
      </c>
      <c r="N13" s="275">
        <f t="shared" ca="1" si="6"/>
        <v>1</v>
      </c>
      <c r="O13" s="275">
        <f t="shared" ca="1" si="3"/>
        <v>57</v>
      </c>
      <c r="P13" s="275">
        <f t="shared" ca="1" si="4"/>
        <v>0</v>
      </c>
      <c r="Q13" s="282">
        <f t="shared" ca="1" si="5"/>
        <v>-1</v>
      </c>
    </row>
    <row r="14" spans="3:35" ht="21" x14ac:dyDescent="0.4">
      <c r="C14" s="278">
        <f ca="1">IF(ROW()-2&gt;Start.listina!$O$7,"",INDIRECT(ADDRESS(3+(ROW()-3)*2,$D$2,1,1,"Centrum")))</f>
        <v>15</v>
      </c>
      <c r="D14" s="278">
        <f ca="1">IF(ROW()-2&gt;Start.listina!$O$7,"",INDIRECT(ADDRESS(4+(ROW()-3)*2,$D$2,1,1,"Centrum")))</f>
        <v>54</v>
      </c>
      <c r="E14" s="276" t="str">
        <f ca="1">IF(TYPE(VLOOKUP(C14,Centrum!$A$3:$C$130,3,0))&gt;3," - ",VLOOKUP(C14,Centrum!$A$3:$C$130,3,0))</f>
        <v>15 Sokol Kostomlaty - Vlach Jaromír</v>
      </c>
      <c r="F14" s="276" t="str">
        <f ca="1">IF(TYPE(VLOOKUP(D14,Centrum!$A$3:$C$130,3,0))&gt;3," - ",VLOOKUP(D14,Centrum!$A$3:$C$130,3,0))</f>
        <v xml:space="preserve">54   - Schwede Detlef, Chemnitz, Německo  </v>
      </c>
      <c r="G14" s="439">
        <v>21</v>
      </c>
      <c r="H14" s="272">
        <v>13</v>
      </c>
      <c r="I14" s="274">
        <v>4</v>
      </c>
      <c r="K14" s="275">
        <f t="shared" ca="1" si="0"/>
        <v>54</v>
      </c>
      <c r="L14" s="275">
        <f t="shared" ca="1" si="1"/>
        <v>15</v>
      </c>
      <c r="M14" s="275">
        <f t="shared" ca="1" si="2"/>
        <v>1</v>
      </c>
      <c r="N14" s="275">
        <f t="shared" ca="1" si="6"/>
        <v>9</v>
      </c>
      <c r="O14" s="275">
        <f t="shared" ca="1" si="3"/>
        <v>54</v>
      </c>
      <c r="P14" s="275">
        <f t="shared" ca="1" si="4"/>
        <v>0</v>
      </c>
      <c r="Q14" s="282">
        <f t="shared" ca="1" si="5"/>
        <v>-9</v>
      </c>
    </row>
    <row r="15" spans="3:35" ht="21" x14ac:dyDescent="0.4">
      <c r="C15" s="278">
        <f ca="1">IF(ROW()-2&gt;Start.listina!$O$7,"",INDIRECT(ADDRESS(3+(ROW()-3)*2,$D$2,1,1,"Centrum")))</f>
        <v>45</v>
      </c>
      <c r="D15" s="278">
        <f ca="1">IF(ROW()-2&gt;Start.listina!$O$7,"",INDIRECT(ADDRESS(4+(ROW()-3)*2,$D$2,1,1,"Centrum")))</f>
        <v>24</v>
      </c>
      <c r="E15" s="276" t="str">
        <f ca="1">IF(TYPE(VLOOKUP(C15,Centrum!$A$3:$C$130,3,0))&gt;3," - ",VLOOKUP(C15,Centrum!$A$3:$C$130,3,0))</f>
        <v xml:space="preserve">45   - kim, Dánsko  </v>
      </c>
      <c r="F15" s="276" t="str">
        <f ca="1">IF(TYPE(VLOOKUP(D15,Centrum!$A$3:$C$130,3,0))&gt;3," - ",VLOOKUP(D15,Centrum!$A$3:$C$130,3,0))</f>
        <v>24 SK Pétanque Řepy - Váňová Věra</v>
      </c>
      <c r="G15" s="439">
        <v>20</v>
      </c>
      <c r="H15" s="272">
        <v>7</v>
      </c>
      <c r="I15" s="274">
        <v>13</v>
      </c>
      <c r="K15" s="275">
        <f t="shared" ca="1" si="0"/>
        <v>24</v>
      </c>
      <c r="L15" s="275">
        <f t="shared" ca="1" si="1"/>
        <v>45</v>
      </c>
      <c r="M15" s="275">
        <f t="shared" ca="1" si="2"/>
        <v>0</v>
      </c>
      <c r="N15" s="275">
        <f t="shared" ca="1" si="6"/>
        <v>-6</v>
      </c>
      <c r="O15" s="275">
        <f t="shared" ca="1" si="3"/>
        <v>24</v>
      </c>
      <c r="P15" s="275">
        <f t="shared" ca="1" si="4"/>
        <v>1</v>
      </c>
      <c r="Q15" s="282">
        <f t="shared" ca="1" si="5"/>
        <v>6</v>
      </c>
    </row>
    <row r="16" spans="3:35" ht="21" x14ac:dyDescent="0.4">
      <c r="C16" s="278">
        <f ca="1">IF(ROW()-2&gt;Start.listina!$O$7,"",INDIRECT(ADDRESS(3+(ROW()-3)*2,$D$2,1,1,"Centrum")))</f>
        <v>3</v>
      </c>
      <c r="D16" s="278">
        <f ca="1">IF(ROW()-2&gt;Start.listina!$O$7,"",INDIRECT(ADDRESS(4+(ROW()-3)*2,$D$2,1,1,"Centrum")))</f>
        <v>9</v>
      </c>
      <c r="E16" s="276" t="str">
        <f ca="1">IF(TYPE(VLOOKUP(C16,Centrum!$A$3:$C$130,3,0))&gt;3," - ",VLOOKUP(C16,Centrum!$A$3:$C$130,3,0))</f>
        <v>3 PC Sokol Lipník - Froňková Kateřina</v>
      </c>
      <c r="F16" s="276" t="str">
        <f ca="1">IF(TYPE(VLOOKUP(D16,Centrum!$A$3:$C$130,3,0))&gt;3," - ",VLOOKUP(D16,Centrum!$A$3:$C$130,3,0))</f>
        <v>9 UBU Únětice - Palas Pavel</v>
      </c>
      <c r="G16" s="439">
        <v>19</v>
      </c>
      <c r="H16" s="272">
        <v>8</v>
      </c>
      <c r="I16" s="274">
        <v>13</v>
      </c>
      <c r="K16" s="275">
        <f t="shared" ca="1" si="0"/>
        <v>9</v>
      </c>
      <c r="L16" s="275">
        <f t="shared" ca="1" si="1"/>
        <v>3</v>
      </c>
      <c r="M16" s="275">
        <f t="shared" ca="1" si="2"/>
        <v>0</v>
      </c>
      <c r="N16" s="275">
        <f t="shared" ca="1" si="6"/>
        <v>-5</v>
      </c>
      <c r="O16" s="275">
        <f t="shared" ca="1" si="3"/>
        <v>9</v>
      </c>
      <c r="P16" s="275">
        <f t="shared" ca="1" si="4"/>
        <v>1</v>
      </c>
      <c r="Q16" s="282">
        <f t="shared" ca="1" si="5"/>
        <v>5</v>
      </c>
    </row>
    <row r="17" spans="3:17" ht="21" x14ac:dyDescent="0.4">
      <c r="C17" s="278">
        <f ca="1">IF(ROW()-2&gt;Start.listina!$O$7,"",INDIRECT(ADDRESS(3+(ROW()-3)*2,$D$2,1,1,"Centrum")))</f>
        <v>26</v>
      </c>
      <c r="D17" s="278">
        <f ca="1">IF(ROW()-2&gt;Start.listina!$O$7,"",INDIRECT(ADDRESS(4+(ROW()-3)*2,$D$2,1,1,"Centrum")))</f>
        <v>40</v>
      </c>
      <c r="E17" s="276" t="str">
        <f ca="1">IF(TYPE(VLOOKUP(C17,Centrum!$A$3:$C$130,3,0))&gt;3," - ",VLOOKUP(C17,Centrum!$A$3:$C$130,3,0))</f>
        <v>26 Petank Club Praha - Klír Tomáš</v>
      </c>
      <c r="F17" s="276" t="str">
        <f ca="1">IF(TYPE(VLOOKUP(D17,Centrum!$A$3:$C$130,3,0))&gt;3," - ",VLOOKUP(D17,Centrum!$A$3:$C$130,3,0))</f>
        <v>40 SKP Kulová osma - Krhovská Dana</v>
      </c>
      <c r="G17" s="439">
        <v>18</v>
      </c>
      <c r="H17" s="272">
        <v>10</v>
      </c>
      <c r="I17" s="274">
        <v>13</v>
      </c>
      <c r="K17" s="275">
        <f t="shared" ca="1" si="0"/>
        <v>40</v>
      </c>
      <c r="L17" s="275">
        <f t="shared" ca="1" si="1"/>
        <v>26</v>
      </c>
      <c r="M17" s="275">
        <f t="shared" ca="1" si="2"/>
        <v>0</v>
      </c>
      <c r="N17" s="275">
        <f t="shared" ca="1" si="6"/>
        <v>-3</v>
      </c>
      <c r="O17" s="275">
        <f t="shared" ca="1" si="3"/>
        <v>40</v>
      </c>
      <c r="P17" s="275">
        <f t="shared" ca="1" si="4"/>
        <v>1</v>
      </c>
      <c r="Q17" s="282">
        <f t="shared" ca="1" si="5"/>
        <v>3</v>
      </c>
    </row>
    <row r="18" spans="3:17" ht="21" x14ac:dyDescent="0.4">
      <c r="C18" s="278">
        <f ca="1">IF(ROW()-2&gt;Start.listina!$O$7,"",INDIRECT(ADDRESS(3+(ROW()-3)*2,$D$2,1,1,"Centrum")))</f>
        <v>16</v>
      </c>
      <c r="D18" s="278">
        <f ca="1">IF(ROW()-2&gt;Start.listina!$O$7,"",INDIRECT(ADDRESS(4+(ROW()-3)*2,$D$2,1,1,"Centrum")))</f>
        <v>37</v>
      </c>
      <c r="E18" s="276" t="str">
        <f ca="1">IF(TYPE(VLOOKUP(C18,Centrum!$A$3:$C$130,3,0))&gt;3," - ",VLOOKUP(C18,Centrum!$A$3:$C$130,3,0))</f>
        <v>16 PC Sokol Lipník - Vyoral Hynek</v>
      </c>
      <c r="F18" s="276" t="str">
        <f ca="1">IF(TYPE(VLOOKUP(D18,Centrum!$A$3:$C$130,3,0))&gt;3," - ",VLOOKUP(D18,Centrum!$A$3:$C$130,3,0))</f>
        <v>37 SK Pétanque Řepy - Konopová Marta</v>
      </c>
      <c r="G18" s="439">
        <v>17</v>
      </c>
      <c r="H18" s="272">
        <v>9</v>
      </c>
      <c r="I18" s="274">
        <v>13</v>
      </c>
      <c r="K18" s="275">
        <f t="shared" ca="1" si="0"/>
        <v>37</v>
      </c>
      <c r="L18" s="275">
        <f t="shared" ca="1" si="1"/>
        <v>16</v>
      </c>
      <c r="M18" s="275">
        <f t="shared" ca="1" si="2"/>
        <v>0</v>
      </c>
      <c r="N18" s="275">
        <f t="shared" ca="1" si="6"/>
        <v>-4</v>
      </c>
      <c r="O18" s="275">
        <f t="shared" ca="1" si="3"/>
        <v>37</v>
      </c>
      <c r="P18" s="275">
        <f t="shared" ca="1" si="4"/>
        <v>1</v>
      </c>
      <c r="Q18" s="282">
        <f t="shared" ca="1" si="5"/>
        <v>4</v>
      </c>
    </row>
    <row r="19" spans="3:17" ht="21" x14ac:dyDescent="0.4">
      <c r="C19" s="278">
        <f ca="1">IF(ROW()-2&gt;Start.listina!$O$7,"",INDIRECT(ADDRESS(3+(ROW()-3)*2,$D$2,1,1,"Centrum")))</f>
        <v>46</v>
      </c>
      <c r="D19" s="278">
        <f ca="1">IF(ROW()-2&gt;Start.listina!$O$7,"",INDIRECT(ADDRESS(4+(ROW()-3)*2,$D$2,1,1,"Centrum")))</f>
        <v>42</v>
      </c>
      <c r="E19" s="276" t="str">
        <f ca="1">IF(TYPE(VLOOKUP(C19,Centrum!$A$3:$C$130,3,0))&gt;3," - ",VLOOKUP(C19,Centrum!$A$3:$C$130,3,0))</f>
        <v xml:space="preserve">46   - Vladimír Chládek  </v>
      </c>
      <c r="F19" s="276" t="str">
        <f ca="1">IF(TYPE(VLOOKUP(D19,Centrum!$A$3:$C$130,3,0))&gt;3," - ",VLOOKUP(D19,Centrum!$A$3:$C$130,3,0))</f>
        <v>42 C.T.P. Club Ořech - Leiský Leander</v>
      </c>
      <c r="G19" s="439">
        <v>16</v>
      </c>
      <c r="H19" s="272">
        <v>11</v>
      </c>
      <c r="I19" s="274">
        <v>13</v>
      </c>
      <c r="K19" s="275">
        <f t="shared" ca="1" si="0"/>
        <v>42</v>
      </c>
      <c r="L19" s="275">
        <f t="shared" ca="1" si="1"/>
        <v>46</v>
      </c>
      <c r="M19" s="275">
        <f t="shared" ca="1" si="2"/>
        <v>0</v>
      </c>
      <c r="N19" s="275">
        <f t="shared" ca="1" si="6"/>
        <v>-2</v>
      </c>
      <c r="O19" s="275">
        <f t="shared" ca="1" si="3"/>
        <v>42</v>
      </c>
      <c r="P19" s="275">
        <f t="shared" ca="1" si="4"/>
        <v>1</v>
      </c>
      <c r="Q19" s="282">
        <f t="shared" ca="1" si="5"/>
        <v>2</v>
      </c>
    </row>
    <row r="20" spans="3:17" ht="21" x14ac:dyDescent="0.4">
      <c r="C20" s="278">
        <f ca="1">IF(ROW()-2&gt;Start.listina!$O$7,"",INDIRECT(ADDRESS(3+(ROW()-3)*2,$D$2,1,1,"Centrum")))</f>
        <v>47</v>
      </c>
      <c r="D20" s="278">
        <f ca="1">IF(ROW()-2&gt;Start.listina!$O$7,"",INDIRECT(ADDRESS(4+(ROW()-3)*2,$D$2,1,1,"Centrum")))</f>
        <v>50</v>
      </c>
      <c r="E20" s="276" t="str">
        <f ca="1">IF(TYPE(VLOOKUP(C20,Centrum!$A$3:$C$130,3,0))&gt;3," - ",VLOOKUP(C20,Centrum!$A$3:$C$130,3,0))</f>
        <v xml:space="preserve">47   - Brian, Dánsko  </v>
      </c>
      <c r="F20" s="276" t="str">
        <f ca="1">IF(TYPE(VLOOKUP(D20,Centrum!$A$3:$C$130,3,0))&gt;3," - ",VLOOKUP(D20,Centrum!$A$3:$C$130,3,0))</f>
        <v xml:space="preserve">50   - Jesper K, Dánsko  </v>
      </c>
      <c r="G20" s="439">
        <v>15</v>
      </c>
      <c r="H20" s="272">
        <v>6</v>
      </c>
      <c r="I20" s="274">
        <v>13</v>
      </c>
      <c r="K20" s="275">
        <f t="shared" ca="1" si="0"/>
        <v>50</v>
      </c>
      <c r="L20" s="275">
        <f t="shared" ca="1" si="1"/>
        <v>47</v>
      </c>
      <c r="M20" s="275">
        <f t="shared" ca="1" si="2"/>
        <v>0</v>
      </c>
      <c r="N20" s="275">
        <f t="shared" ca="1" si="6"/>
        <v>-7</v>
      </c>
      <c r="O20" s="275">
        <f t="shared" ca="1" si="3"/>
        <v>50</v>
      </c>
      <c r="P20" s="275">
        <f t="shared" ca="1" si="4"/>
        <v>1</v>
      </c>
      <c r="Q20" s="282">
        <f t="shared" ca="1" si="5"/>
        <v>7</v>
      </c>
    </row>
    <row r="21" spans="3:17" ht="21" x14ac:dyDescent="0.4">
      <c r="C21" s="278">
        <f ca="1">IF(ROW()-2&gt;Start.listina!$O$7,"",INDIRECT(ADDRESS(3+(ROW()-3)*2,$D$2,1,1,"Centrum")))</f>
        <v>20</v>
      </c>
      <c r="D21" s="278">
        <f ca="1">IF(ROW()-2&gt;Start.listina!$O$7,"",INDIRECT(ADDRESS(4+(ROW()-3)*2,$D$2,1,1,"Centrum")))</f>
        <v>36</v>
      </c>
      <c r="E21" s="276" t="str">
        <f ca="1">IF(TYPE(VLOOKUP(C21,Centrum!$A$3:$C$130,3,0))&gt;3," - ",VLOOKUP(C21,Centrum!$A$3:$C$130,3,0))</f>
        <v>20 HRODE KRUMSÍN - Marcián Vladimír</v>
      </c>
      <c r="F21" s="276" t="str">
        <f ca="1">IF(TYPE(VLOOKUP(D21,Centrum!$A$3:$C$130,3,0))&gt;3," - ",VLOOKUP(D21,Centrum!$A$3:$C$130,3,0))</f>
        <v>36 FRAPECO - Ondryáš Jiří</v>
      </c>
      <c r="G21" s="439">
        <v>14</v>
      </c>
      <c r="H21" s="272">
        <v>13</v>
      </c>
      <c r="I21" s="274">
        <v>11</v>
      </c>
      <c r="K21" s="275">
        <f t="shared" ca="1" si="0"/>
        <v>36</v>
      </c>
      <c r="L21" s="275">
        <f t="shared" ca="1" si="1"/>
        <v>20</v>
      </c>
      <c r="M21" s="275">
        <f t="shared" ca="1" si="2"/>
        <v>1</v>
      </c>
      <c r="N21" s="275">
        <f t="shared" ca="1" si="6"/>
        <v>2</v>
      </c>
      <c r="O21" s="275">
        <f t="shared" ca="1" si="3"/>
        <v>36</v>
      </c>
      <c r="P21" s="275">
        <f t="shared" ca="1" si="4"/>
        <v>0</v>
      </c>
      <c r="Q21" s="282">
        <f t="shared" ca="1" si="5"/>
        <v>-2</v>
      </c>
    </row>
    <row r="22" spans="3:17" ht="21" x14ac:dyDescent="0.4">
      <c r="C22" s="278">
        <f ca="1">IF(ROW()-2&gt;Start.listina!$O$7,"",INDIRECT(ADDRESS(3+(ROW()-3)*2,$D$2,1,1,"Centrum")))</f>
        <v>49</v>
      </c>
      <c r="D22" s="278">
        <f ca="1">IF(ROW()-2&gt;Start.listina!$O$7,"",INDIRECT(ADDRESS(4+(ROW()-3)*2,$D$2,1,1,"Centrum")))</f>
        <v>8</v>
      </c>
      <c r="E22" s="276" t="str">
        <f ca="1">IF(TYPE(VLOOKUP(C22,Centrum!$A$3:$C$130,3,0))&gt;3," - ",VLOOKUP(C22,Centrum!$A$3:$C$130,3,0))</f>
        <v xml:space="preserve">49   - František Kožený  </v>
      </c>
      <c r="F22" s="276" t="str">
        <f ca="1">IF(TYPE(VLOOKUP(D22,Centrum!$A$3:$C$130,3,0))&gt;3," - ",VLOOKUP(D22,Centrum!$A$3:$C$130,3,0))</f>
        <v>8 PC Damníkov - Brandes Michael</v>
      </c>
      <c r="G22" s="439">
        <v>13</v>
      </c>
      <c r="H22" s="272">
        <v>13</v>
      </c>
      <c r="I22" s="274">
        <v>9</v>
      </c>
      <c r="K22" s="275">
        <f t="shared" ca="1" si="0"/>
        <v>8</v>
      </c>
      <c r="L22" s="275">
        <f t="shared" ca="1" si="1"/>
        <v>49</v>
      </c>
      <c r="M22" s="275">
        <f t="shared" ca="1" si="2"/>
        <v>1</v>
      </c>
      <c r="N22" s="275">
        <f t="shared" ca="1" si="6"/>
        <v>4</v>
      </c>
      <c r="O22" s="275">
        <f t="shared" ca="1" si="3"/>
        <v>8</v>
      </c>
      <c r="P22" s="275">
        <f t="shared" ca="1" si="4"/>
        <v>0</v>
      </c>
      <c r="Q22" s="282">
        <f t="shared" ca="1" si="5"/>
        <v>-4</v>
      </c>
    </row>
    <row r="23" spans="3:17" ht="21" x14ac:dyDescent="0.4">
      <c r="C23" s="278">
        <f ca="1">IF(ROW()-2&gt;Start.listina!$O$7,"",INDIRECT(ADDRESS(3+(ROW()-3)*2,$D$2,1,1,"Centrum")))</f>
        <v>13</v>
      </c>
      <c r="D23" s="278">
        <f ca="1">IF(ROW()-2&gt;Start.listina!$O$7,"",INDIRECT(ADDRESS(4+(ROW()-3)*2,$D$2,1,1,"Centrum")))</f>
        <v>22</v>
      </c>
      <c r="E23" s="276" t="str">
        <f ca="1">IF(TYPE(VLOOKUP(C23,Centrum!$A$3:$C$130,3,0))&gt;3," - ",VLOOKUP(C23,Centrum!$A$3:$C$130,3,0))</f>
        <v>13 PC Sokol Lipník - Froňková Blanka</v>
      </c>
      <c r="F23" s="276" t="str">
        <f ca="1">IF(TYPE(VLOOKUP(D23,Centrum!$A$3:$C$130,3,0))&gt;3," - ",VLOOKUP(D23,Centrum!$A$3:$C$130,3,0))</f>
        <v>22 SKP Kulová osma - Pilát Petr</v>
      </c>
      <c r="G23" s="439">
        <v>12</v>
      </c>
      <c r="H23" s="272">
        <v>12</v>
      </c>
      <c r="I23" s="274">
        <v>13</v>
      </c>
      <c r="K23" s="275">
        <f t="shared" ca="1" si="0"/>
        <v>22</v>
      </c>
      <c r="L23" s="275">
        <f t="shared" ca="1" si="1"/>
        <v>13</v>
      </c>
      <c r="M23" s="275">
        <f t="shared" ca="1" si="2"/>
        <v>0</v>
      </c>
      <c r="N23" s="275">
        <f t="shared" ca="1" si="6"/>
        <v>-1</v>
      </c>
      <c r="O23" s="275">
        <f t="shared" ca="1" si="3"/>
        <v>22</v>
      </c>
      <c r="P23" s="275">
        <f t="shared" ca="1" si="4"/>
        <v>1</v>
      </c>
      <c r="Q23" s="282">
        <f t="shared" ca="1" si="5"/>
        <v>1</v>
      </c>
    </row>
    <row r="24" spans="3:17" ht="21" x14ac:dyDescent="0.4">
      <c r="C24" s="278">
        <f ca="1">IF(ROW()-2&gt;Start.listina!$O$7,"",INDIRECT(ADDRESS(3+(ROW()-3)*2,$D$2,1,1,"Centrum")))</f>
        <v>55</v>
      </c>
      <c r="D24" s="278">
        <f ca="1">IF(ROW()-2&gt;Start.listina!$O$7,"",INDIRECT(ADDRESS(4+(ROW()-3)*2,$D$2,1,1,"Centrum")))</f>
        <v>6</v>
      </c>
      <c r="E24" s="276" t="str">
        <f ca="1">IF(TYPE(VLOOKUP(C24,Centrum!$A$3:$C$130,3,0))&gt;3," - ",VLOOKUP(C24,Centrum!$A$3:$C$130,3,0))</f>
        <v xml:space="preserve">55   - Bjarne, Dánsko  </v>
      </c>
      <c r="F24" s="276" t="str">
        <f ca="1">IF(TYPE(VLOOKUP(D24,Centrum!$A$3:$C$130,3,0))&gt;3," - ",VLOOKUP(D24,Centrum!$A$3:$C$130,3,0))</f>
        <v>6 CdP Loděnice - Kamaryt Josef</v>
      </c>
      <c r="G24" s="439">
        <v>11</v>
      </c>
      <c r="H24" s="272">
        <v>6</v>
      </c>
      <c r="I24" s="274">
        <v>13</v>
      </c>
      <c r="K24" s="275">
        <f t="shared" ca="1" si="0"/>
        <v>6</v>
      </c>
      <c r="L24" s="275">
        <f t="shared" ca="1" si="1"/>
        <v>55</v>
      </c>
      <c r="M24" s="275">
        <f t="shared" ca="1" si="2"/>
        <v>0</v>
      </c>
      <c r="N24" s="275">
        <f t="shared" ca="1" si="6"/>
        <v>-7</v>
      </c>
      <c r="O24" s="275">
        <f t="shared" ca="1" si="3"/>
        <v>6</v>
      </c>
      <c r="P24" s="275">
        <f t="shared" ca="1" si="4"/>
        <v>1</v>
      </c>
      <c r="Q24" s="282">
        <f t="shared" ca="1" si="5"/>
        <v>7</v>
      </c>
    </row>
    <row r="25" spans="3:17" ht="21" x14ac:dyDescent="0.4">
      <c r="C25" s="278">
        <f ca="1">IF(ROW()-2&gt;Start.listina!$O$7,"",INDIRECT(ADDRESS(3+(ROW()-3)*2,$D$2,1,1,"Centrum")))</f>
        <v>19</v>
      </c>
      <c r="D25" s="278">
        <f ca="1">IF(ROW()-2&gt;Start.listina!$O$7,"",INDIRECT(ADDRESS(4+(ROW()-3)*2,$D$2,1,1,"Centrum")))</f>
        <v>53</v>
      </c>
      <c r="E25" s="276" t="str">
        <f ca="1">IF(TYPE(VLOOKUP(C25,Centrum!$A$3:$C$130,3,0))&gt;3," - ",VLOOKUP(C25,Centrum!$A$3:$C$130,3,0))</f>
        <v>19 UBU Únětice - Křížek Evžen</v>
      </c>
      <c r="F25" s="276" t="str">
        <f ca="1">IF(TYPE(VLOOKUP(D25,Centrum!$A$3:$C$130,3,0))&gt;3," - ",VLOOKUP(D25,Centrum!$A$3:$C$130,3,0))</f>
        <v xml:space="preserve">53   - Lars Eriksen, Dánsko  </v>
      </c>
      <c r="G25" s="439">
        <v>10</v>
      </c>
      <c r="H25" s="272">
        <v>9</v>
      </c>
      <c r="I25" s="274">
        <v>10</v>
      </c>
      <c r="K25" s="275">
        <f t="shared" ca="1" si="0"/>
        <v>53</v>
      </c>
      <c r="L25" s="275">
        <f t="shared" ca="1" si="1"/>
        <v>19</v>
      </c>
      <c r="M25" s="275">
        <f t="shared" ca="1" si="2"/>
        <v>0</v>
      </c>
      <c r="N25" s="275">
        <f t="shared" ca="1" si="6"/>
        <v>-1</v>
      </c>
      <c r="O25" s="275">
        <f t="shared" ca="1" si="3"/>
        <v>53</v>
      </c>
      <c r="P25" s="275">
        <f t="shared" ca="1" si="4"/>
        <v>1</v>
      </c>
      <c r="Q25" s="282">
        <f t="shared" ca="1" si="5"/>
        <v>1</v>
      </c>
    </row>
    <row r="26" spans="3:17" ht="21" x14ac:dyDescent="0.4">
      <c r="C26" s="278">
        <f ca="1">IF(ROW()-2&gt;Start.listina!$O$7,"",INDIRECT(ADDRESS(3+(ROW()-3)*2,$D$2,1,1,"Centrum")))</f>
        <v>25</v>
      </c>
      <c r="D26" s="278">
        <f ca="1">IF(ROW()-2&gt;Start.listina!$O$7,"",INDIRECT(ADDRESS(4+(ROW()-3)*2,$D$2,1,1,"Centrum")))</f>
        <v>35</v>
      </c>
      <c r="E26" s="276" t="str">
        <f ca="1">IF(TYPE(VLOOKUP(C26,Centrum!$A$3:$C$130,3,0))&gt;3," - ",VLOOKUP(C26,Centrum!$A$3:$C$130,3,0))</f>
        <v>25 SK Pétanque Řepy - Vodehnalová Jindra</v>
      </c>
      <c r="F26" s="276" t="str">
        <f ca="1">IF(TYPE(VLOOKUP(D26,Centrum!$A$3:$C$130,3,0))&gt;3," - ",VLOOKUP(D26,Centrum!$A$3:$C$130,3,0))</f>
        <v>35 SK Pétanque Řepy - Josífková Eva</v>
      </c>
      <c r="G26" s="439">
        <v>9</v>
      </c>
      <c r="H26" s="272">
        <v>13</v>
      </c>
      <c r="I26" s="274">
        <v>6</v>
      </c>
      <c r="K26" s="275">
        <f t="shared" ca="1" si="0"/>
        <v>35</v>
      </c>
      <c r="L26" s="275">
        <f t="shared" ca="1" si="1"/>
        <v>25</v>
      </c>
      <c r="M26" s="275">
        <f t="shared" ca="1" si="2"/>
        <v>1</v>
      </c>
      <c r="N26" s="275">
        <f t="shared" ca="1" si="6"/>
        <v>7</v>
      </c>
      <c r="O26" s="275">
        <f t="shared" ca="1" si="3"/>
        <v>35</v>
      </c>
      <c r="P26" s="275">
        <f t="shared" ca="1" si="4"/>
        <v>0</v>
      </c>
      <c r="Q26" s="282">
        <f t="shared" ca="1" si="5"/>
        <v>-7</v>
      </c>
    </row>
    <row r="27" spans="3:17" ht="21" x14ac:dyDescent="0.4">
      <c r="C27" s="278">
        <f ca="1">IF(ROW()-2&gt;Start.listina!$O$7,"",INDIRECT(ADDRESS(3+(ROW()-3)*2,$D$2,1,1,"Centrum")))</f>
        <v>18</v>
      </c>
      <c r="D27" s="278">
        <f ca="1">IF(ROW()-2&gt;Start.listina!$O$7,"",INDIRECT(ADDRESS(4+(ROW()-3)*2,$D$2,1,1,"Centrum")))</f>
        <v>41</v>
      </c>
      <c r="E27" s="276" t="str">
        <f ca="1">IF(TYPE(VLOOKUP(C27,Centrum!$A$3:$C$130,3,0))&gt;3," - ",VLOOKUP(C27,Centrum!$A$3:$C$130,3,0))</f>
        <v>18 Petank Club Praha - Kašparová Barbora</v>
      </c>
      <c r="F27" s="276" t="str">
        <f ca="1">IF(TYPE(VLOOKUP(D27,Centrum!$A$3:$C$130,3,0))&gt;3," - ",VLOOKUP(D27,Centrum!$A$3:$C$130,3,0))</f>
        <v>41 SKMZ Sport - Kovář Petr</v>
      </c>
      <c r="G27" s="439">
        <v>8</v>
      </c>
      <c r="H27" s="272">
        <v>13</v>
      </c>
      <c r="I27" s="274">
        <v>7</v>
      </c>
      <c r="K27" s="275">
        <f t="shared" ca="1" si="0"/>
        <v>41</v>
      </c>
      <c r="L27" s="275">
        <f t="shared" ca="1" si="1"/>
        <v>18</v>
      </c>
      <c r="M27" s="275">
        <f t="shared" ca="1" si="2"/>
        <v>1</v>
      </c>
      <c r="N27" s="275">
        <f t="shared" ca="1" si="6"/>
        <v>6</v>
      </c>
      <c r="O27" s="275">
        <f t="shared" ca="1" si="3"/>
        <v>41</v>
      </c>
      <c r="P27" s="275">
        <f t="shared" ca="1" si="4"/>
        <v>0</v>
      </c>
      <c r="Q27" s="282">
        <f t="shared" ca="1" si="5"/>
        <v>-6</v>
      </c>
    </row>
    <row r="28" spans="3:17" ht="21" x14ac:dyDescent="0.4">
      <c r="C28" s="278">
        <f ca="1">IF(ROW()-2&gt;Start.listina!$O$7,"",INDIRECT(ADDRESS(3+(ROW()-3)*2,$D$2,1,1,"Centrum")))</f>
        <v>29</v>
      </c>
      <c r="D28" s="278">
        <f ca="1">IF(ROW()-2&gt;Start.listina!$O$7,"",INDIRECT(ADDRESS(4+(ROW()-3)*2,$D$2,1,1,"Centrum")))</f>
        <v>30</v>
      </c>
      <c r="E28" s="276" t="str">
        <f ca="1">IF(TYPE(VLOOKUP(C28,Centrum!$A$3:$C$130,3,0))&gt;3," - ",VLOOKUP(C28,Centrum!$A$3:$C$130,3,0))</f>
        <v>29 PC Mimo Done - Zikmunda Martin</v>
      </c>
      <c r="F28" s="276" t="str">
        <f ca="1">IF(TYPE(VLOOKUP(D28,Centrum!$A$3:$C$130,3,0))&gt;3," - ",VLOOKUP(D28,Centrum!$A$3:$C$130,3,0))</f>
        <v>30 PC Přítkov - Blaščák Ondřej</v>
      </c>
      <c r="G28" s="439">
        <v>7</v>
      </c>
      <c r="H28" s="272">
        <v>13</v>
      </c>
      <c r="I28" s="274">
        <v>7</v>
      </c>
      <c r="K28" s="275">
        <f t="shared" ca="1" si="0"/>
        <v>30</v>
      </c>
      <c r="L28" s="275">
        <f t="shared" ca="1" si="1"/>
        <v>29</v>
      </c>
      <c r="M28" s="275">
        <f t="shared" ca="1" si="2"/>
        <v>1</v>
      </c>
      <c r="N28" s="275">
        <f t="shared" ca="1" si="6"/>
        <v>6</v>
      </c>
      <c r="O28" s="275">
        <f t="shared" ca="1" si="3"/>
        <v>30</v>
      </c>
      <c r="P28" s="275">
        <f t="shared" ca="1" si="4"/>
        <v>0</v>
      </c>
      <c r="Q28" s="282">
        <f t="shared" ca="1" si="5"/>
        <v>-6</v>
      </c>
    </row>
    <row r="29" spans="3:17" ht="21" x14ac:dyDescent="0.4">
      <c r="C29" s="278">
        <f ca="1">IF(ROW()-2&gt;Start.listina!$O$7,"",INDIRECT(ADDRESS(3+(ROW()-3)*2,$D$2,1,1,"Centrum")))</f>
        <v>43</v>
      </c>
      <c r="D29" s="278">
        <f ca="1">IF(ROW()-2&gt;Start.listina!$O$7,"",INDIRECT(ADDRESS(4+(ROW()-3)*2,$D$2,1,1,"Centrum")))</f>
        <v>31</v>
      </c>
      <c r="E29" s="276" t="str">
        <f ca="1">IF(TYPE(VLOOKUP(C29,Centrum!$A$3:$C$130,3,0))&gt;3," - ",VLOOKUP(C29,Centrum!$A$3:$C$130,3,0))</f>
        <v xml:space="preserve">43   - Mika, Dánsko  </v>
      </c>
      <c r="F29" s="276" t="str">
        <f ca="1">IF(TYPE(VLOOKUP(D29,Centrum!$A$3:$C$130,3,0))&gt;3," - ",VLOOKUP(D29,Centrum!$A$3:$C$130,3,0))</f>
        <v>31 SK Pétanque Řepy - Holoubek Pavel</v>
      </c>
      <c r="G29" s="439">
        <v>6</v>
      </c>
      <c r="H29" s="272">
        <v>4</v>
      </c>
      <c r="I29" s="274">
        <v>13</v>
      </c>
      <c r="K29" s="275">
        <f t="shared" ca="1" si="0"/>
        <v>31</v>
      </c>
      <c r="L29" s="275">
        <f t="shared" ca="1" si="1"/>
        <v>43</v>
      </c>
      <c r="M29" s="275">
        <f t="shared" ca="1" si="2"/>
        <v>0</v>
      </c>
      <c r="N29" s="275">
        <f t="shared" ca="1" si="6"/>
        <v>-9</v>
      </c>
      <c r="O29" s="275">
        <f t="shared" ca="1" si="3"/>
        <v>31</v>
      </c>
      <c r="P29" s="275">
        <f t="shared" ca="1" si="4"/>
        <v>1</v>
      </c>
      <c r="Q29" s="282">
        <f t="shared" ca="1" si="5"/>
        <v>9</v>
      </c>
    </row>
    <row r="30" spans="3:17" ht="21" x14ac:dyDescent="0.4">
      <c r="C30" s="278">
        <f ca="1">IF(ROW()-2&gt;Start.listina!$O$7,"",INDIRECT(ADDRESS(3+(ROW()-3)*2,$D$2,1,1,"Centrum")))</f>
        <v>48</v>
      </c>
      <c r="D30" s="278">
        <f ca="1">IF(ROW()-2&gt;Start.listina!$O$7,"",INDIRECT(ADDRESS(4+(ROW()-3)*2,$D$2,1,1,"Centrum")))</f>
        <v>32</v>
      </c>
      <c r="E30" s="276" t="str">
        <f ca="1">IF(TYPE(VLOOKUP(C30,Centrum!$A$3:$C$130,3,0))&gt;3," - ",VLOOKUP(C30,Centrum!$A$3:$C$130,3,0))</f>
        <v xml:space="preserve">48   - Tony, Dánsko  </v>
      </c>
      <c r="F30" s="276" t="str">
        <f ca="1">IF(TYPE(VLOOKUP(D30,Centrum!$A$3:$C$130,3,0))&gt;3," - ",VLOOKUP(D30,Centrum!$A$3:$C$130,3,0))</f>
        <v>32 SK Pétanque Řepy - Vodehnal Zdeněk</v>
      </c>
      <c r="G30" s="439">
        <v>5</v>
      </c>
      <c r="H30" s="272">
        <v>7</v>
      </c>
      <c r="I30" s="274">
        <v>13</v>
      </c>
      <c r="K30" s="275">
        <f t="shared" ca="1" si="0"/>
        <v>32</v>
      </c>
      <c r="L30" s="275">
        <f t="shared" ca="1" si="1"/>
        <v>48</v>
      </c>
      <c r="M30" s="275">
        <f t="shared" ca="1" si="2"/>
        <v>0</v>
      </c>
      <c r="N30" s="275">
        <f t="shared" ca="1" si="6"/>
        <v>-6</v>
      </c>
      <c r="O30" s="275">
        <f t="shared" ca="1" si="3"/>
        <v>32</v>
      </c>
      <c r="P30" s="275">
        <f t="shared" ca="1" si="4"/>
        <v>1</v>
      </c>
      <c r="Q30" s="282">
        <f t="shared" ca="1" si="5"/>
        <v>6</v>
      </c>
    </row>
    <row r="31" spans="3:17" ht="21" x14ac:dyDescent="0.4">
      <c r="C31" s="278">
        <f ca="1">IF(ROW()-2&gt;Start.listina!$O$7,"",INDIRECT(ADDRESS(3+(ROW()-3)*2,$D$2,1,1,"Centrum")))</f>
        <v>33</v>
      </c>
      <c r="D31" s="278" t="str">
        <f ca="1">IF(ROW()-2&gt;Start.listina!$O$7,"",INDIRECT(ADDRESS(4+(ROW()-3)*2,$D$2,1,1,"Centrum")))</f>
        <v/>
      </c>
      <c r="E31" s="276" t="str">
        <f ca="1">IF(TYPE(VLOOKUP(C31,Centrum!$A$3:$C$130,3,0))&gt;3," - ",VLOOKUP(C31,Centrum!$A$3:$C$130,3,0))</f>
        <v>33 SK Pétanque Řepy - Müllerová Jiřina</v>
      </c>
      <c r="F31" s="276" t="str">
        <f ca="1">IF(TYPE(VLOOKUP(D31,Centrum!$A$3:$C$130,3,0))&gt;3," - ",VLOOKUP(D31,Centrum!$A$3:$C$130,3,0))</f>
        <v xml:space="preserve"> - </v>
      </c>
      <c r="G31" s="439">
        <v>4</v>
      </c>
      <c r="H31" s="272">
        <v>13</v>
      </c>
      <c r="I31" s="274">
        <v>7</v>
      </c>
      <c r="K31" s="275" t="str">
        <f t="shared" ca="1" si="0"/>
        <v/>
      </c>
      <c r="L31" s="275">
        <f t="shared" ca="1" si="1"/>
        <v>33</v>
      </c>
      <c r="M31" s="275">
        <f t="shared" ca="1" si="2"/>
        <v>1</v>
      </c>
      <c r="N31" s="275">
        <f t="shared" ca="1" si="6"/>
        <v>6</v>
      </c>
      <c r="O31" s="275" t="str">
        <f t="shared" ca="1" si="3"/>
        <v/>
      </c>
      <c r="P31" s="275">
        <f t="shared" ca="1" si="4"/>
        <v>0</v>
      </c>
      <c r="Q31" s="282">
        <f t="shared" ca="1" si="5"/>
        <v>0</v>
      </c>
    </row>
    <row r="32" spans="3:17" ht="21" x14ac:dyDescent="0.4">
      <c r="C32" s="278" t="str">
        <f ca="1">IF(ROW()-2&gt;Start.listina!$O$7,"",INDIRECT(ADDRESS(3+(ROW()-3)*2,$D$2,1,1,"Centrum")))</f>
        <v/>
      </c>
      <c r="D32" s="278" t="str">
        <f ca="1">IF(ROW()-2&gt;Start.listina!$O$7,"",INDIRECT(ADDRESS(4+(ROW()-3)*2,$D$2,1,1,"Centrum")))</f>
        <v/>
      </c>
      <c r="E32" s="276" t="str">
        <f ca="1">IF(TYPE(VLOOKUP(C32,Centrum!$A$3:$C$130,3,0))&gt;3," - ",VLOOKUP(C32,Centrum!$A$3:$C$130,3,0))</f>
        <v xml:space="preserve"> - </v>
      </c>
      <c r="F32" s="276" t="str">
        <f ca="1">IF(TYPE(VLOOKUP(D32,Centrum!$A$3:$C$130,3,0))&gt;3," - ",VLOOKUP(D32,Centrum!$A$3:$C$130,3,0))</f>
        <v xml:space="preserve"> - </v>
      </c>
      <c r="G32" s="439">
        <v>3</v>
      </c>
      <c r="H32" s="272"/>
      <c r="I32" s="274"/>
      <c r="K32" s="275" t="str">
        <f t="shared" ca="1" si="0"/>
        <v/>
      </c>
      <c r="L32" s="275" t="str">
        <f t="shared" ca="1" si="1"/>
        <v/>
      </c>
      <c r="M32" s="275">
        <f t="shared" ca="1" si="2"/>
        <v>0</v>
      </c>
      <c r="N32" s="275">
        <f t="shared" ca="1" si="6"/>
        <v>0</v>
      </c>
      <c r="O32" s="275" t="str">
        <f t="shared" ca="1" si="3"/>
        <v/>
      </c>
      <c r="P32" s="275">
        <f t="shared" ca="1" si="4"/>
        <v>0</v>
      </c>
      <c r="Q32" s="282">
        <f t="shared" ca="1" si="5"/>
        <v>0</v>
      </c>
    </row>
    <row r="33" spans="3:17" ht="21" x14ac:dyDescent="0.4">
      <c r="C33" s="278" t="str">
        <f ca="1">IF(ROW()-2&gt;Start.listina!$O$7,"",INDIRECT(ADDRESS(3+(ROW()-3)*2,$D$2,1,1,"Centrum")))</f>
        <v/>
      </c>
      <c r="D33" s="278" t="str">
        <f ca="1">IF(ROW()-2&gt;Start.listina!$O$7,"",INDIRECT(ADDRESS(4+(ROW()-3)*2,$D$2,1,1,"Centrum")))</f>
        <v/>
      </c>
      <c r="E33" s="276" t="str">
        <f ca="1">IF(TYPE(VLOOKUP(C33,Centrum!$A$3:$C$130,3,0))&gt;3," - ",VLOOKUP(C33,Centrum!$A$3:$C$130,3,0))</f>
        <v xml:space="preserve"> - </v>
      </c>
      <c r="F33" s="276" t="str">
        <f ca="1">IF(TYPE(VLOOKUP(D33,Centrum!$A$3:$C$130,3,0))&gt;3," - ",VLOOKUP(D33,Centrum!$A$3:$C$130,3,0))</f>
        <v xml:space="preserve"> - </v>
      </c>
      <c r="G33" s="439">
        <v>2</v>
      </c>
      <c r="H33" s="272"/>
      <c r="I33" s="274"/>
      <c r="K33" s="275" t="str">
        <f t="shared" ca="1" si="0"/>
        <v/>
      </c>
      <c r="L33" s="275" t="str">
        <f t="shared" ca="1" si="1"/>
        <v/>
      </c>
      <c r="M33" s="275">
        <f t="shared" ca="1" si="2"/>
        <v>0</v>
      </c>
      <c r="N33" s="275">
        <f t="shared" ca="1" si="6"/>
        <v>0</v>
      </c>
      <c r="O33" s="275" t="str">
        <f t="shared" ca="1" si="3"/>
        <v/>
      </c>
      <c r="P33" s="275">
        <f t="shared" ca="1" si="4"/>
        <v>0</v>
      </c>
      <c r="Q33" s="282">
        <f t="shared" ca="1" si="5"/>
        <v>0</v>
      </c>
    </row>
    <row r="34" spans="3:17" ht="21" x14ac:dyDescent="0.4">
      <c r="C34" s="278" t="str">
        <f ca="1">IF(ROW()-2&gt;Start.listina!$O$7,"",INDIRECT(ADDRESS(3+(ROW()-3)*2,$D$2,1,1,"Centrum")))</f>
        <v/>
      </c>
      <c r="D34" s="278" t="str">
        <f ca="1">IF(ROW()-2&gt;Start.listina!$O$7,"",INDIRECT(ADDRESS(4+(ROW()-3)*2,$D$2,1,1,"Centrum")))</f>
        <v/>
      </c>
      <c r="E34" s="276" t="str">
        <f ca="1">IF(TYPE(VLOOKUP(C34,Centrum!$A$3:$C$130,3,0))&gt;3," - ",VLOOKUP(C34,Centrum!$A$3:$C$130,3,0))</f>
        <v xml:space="preserve"> - </v>
      </c>
      <c r="F34" s="276" t="str">
        <f ca="1">IF(TYPE(VLOOKUP(D34,Centrum!$A$3:$C$130,3,0))&gt;3," - ",VLOOKUP(D34,Centrum!$A$3:$C$130,3,0))</f>
        <v xml:space="preserve"> - </v>
      </c>
      <c r="G34" s="439">
        <v>1</v>
      </c>
      <c r="H34" s="272"/>
      <c r="I34" s="274"/>
      <c r="K34" s="275" t="str">
        <f t="shared" ca="1" si="0"/>
        <v/>
      </c>
      <c r="L34" s="275" t="str">
        <f t="shared" ca="1" si="1"/>
        <v/>
      </c>
      <c r="M34" s="275">
        <f t="shared" ca="1" si="2"/>
        <v>0</v>
      </c>
      <c r="N34" s="275">
        <f t="shared" ca="1" si="6"/>
        <v>0</v>
      </c>
      <c r="O34" s="275" t="str">
        <f t="shared" ca="1" si="3"/>
        <v/>
      </c>
      <c r="P34" s="275">
        <f t="shared" ca="1" si="4"/>
        <v>0</v>
      </c>
      <c r="Q34" s="282">
        <f t="shared" ca="1" si="5"/>
        <v>0</v>
      </c>
    </row>
    <row r="35" spans="3:17" ht="21" x14ac:dyDescent="0.4">
      <c r="C35" s="278" t="str">
        <f ca="1">IF(ROW()-2&gt;Start.listina!$O$7,"",INDIRECT(ADDRESS(3+(ROW()-3)*2,$D$2,1,1,"Centrum")))</f>
        <v/>
      </c>
      <c r="D35" s="278" t="str">
        <f ca="1">IF(ROW()-2&gt;Start.listina!$O$7,"",INDIRECT(ADDRESS(4+(ROW()-3)*2,$D$2,1,1,"Centrum")))</f>
        <v/>
      </c>
      <c r="E35" s="276" t="str">
        <f ca="1">IF(TYPE(VLOOKUP(C35,Centrum!$A$3:$C$130,3,0))&gt;3," - ",VLOOKUP(C35,Centrum!$A$3:$C$130,3,0))</f>
        <v xml:space="preserve"> - </v>
      </c>
      <c r="F35" s="276" t="str">
        <f ca="1">IF(TYPE(VLOOKUP(D35,Centrum!$A$3:$C$130,3,0))&gt;3," - ",VLOOKUP(D35,Centrum!$A$3:$C$130,3,0))</f>
        <v xml:space="preserve"> - </v>
      </c>
      <c r="G35" s="439" t="str">
        <f ca="1">IF(ROW()-2&gt;Start.listina!$O$7,"",ROW()-2)</f>
        <v/>
      </c>
      <c r="H35" s="272"/>
      <c r="I35" s="274"/>
      <c r="K35" s="275" t="str">
        <f t="shared" ca="1" si="0"/>
        <v/>
      </c>
      <c r="L35" s="275" t="str">
        <f t="shared" ca="1" si="1"/>
        <v/>
      </c>
      <c r="M35" s="275">
        <f t="shared" ca="1" si="2"/>
        <v>0</v>
      </c>
      <c r="N35" s="275">
        <f t="shared" ca="1" si="6"/>
        <v>0</v>
      </c>
      <c r="O35" s="275" t="str">
        <f t="shared" ca="1" si="3"/>
        <v/>
      </c>
      <c r="P35" s="275">
        <f t="shared" ca="1" si="4"/>
        <v>0</v>
      </c>
      <c r="Q35" s="282">
        <f t="shared" ca="1" si="5"/>
        <v>0</v>
      </c>
    </row>
    <row r="36" spans="3:17" ht="21" x14ac:dyDescent="0.4">
      <c r="C36" s="278" t="str">
        <f ca="1">IF(ROW()-2&gt;Start.listina!$O$7,"",INDIRECT(ADDRESS(3+(ROW()-3)*2,$D$2,1,1,"Centrum")))</f>
        <v/>
      </c>
      <c r="D36" s="278" t="str">
        <f ca="1">IF(ROW()-2&gt;Start.listina!$O$7,"",INDIRECT(ADDRESS(4+(ROW()-3)*2,$D$2,1,1,"Centrum")))</f>
        <v/>
      </c>
      <c r="E36" s="276" t="str">
        <f ca="1">IF(TYPE(VLOOKUP(C36,Centrum!$A$3:$C$130,3,0))&gt;3," - ",VLOOKUP(C36,Centrum!$A$3:$C$130,3,0))</f>
        <v xml:space="preserve"> - </v>
      </c>
      <c r="F36" s="276" t="str">
        <f ca="1">IF(TYPE(VLOOKUP(D36,Centrum!$A$3:$C$130,3,0))&gt;3," - ",VLOOKUP(D36,Centrum!$A$3:$C$130,3,0))</f>
        <v xml:space="preserve"> - </v>
      </c>
      <c r="G36" s="439" t="str">
        <f ca="1">IF(ROW()-2&gt;Start.listina!$O$7,"",ROW()-2)</f>
        <v/>
      </c>
      <c r="H36" s="272"/>
      <c r="I36" s="274"/>
      <c r="K36" s="275" t="str">
        <f t="shared" ca="1" si="0"/>
        <v/>
      </c>
      <c r="L36" s="275" t="str">
        <f t="shared" ca="1" si="1"/>
        <v/>
      </c>
      <c r="M36" s="275">
        <f t="shared" ca="1" si="2"/>
        <v>0</v>
      </c>
      <c r="N36" s="275">
        <f t="shared" ca="1" si="6"/>
        <v>0</v>
      </c>
      <c r="O36" s="275" t="str">
        <f t="shared" ca="1" si="3"/>
        <v/>
      </c>
      <c r="P36" s="275">
        <f t="shared" ca="1" si="4"/>
        <v>0</v>
      </c>
      <c r="Q36" s="282">
        <f t="shared" ca="1" si="5"/>
        <v>0</v>
      </c>
    </row>
    <row r="37" spans="3:17" ht="21" x14ac:dyDescent="0.4">
      <c r="C37" s="278" t="str">
        <f ca="1">IF(ROW()-2&gt;Start.listina!$O$7,"",INDIRECT(ADDRESS(3+(ROW()-3)*2,$D$2,1,1,"Centrum")))</f>
        <v/>
      </c>
      <c r="D37" s="278" t="str">
        <f ca="1">IF(ROW()-2&gt;Start.listina!$O$7,"",INDIRECT(ADDRESS(4+(ROW()-3)*2,$D$2,1,1,"Centrum")))</f>
        <v/>
      </c>
      <c r="E37" s="276" t="str">
        <f ca="1">IF(TYPE(VLOOKUP(C37,Centrum!$A$3:$C$130,3,0))&gt;3," - ",VLOOKUP(C37,Centrum!$A$3:$C$130,3,0))</f>
        <v xml:space="preserve"> - </v>
      </c>
      <c r="F37" s="276" t="str">
        <f ca="1">IF(TYPE(VLOOKUP(D37,Centrum!$A$3:$C$130,3,0))&gt;3," - ",VLOOKUP(D37,Centrum!$A$3:$C$130,3,0))</f>
        <v xml:space="preserve"> - </v>
      </c>
      <c r="G37" s="439" t="str">
        <f ca="1">IF(ROW()-2&gt;Start.listina!$O$7,"",ROW()-2)</f>
        <v/>
      </c>
      <c r="H37" s="272"/>
      <c r="I37" s="274"/>
      <c r="K37" s="275" t="str">
        <f t="shared" ca="1" si="0"/>
        <v/>
      </c>
      <c r="L37" s="275" t="str">
        <f t="shared" ca="1" si="1"/>
        <v/>
      </c>
      <c r="M37" s="275">
        <f t="shared" ca="1" si="2"/>
        <v>0</v>
      </c>
      <c r="N37" s="275">
        <f t="shared" ca="1" si="6"/>
        <v>0</v>
      </c>
      <c r="O37" s="275" t="str">
        <f t="shared" ca="1" si="3"/>
        <v/>
      </c>
      <c r="P37" s="275">
        <f t="shared" ca="1" si="4"/>
        <v>0</v>
      </c>
      <c r="Q37" s="282">
        <f t="shared" ca="1" si="5"/>
        <v>0</v>
      </c>
    </row>
    <row r="38" spans="3:17" ht="21" x14ac:dyDescent="0.4">
      <c r="C38" s="278" t="str">
        <f ca="1">IF(ROW()-2&gt;Start.listina!$O$7,"",INDIRECT(ADDRESS(3+(ROW()-3)*2,$D$2,1,1,"Centrum")))</f>
        <v/>
      </c>
      <c r="D38" s="278" t="str">
        <f ca="1">IF(ROW()-2&gt;Start.listina!$O$7,"",INDIRECT(ADDRESS(4+(ROW()-3)*2,$D$2,1,1,"Centrum")))</f>
        <v/>
      </c>
      <c r="E38" s="276" t="str">
        <f ca="1">IF(TYPE(VLOOKUP(C38,Centrum!$A$3:$C$130,3,0))&gt;3," - ",VLOOKUP(C38,Centrum!$A$3:$C$130,3,0))</f>
        <v xml:space="preserve"> - </v>
      </c>
      <c r="F38" s="276" t="str">
        <f ca="1">IF(TYPE(VLOOKUP(D38,Centrum!$A$3:$C$130,3,0))&gt;3," - ",VLOOKUP(D38,Centrum!$A$3:$C$130,3,0))</f>
        <v xml:space="preserve"> - </v>
      </c>
      <c r="G38" s="439" t="str">
        <f ca="1">IF(ROW()-2&gt;Start.listina!$O$7,"",ROW()-2)</f>
        <v/>
      </c>
      <c r="H38" s="272"/>
      <c r="I38" s="274"/>
      <c r="K38" s="275" t="str">
        <f t="shared" ca="1" si="0"/>
        <v/>
      </c>
      <c r="L38" s="275" t="str">
        <f t="shared" ca="1" si="1"/>
        <v/>
      </c>
      <c r="M38" s="275">
        <f t="shared" ca="1" si="2"/>
        <v>0</v>
      </c>
      <c r="N38" s="275">
        <f t="shared" ca="1" si="6"/>
        <v>0</v>
      </c>
      <c r="O38" s="275" t="str">
        <f t="shared" ca="1" si="3"/>
        <v/>
      </c>
      <c r="P38" s="275">
        <f t="shared" ca="1" si="4"/>
        <v>0</v>
      </c>
      <c r="Q38" s="282">
        <f t="shared" ca="1" si="5"/>
        <v>0</v>
      </c>
    </row>
    <row r="39" spans="3:17" ht="21" x14ac:dyDescent="0.4">
      <c r="C39" s="278" t="str">
        <f ca="1">IF(ROW()-2&gt;Start.listina!$O$7,"",INDIRECT(ADDRESS(3+(ROW()-3)*2,$D$2,1,1,"Centrum")))</f>
        <v/>
      </c>
      <c r="D39" s="278" t="str">
        <f ca="1">IF(ROW()-2&gt;Start.listina!$O$7,"",INDIRECT(ADDRESS(4+(ROW()-3)*2,$D$2,1,1,"Centrum")))</f>
        <v/>
      </c>
      <c r="E39" s="276" t="str">
        <f ca="1">IF(TYPE(VLOOKUP(C39,Centrum!$A$3:$C$130,3,0))&gt;3," - ",VLOOKUP(C39,Centrum!$A$3:$C$130,3,0))</f>
        <v xml:space="preserve"> - </v>
      </c>
      <c r="F39" s="276" t="str">
        <f ca="1">IF(TYPE(VLOOKUP(D39,Centrum!$A$3:$C$130,3,0))&gt;3," - ",VLOOKUP(D39,Centrum!$A$3:$C$130,3,0))</f>
        <v xml:space="preserve"> - </v>
      </c>
      <c r="G39" s="439" t="str">
        <f ca="1">IF(ROW()-2&gt;Start.listina!$O$7,"",ROW()-2)</f>
        <v/>
      </c>
      <c r="H39" s="272"/>
      <c r="I39" s="274"/>
      <c r="K39" s="275" t="str">
        <f t="shared" ca="1" si="0"/>
        <v/>
      </c>
      <c r="L39" s="275" t="str">
        <f t="shared" ca="1" si="1"/>
        <v/>
      </c>
      <c r="M39" s="275">
        <f t="shared" ca="1" si="2"/>
        <v>0</v>
      </c>
      <c r="N39" s="275">
        <f t="shared" ca="1" si="6"/>
        <v>0</v>
      </c>
      <c r="O39" s="275" t="str">
        <f t="shared" ca="1" si="3"/>
        <v/>
      </c>
      <c r="P39" s="275">
        <f t="shared" ca="1" si="4"/>
        <v>0</v>
      </c>
      <c r="Q39" s="282">
        <f t="shared" ca="1" si="5"/>
        <v>0</v>
      </c>
    </row>
    <row r="40" spans="3:17" ht="21" x14ac:dyDescent="0.4">
      <c r="C40" s="278" t="str">
        <f ca="1">IF(ROW()-2&gt;Start.listina!$O$7,"",INDIRECT(ADDRESS(3+(ROW()-3)*2,$D$2,1,1,"Centrum")))</f>
        <v/>
      </c>
      <c r="D40" s="278" t="str">
        <f ca="1">IF(ROW()-2&gt;Start.listina!$O$7,"",INDIRECT(ADDRESS(4+(ROW()-3)*2,$D$2,1,1,"Centrum")))</f>
        <v/>
      </c>
      <c r="E40" s="276" t="str">
        <f ca="1">IF(TYPE(VLOOKUP(C40,Centrum!$A$3:$C$130,3,0))&gt;3," - ",VLOOKUP(C40,Centrum!$A$3:$C$130,3,0))</f>
        <v xml:space="preserve"> - </v>
      </c>
      <c r="F40" s="276" t="str">
        <f ca="1">IF(TYPE(VLOOKUP(D40,Centrum!$A$3:$C$130,3,0))&gt;3," - ",VLOOKUP(D40,Centrum!$A$3:$C$130,3,0))</f>
        <v xml:space="preserve"> - </v>
      </c>
      <c r="G40" s="439" t="str">
        <f ca="1">IF(ROW()-2&gt;Start.listina!$O$7,"",ROW()-2)</f>
        <v/>
      </c>
      <c r="H40" s="272"/>
      <c r="I40" s="274"/>
      <c r="K40" s="275" t="str">
        <f t="shared" ca="1" si="0"/>
        <v/>
      </c>
      <c r="L40" s="275" t="str">
        <f t="shared" ca="1" si="1"/>
        <v/>
      </c>
      <c r="M40" s="275">
        <f t="shared" ca="1" si="2"/>
        <v>0</v>
      </c>
      <c r="N40" s="275">
        <f t="shared" ca="1" si="6"/>
        <v>0</v>
      </c>
      <c r="O40" s="275" t="str">
        <f t="shared" ca="1" si="3"/>
        <v/>
      </c>
      <c r="P40" s="275">
        <f t="shared" ca="1" si="4"/>
        <v>0</v>
      </c>
      <c r="Q40" s="282">
        <f t="shared" ca="1" si="5"/>
        <v>0</v>
      </c>
    </row>
    <row r="41" spans="3:17" ht="21" x14ac:dyDescent="0.4">
      <c r="C41" s="278" t="str">
        <f ca="1">IF(ROW()-2&gt;Start.listina!$O$7,"",INDIRECT(ADDRESS(3+(ROW()-3)*2,$D$2,1,1,"Centrum")))</f>
        <v/>
      </c>
      <c r="D41" s="278" t="str">
        <f ca="1">IF(ROW()-2&gt;Start.listina!$O$7,"",INDIRECT(ADDRESS(4+(ROW()-3)*2,$D$2,1,1,"Centrum")))</f>
        <v/>
      </c>
      <c r="E41" s="276" t="str">
        <f ca="1">IF(TYPE(VLOOKUP(C41,Centrum!$A$3:$C$130,3,0))&gt;3," - ",VLOOKUP(C41,Centrum!$A$3:$C$130,3,0))</f>
        <v xml:space="preserve"> - </v>
      </c>
      <c r="F41" s="276" t="str">
        <f ca="1">IF(TYPE(VLOOKUP(D41,Centrum!$A$3:$C$130,3,0))&gt;3," - ",VLOOKUP(D41,Centrum!$A$3:$C$130,3,0))</f>
        <v xml:space="preserve"> - </v>
      </c>
      <c r="G41" s="439" t="str">
        <f ca="1">IF(ROW()-2&gt;Start.listina!$O$7,"",ROW()-2)</f>
        <v/>
      </c>
      <c r="H41" s="272"/>
      <c r="I41" s="274"/>
      <c r="K41" s="275" t="str">
        <f t="shared" ca="1" si="0"/>
        <v/>
      </c>
      <c r="L41" s="275" t="str">
        <f t="shared" ca="1" si="1"/>
        <v/>
      </c>
      <c r="M41" s="275">
        <f t="shared" ca="1" si="2"/>
        <v>0</v>
      </c>
      <c r="N41" s="275">
        <f t="shared" ca="1" si="6"/>
        <v>0</v>
      </c>
      <c r="O41" s="275" t="str">
        <f t="shared" ca="1" si="3"/>
        <v/>
      </c>
      <c r="P41" s="275">
        <f t="shared" ca="1" si="4"/>
        <v>0</v>
      </c>
      <c r="Q41" s="282">
        <f t="shared" ca="1" si="5"/>
        <v>0</v>
      </c>
    </row>
    <row r="42" spans="3:17" ht="21" x14ac:dyDescent="0.4">
      <c r="C42" s="278" t="str">
        <f ca="1">IF(ROW()-2&gt;Start.listina!$O$7,"",INDIRECT(ADDRESS(3+(ROW()-3)*2,$D$2,1,1,"Centrum")))</f>
        <v/>
      </c>
      <c r="D42" s="278" t="str">
        <f ca="1">IF(ROW()-2&gt;Start.listina!$O$7,"",INDIRECT(ADDRESS(4+(ROW()-3)*2,$D$2,1,1,"Centrum")))</f>
        <v/>
      </c>
      <c r="E42" s="276" t="str">
        <f ca="1">IF(TYPE(VLOOKUP(C42,Centrum!$A$3:$C$130,3,0))&gt;3," - ",VLOOKUP(C42,Centrum!$A$3:$C$130,3,0))</f>
        <v xml:space="preserve"> - </v>
      </c>
      <c r="F42" s="276" t="str">
        <f ca="1">IF(TYPE(VLOOKUP(D42,Centrum!$A$3:$C$130,3,0))&gt;3," - ",VLOOKUP(D42,Centrum!$A$3:$C$130,3,0))</f>
        <v xml:space="preserve"> - </v>
      </c>
      <c r="G42" s="439" t="str">
        <f ca="1">IF(ROW()-2&gt;Start.listina!$O$7,"",ROW()-2)</f>
        <v/>
      </c>
      <c r="H42" s="272"/>
      <c r="I42" s="274"/>
      <c r="K42" s="275" t="str">
        <f t="shared" ca="1" si="0"/>
        <v/>
      </c>
      <c r="L42" s="275" t="str">
        <f t="shared" ca="1" si="1"/>
        <v/>
      </c>
      <c r="M42" s="275">
        <f t="shared" ca="1" si="2"/>
        <v>0</v>
      </c>
      <c r="N42" s="275">
        <f t="shared" ca="1" si="6"/>
        <v>0</v>
      </c>
      <c r="O42" s="275" t="str">
        <f t="shared" ca="1" si="3"/>
        <v/>
      </c>
      <c r="P42" s="275">
        <f t="shared" ca="1" si="4"/>
        <v>0</v>
      </c>
      <c r="Q42" s="282">
        <f t="shared" ca="1" si="5"/>
        <v>0</v>
      </c>
    </row>
    <row r="43" spans="3:17" ht="21" x14ac:dyDescent="0.4">
      <c r="C43" s="278" t="str">
        <f ca="1">IF(ROW()-2&gt;Start.listina!$O$7,"",INDIRECT(ADDRESS(3+(ROW()-3)*2,$D$2,1,1,"Centrum")))</f>
        <v/>
      </c>
      <c r="D43" s="278" t="str">
        <f ca="1">IF(ROW()-2&gt;Start.listina!$O$7,"",INDIRECT(ADDRESS(4+(ROW()-3)*2,$D$2,1,1,"Centrum")))</f>
        <v/>
      </c>
      <c r="E43" s="276" t="str">
        <f ca="1">IF(TYPE(VLOOKUP(C43,Centrum!$A$3:$C$130,3,0))&gt;3," - ",VLOOKUP(C43,Centrum!$A$3:$C$130,3,0))</f>
        <v xml:space="preserve"> - </v>
      </c>
      <c r="F43" s="276" t="str">
        <f ca="1">IF(TYPE(VLOOKUP(D43,Centrum!$A$3:$C$130,3,0))&gt;3," - ",VLOOKUP(D43,Centrum!$A$3:$C$130,3,0))</f>
        <v xml:space="preserve"> - </v>
      </c>
      <c r="G43" s="439" t="str">
        <f ca="1">IF(ROW()-2&gt;Start.listina!$O$7,"",ROW()-2)</f>
        <v/>
      </c>
      <c r="H43" s="272"/>
      <c r="I43" s="274"/>
      <c r="K43" s="275" t="str">
        <f t="shared" ca="1" si="0"/>
        <v/>
      </c>
      <c r="L43" s="275" t="str">
        <f t="shared" ca="1" si="1"/>
        <v/>
      </c>
      <c r="M43" s="275">
        <f t="shared" ca="1" si="2"/>
        <v>0</v>
      </c>
      <c r="N43" s="275">
        <f t="shared" ca="1" si="6"/>
        <v>0</v>
      </c>
      <c r="O43" s="275" t="str">
        <f t="shared" ca="1" si="3"/>
        <v/>
      </c>
      <c r="P43" s="275">
        <f t="shared" ca="1" si="4"/>
        <v>0</v>
      </c>
      <c r="Q43" s="282">
        <f t="shared" ca="1" si="5"/>
        <v>0</v>
      </c>
    </row>
    <row r="44" spans="3:17" ht="21" x14ac:dyDescent="0.4">
      <c r="C44" s="278" t="str">
        <f ca="1">IF(ROW()-2&gt;Start.listina!$O$7,"",INDIRECT(ADDRESS(3+(ROW()-3)*2,$D$2,1,1,"Centrum")))</f>
        <v/>
      </c>
      <c r="D44" s="278" t="str">
        <f ca="1">IF(ROW()-2&gt;Start.listina!$O$7,"",INDIRECT(ADDRESS(4+(ROW()-3)*2,$D$2,1,1,"Centrum")))</f>
        <v/>
      </c>
      <c r="E44" s="276" t="str">
        <f ca="1">IF(TYPE(VLOOKUP(C44,Centrum!$A$3:$C$130,3,0))&gt;3," - ",VLOOKUP(C44,Centrum!$A$3:$C$130,3,0))</f>
        <v xml:space="preserve"> - </v>
      </c>
      <c r="F44" s="276" t="str">
        <f ca="1">IF(TYPE(VLOOKUP(D44,Centrum!$A$3:$C$130,3,0))&gt;3," - ",VLOOKUP(D44,Centrum!$A$3:$C$130,3,0))</f>
        <v xml:space="preserve"> - </v>
      </c>
      <c r="G44" s="439" t="str">
        <f ca="1">IF(ROW()-2&gt;Start.listina!$O$7,"",ROW()-2)</f>
        <v/>
      </c>
      <c r="H44" s="272"/>
      <c r="I44" s="274"/>
      <c r="K44" s="275" t="str">
        <f t="shared" ca="1" si="0"/>
        <v/>
      </c>
      <c r="L44" s="275" t="str">
        <f t="shared" ca="1" si="1"/>
        <v/>
      </c>
      <c r="M44" s="275">
        <f t="shared" ca="1" si="2"/>
        <v>0</v>
      </c>
      <c r="N44" s="275">
        <f t="shared" ca="1" si="6"/>
        <v>0</v>
      </c>
      <c r="O44" s="275" t="str">
        <f t="shared" ca="1" si="3"/>
        <v/>
      </c>
      <c r="P44" s="275">
        <f t="shared" ca="1" si="4"/>
        <v>0</v>
      </c>
      <c r="Q44" s="282">
        <f t="shared" ca="1" si="5"/>
        <v>0</v>
      </c>
    </row>
    <row r="45" spans="3:17" ht="21" x14ac:dyDescent="0.4">
      <c r="C45" s="278" t="str">
        <f ca="1">IF(ROW()-2&gt;Start.listina!$O$7,"",INDIRECT(ADDRESS(3+(ROW()-3)*2,$D$2,1,1,"Centrum")))</f>
        <v/>
      </c>
      <c r="D45" s="278" t="str">
        <f ca="1">IF(ROW()-2&gt;Start.listina!$O$7,"",INDIRECT(ADDRESS(4+(ROW()-3)*2,$D$2,1,1,"Centrum")))</f>
        <v/>
      </c>
      <c r="E45" s="276" t="str">
        <f ca="1">IF(TYPE(VLOOKUP(C45,Centrum!$A$3:$C$130,3,0))&gt;3," - ",VLOOKUP(C45,Centrum!$A$3:$C$130,3,0))</f>
        <v xml:space="preserve"> - </v>
      </c>
      <c r="F45" s="276" t="str">
        <f ca="1">IF(TYPE(VLOOKUP(D45,Centrum!$A$3:$C$130,3,0))&gt;3," - ",VLOOKUP(D45,Centrum!$A$3:$C$130,3,0))</f>
        <v xml:space="preserve"> - </v>
      </c>
      <c r="G45" s="439" t="str">
        <f ca="1">IF(ROW()-2&gt;Start.listina!$O$7,"",ROW()-2)</f>
        <v/>
      </c>
      <c r="H45" s="272"/>
      <c r="I45" s="274"/>
      <c r="K45" s="275" t="str">
        <f t="shared" ca="1" si="0"/>
        <v/>
      </c>
      <c r="L45" s="275" t="str">
        <f t="shared" ca="1" si="1"/>
        <v/>
      </c>
      <c r="M45" s="275">
        <f t="shared" ca="1" si="2"/>
        <v>0</v>
      </c>
      <c r="N45" s="275">
        <f t="shared" ca="1" si="6"/>
        <v>0</v>
      </c>
      <c r="O45" s="275" t="str">
        <f t="shared" ca="1" si="3"/>
        <v/>
      </c>
      <c r="P45" s="275">
        <f t="shared" ca="1" si="4"/>
        <v>0</v>
      </c>
      <c r="Q45" s="282">
        <f t="shared" ca="1" si="5"/>
        <v>0</v>
      </c>
    </row>
    <row r="46" spans="3:17" ht="21" x14ac:dyDescent="0.4">
      <c r="C46" s="278" t="str">
        <f ca="1">IF(ROW()-2&gt;Start.listina!$O$7,"",INDIRECT(ADDRESS(3+(ROW()-3)*2,$D$2,1,1,"Centrum")))</f>
        <v/>
      </c>
      <c r="D46" s="278" t="str">
        <f ca="1">IF(ROW()-2&gt;Start.listina!$O$7,"",INDIRECT(ADDRESS(4+(ROW()-3)*2,$D$2,1,1,"Centrum")))</f>
        <v/>
      </c>
      <c r="E46" s="276" t="str">
        <f ca="1">IF(TYPE(VLOOKUP(C46,Centrum!$A$3:$C$130,3,0))&gt;3," - ",VLOOKUP(C46,Centrum!$A$3:$C$130,3,0))</f>
        <v xml:space="preserve"> - </v>
      </c>
      <c r="F46" s="276" t="str">
        <f ca="1">IF(TYPE(VLOOKUP(D46,Centrum!$A$3:$C$130,3,0))&gt;3," - ",VLOOKUP(D46,Centrum!$A$3:$C$130,3,0))</f>
        <v xml:space="preserve"> - </v>
      </c>
      <c r="G46" s="439" t="str">
        <f ca="1">IF(ROW()-2&gt;Start.listina!$O$7,"",ROW()-2)</f>
        <v/>
      </c>
      <c r="H46" s="272"/>
      <c r="I46" s="274"/>
      <c r="K46" s="275" t="str">
        <f t="shared" ca="1" si="0"/>
        <v/>
      </c>
      <c r="L46" s="275" t="str">
        <f t="shared" ca="1" si="1"/>
        <v/>
      </c>
      <c r="M46" s="275">
        <f t="shared" ca="1" si="2"/>
        <v>0</v>
      </c>
      <c r="N46" s="275">
        <f t="shared" ca="1" si="6"/>
        <v>0</v>
      </c>
      <c r="O46" s="275" t="str">
        <f t="shared" ca="1" si="3"/>
        <v/>
      </c>
      <c r="P46" s="275">
        <f t="shared" ca="1" si="4"/>
        <v>0</v>
      </c>
      <c r="Q46" s="282">
        <f t="shared" ca="1" si="5"/>
        <v>0</v>
      </c>
    </row>
    <row r="47" spans="3:17" ht="21" x14ac:dyDescent="0.4">
      <c r="C47" s="278" t="str">
        <f ca="1">IF(ROW()-2&gt;Start.listina!$O$7,"",INDIRECT(ADDRESS(3+(ROW()-3)*2,$D$2,1,1,"Centrum")))</f>
        <v/>
      </c>
      <c r="D47" s="278" t="str">
        <f ca="1">IF(ROW()-2&gt;Start.listina!$O$7,"",INDIRECT(ADDRESS(4+(ROW()-3)*2,$D$2,1,1,"Centrum")))</f>
        <v/>
      </c>
      <c r="E47" s="276" t="str">
        <f ca="1">IF(TYPE(VLOOKUP(C47,Centrum!$A$3:$C$130,3,0))&gt;3," - ",VLOOKUP(C47,Centrum!$A$3:$C$130,3,0))</f>
        <v xml:space="preserve"> - </v>
      </c>
      <c r="F47" s="276" t="str">
        <f ca="1">IF(TYPE(VLOOKUP(D47,Centrum!$A$3:$C$130,3,0))&gt;3," - ",VLOOKUP(D47,Centrum!$A$3:$C$130,3,0))</f>
        <v xml:space="preserve"> - </v>
      </c>
      <c r="G47" s="439" t="str">
        <f ca="1">IF(ROW()-2&gt;Start.listina!$O$7,"",ROW()-2)</f>
        <v/>
      </c>
      <c r="H47" s="272"/>
      <c r="I47" s="274"/>
      <c r="K47" s="275" t="str">
        <f t="shared" ca="1" si="0"/>
        <v/>
      </c>
      <c r="L47" s="275" t="str">
        <f t="shared" ca="1" si="1"/>
        <v/>
      </c>
      <c r="M47" s="275">
        <f t="shared" ca="1" si="2"/>
        <v>0</v>
      </c>
      <c r="N47" s="275">
        <f t="shared" ca="1" si="6"/>
        <v>0</v>
      </c>
      <c r="O47" s="275" t="str">
        <f t="shared" ca="1" si="3"/>
        <v/>
      </c>
      <c r="P47" s="275">
        <f t="shared" ca="1" si="4"/>
        <v>0</v>
      </c>
      <c r="Q47" s="282">
        <f t="shared" ca="1" si="5"/>
        <v>0</v>
      </c>
    </row>
    <row r="48" spans="3:17" ht="21" x14ac:dyDescent="0.4">
      <c r="C48" s="278" t="str">
        <f ca="1">IF(ROW()-2&gt;Start.listina!$O$7,"",INDIRECT(ADDRESS(3+(ROW()-3)*2,$D$2,1,1,"Centrum")))</f>
        <v/>
      </c>
      <c r="D48" s="278" t="str">
        <f ca="1">IF(ROW()-2&gt;Start.listina!$O$7,"",INDIRECT(ADDRESS(4+(ROW()-3)*2,$D$2,1,1,"Centrum")))</f>
        <v/>
      </c>
      <c r="E48" s="276" t="str">
        <f ca="1">IF(TYPE(VLOOKUP(C48,Centrum!$A$3:$C$130,3,0))&gt;3," - ",VLOOKUP(C48,Centrum!$A$3:$C$130,3,0))</f>
        <v xml:space="preserve"> - </v>
      </c>
      <c r="F48" s="276" t="str">
        <f ca="1">IF(TYPE(VLOOKUP(D48,Centrum!$A$3:$C$130,3,0))&gt;3," - ",VLOOKUP(D48,Centrum!$A$3:$C$130,3,0))</f>
        <v xml:space="preserve"> - </v>
      </c>
      <c r="G48" s="439" t="str">
        <f ca="1">IF(ROW()-2&gt;Start.listina!$O$7,"",ROW()-2)</f>
        <v/>
      </c>
      <c r="H48" s="272"/>
      <c r="I48" s="274"/>
      <c r="K48" s="275" t="str">
        <f t="shared" ca="1" si="0"/>
        <v/>
      </c>
      <c r="L48" s="275" t="str">
        <f t="shared" ca="1" si="1"/>
        <v/>
      </c>
      <c r="M48" s="275">
        <f t="shared" ca="1" si="2"/>
        <v>0</v>
      </c>
      <c r="N48" s="275">
        <f t="shared" ca="1" si="6"/>
        <v>0</v>
      </c>
      <c r="O48" s="275" t="str">
        <f t="shared" ca="1" si="3"/>
        <v/>
      </c>
      <c r="P48" s="275">
        <f t="shared" ca="1" si="4"/>
        <v>0</v>
      </c>
      <c r="Q48" s="282">
        <f t="shared" ca="1" si="5"/>
        <v>0</v>
      </c>
    </row>
    <row r="49" spans="3:17" ht="21" x14ac:dyDescent="0.4">
      <c r="C49" s="278" t="str">
        <f ca="1">IF(ROW()-2&gt;Start.listina!$O$7,"",INDIRECT(ADDRESS(3+(ROW()-3)*2,$D$2,1,1,"Centrum")))</f>
        <v/>
      </c>
      <c r="D49" s="278" t="str">
        <f ca="1">IF(ROW()-2&gt;Start.listina!$O$7,"",INDIRECT(ADDRESS(4+(ROW()-3)*2,$D$2,1,1,"Centrum")))</f>
        <v/>
      </c>
      <c r="E49" s="276" t="str">
        <f ca="1">IF(TYPE(VLOOKUP(C49,Centrum!$A$3:$C$130,3,0))&gt;3," - ",VLOOKUP(C49,Centrum!$A$3:$C$130,3,0))</f>
        <v xml:space="preserve"> - </v>
      </c>
      <c r="F49" s="276" t="str">
        <f ca="1">IF(TYPE(VLOOKUP(D49,Centrum!$A$3:$C$130,3,0))&gt;3," - ",VLOOKUP(D49,Centrum!$A$3:$C$130,3,0))</f>
        <v xml:space="preserve"> - </v>
      </c>
      <c r="G49" s="439" t="str">
        <f ca="1">IF(ROW()-2&gt;Start.listina!$O$7,"",ROW()-2)</f>
        <v/>
      </c>
      <c r="H49" s="272"/>
      <c r="I49" s="274"/>
      <c r="K49" s="275" t="str">
        <f t="shared" ca="1" si="0"/>
        <v/>
      </c>
      <c r="L49" s="275" t="str">
        <f t="shared" ca="1" si="1"/>
        <v/>
      </c>
      <c r="M49" s="275">
        <f t="shared" ca="1" si="2"/>
        <v>0</v>
      </c>
      <c r="N49" s="275">
        <f t="shared" ca="1" si="6"/>
        <v>0</v>
      </c>
      <c r="O49" s="275" t="str">
        <f t="shared" ca="1" si="3"/>
        <v/>
      </c>
      <c r="P49" s="275">
        <f t="shared" ca="1" si="4"/>
        <v>0</v>
      </c>
      <c r="Q49" s="282">
        <f t="shared" ca="1" si="5"/>
        <v>0</v>
      </c>
    </row>
    <row r="50" spans="3:17" ht="21" x14ac:dyDescent="0.4">
      <c r="C50" s="278" t="str">
        <f ca="1">IF(ROW()-2&gt;Start.listina!$O$7,"",INDIRECT(ADDRESS(3+(ROW()-3)*2,$D$2,1,1,"Centrum")))</f>
        <v/>
      </c>
      <c r="D50" s="278" t="str">
        <f ca="1">IF(ROW()-2&gt;Start.listina!$O$7,"",INDIRECT(ADDRESS(4+(ROW()-3)*2,$D$2,1,1,"Centrum")))</f>
        <v/>
      </c>
      <c r="E50" s="276" t="str">
        <f ca="1">IF(TYPE(VLOOKUP(C50,Centrum!$A$3:$C$130,3,0))&gt;3," - ",VLOOKUP(C50,Centrum!$A$3:$C$130,3,0))</f>
        <v xml:space="preserve"> - </v>
      </c>
      <c r="F50" s="276" t="str">
        <f ca="1">IF(TYPE(VLOOKUP(D50,Centrum!$A$3:$C$130,3,0))&gt;3," - ",VLOOKUP(D50,Centrum!$A$3:$C$130,3,0))</f>
        <v xml:space="preserve"> - </v>
      </c>
      <c r="G50" s="439" t="str">
        <f ca="1">IF(ROW()-2&gt;Start.listina!$O$7,"",ROW()-2)</f>
        <v/>
      </c>
      <c r="H50" s="272"/>
      <c r="I50" s="274"/>
      <c r="K50" s="275" t="str">
        <f t="shared" ca="1" si="0"/>
        <v/>
      </c>
      <c r="L50" s="275" t="str">
        <f t="shared" ca="1" si="1"/>
        <v/>
      </c>
      <c r="M50" s="275">
        <f t="shared" ca="1" si="2"/>
        <v>0</v>
      </c>
      <c r="N50" s="275">
        <f t="shared" ca="1" si="6"/>
        <v>0</v>
      </c>
      <c r="O50" s="275" t="str">
        <f t="shared" ca="1" si="3"/>
        <v/>
      </c>
      <c r="P50" s="275">
        <f t="shared" ca="1" si="4"/>
        <v>0</v>
      </c>
      <c r="Q50" s="282">
        <f t="shared" ca="1" si="5"/>
        <v>0</v>
      </c>
    </row>
    <row r="51" spans="3:17" ht="21" x14ac:dyDescent="0.4">
      <c r="C51" s="278" t="str">
        <f ca="1">IF(ROW()-2&gt;Start.listina!$O$7,"",INDIRECT(ADDRESS(3+(ROW()-3)*2,$D$2,1,1,"Centrum")))</f>
        <v/>
      </c>
      <c r="D51" s="278" t="str">
        <f ca="1">IF(ROW()-2&gt;Start.listina!$O$7,"",INDIRECT(ADDRESS(4+(ROW()-3)*2,$D$2,1,1,"Centrum")))</f>
        <v/>
      </c>
      <c r="E51" s="276" t="str">
        <f ca="1">IF(TYPE(VLOOKUP(C51,Centrum!$A$3:$C$130,3,0))&gt;3," - ",VLOOKUP(C51,Centrum!$A$3:$C$130,3,0))</f>
        <v xml:space="preserve"> - </v>
      </c>
      <c r="F51" s="276" t="str">
        <f ca="1">IF(TYPE(VLOOKUP(D51,Centrum!$A$3:$C$130,3,0))&gt;3," - ",VLOOKUP(D51,Centrum!$A$3:$C$130,3,0))</f>
        <v xml:space="preserve"> - </v>
      </c>
      <c r="G51" s="439" t="str">
        <f ca="1">IF(ROW()-2&gt;Start.listina!$O$7,"",ROW()-2)</f>
        <v/>
      </c>
      <c r="H51" s="272"/>
      <c r="I51" s="274"/>
      <c r="K51" s="275" t="str">
        <f t="shared" ca="1" si="0"/>
        <v/>
      </c>
      <c r="L51" s="275" t="str">
        <f t="shared" ca="1" si="1"/>
        <v/>
      </c>
      <c r="M51" s="275">
        <f t="shared" ca="1" si="2"/>
        <v>0</v>
      </c>
      <c r="N51" s="275">
        <f t="shared" ca="1" si="6"/>
        <v>0</v>
      </c>
      <c r="O51" s="275" t="str">
        <f t="shared" ca="1" si="3"/>
        <v/>
      </c>
      <c r="P51" s="275">
        <f t="shared" ca="1" si="4"/>
        <v>0</v>
      </c>
      <c r="Q51" s="282">
        <f t="shared" ca="1" si="5"/>
        <v>0</v>
      </c>
    </row>
    <row r="52" spans="3:17" ht="21" x14ac:dyDescent="0.4">
      <c r="C52" s="278" t="str">
        <f ca="1">IF(ROW()-2&gt;Start.listina!$O$7,"",INDIRECT(ADDRESS(3+(ROW()-3)*2,$D$2,1,1,"Centrum")))</f>
        <v/>
      </c>
      <c r="D52" s="278" t="str">
        <f ca="1">IF(ROW()-2&gt;Start.listina!$O$7,"",INDIRECT(ADDRESS(4+(ROW()-3)*2,$D$2,1,1,"Centrum")))</f>
        <v/>
      </c>
      <c r="E52" s="276" t="str">
        <f ca="1">IF(TYPE(VLOOKUP(C52,Centrum!$A$3:$C$130,3,0))&gt;3," - ",VLOOKUP(C52,Centrum!$A$3:$C$130,3,0))</f>
        <v xml:space="preserve"> - </v>
      </c>
      <c r="F52" s="276" t="str">
        <f ca="1">IF(TYPE(VLOOKUP(D52,Centrum!$A$3:$C$130,3,0))&gt;3," - ",VLOOKUP(D52,Centrum!$A$3:$C$130,3,0))</f>
        <v xml:space="preserve"> - </v>
      </c>
      <c r="G52" s="439" t="str">
        <f ca="1">IF(ROW()-2&gt;Start.listina!$O$7,"",ROW()-2)</f>
        <v/>
      </c>
      <c r="H52" s="272"/>
      <c r="I52" s="274"/>
      <c r="K52" s="275" t="str">
        <f t="shared" ca="1" si="0"/>
        <v/>
      </c>
      <c r="L52" s="275" t="str">
        <f t="shared" ca="1" si="1"/>
        <v/>
      </c>
      <c r="M52" s="275">
        <f t="shared" ca="1" si="2"/>
        <v>0</v>
      </c>
      <c r="N52" s="275">
        <f t="shared" ca="1" si="6"/>
        <v>0</v>
      </c>
      <c r="O52" s="275" t="str">
        <f t="shared" ca="1" si="3"/>
        <v/>
      </c>
      <c r="P52" s="275">
        <f t="shared" ca="1" si="4"/>
        <v>0</v>
      </c>
      <c r="Q52" s="282">
        <f t="shared" ca="1" si="5"/>
        <v>0</v>
      </c>
    </row>
    <row r="53" spans="3:17" ht="21" x14ac:dyDescent="0.4">
      <c r="C53" s="278" t="str">
        <f ca="1">IF(ROW()-2&gt;Start.listina!$O$7,"",INDIRECT(ADDRESS(3+(ROW()-3)*2,$D$2,1,1,"Centrum")))</f>
        <v/>
      </c>
      <c r="D53" s="278" t="str">
        <f ca="1">IF(ROW()-2&gt;Start.listina!$O$7,"",INDIRECT(ADDRESS(4+(ROW()-3)*2,$D$2,1,1,"Centrum")))</f>
        <v/>
      </c>
      <c r="E53" s="276" t="str">
        <f ca="1">IF(TYPE(VLOOKUP(C53,Centrum!$A$3:$C$130,3,0))&gt;3," - ",VLOOKUP(C53,Centrum!$A$3:$C$130,3,0))</f>
        <v xml:space="preserve"> - </v>
      </c>
      <c r="F53" s="276" t="str">
        <f ca="1">IF(TYPE(VLOOKUP(D53,Centrum!$A$3:$C$130,3,0))&gt;3," - ",VLOOKUP(D53,Centrum!$A$3:$C$130,3,0))</f>
        <v xml:space="preserve"> - </v>
      </c>
      <c r="G53" s="439" t="str">
        <f ca="1">IF(ROW()-2&gt;Start.listina!$O$7,"",ROW()-2)</f>
        <v/>
      </c>
      <c r="H53" s="272"/>
      <c r="I53" s="274"/>
      <c r="K53" s="275" t="str">
        <f t="shared" ca="1" si="0"/>
        <v/>
      </c>
      <c r="L53" s="275" t="str">
        <f t="shared" ca="1" si="1"/>
        <v/>
      </c>
      <c r="M53" s="275">
        <f t="shared" ca="1" si="2"/>
        <v>0</v>
      </c>
      <c r="N53" s="275">
        <f t="shared" ca="1" si="6"/>
        <v>0</v>
      </c>
      <c r="O53" s="275" t="str">
        <f t="shared" ca="1" si="3"/>
        <v/>
      </c>
      <c r="P53" s="275">
        <f t="shared" ca="1" si="4"/>
        <v>0</v>
      </c>
      <c r="Q53" s="282">
        <f t="shared" ca="1" si="5"/>
        <v>0</v>
      </c>
    </row>
    <row r="54" spans="3:17" ht="21" x14ac:dyDescent="0.4">
      <c r="C54" s="278" t="str">
        <f ca="1">IF(ROW()-2&gt;Start.listina!$O$7,"",INDIRECT(ADDRESS(3+(ROW()-3)*2,$D$2,1,1,"Centrum")))</f>
        <v/>
      </c>
      <c r="D54" s="278" t="str">
        <f ca="1">IF(ROW()-2&gt;Start.listina!$O$7,"",INDIRECT(ADDRESS(4+(ROW()-3)*2,$D$2,1,1,"Centrum")))</f>
        <v/>
      </c>
      <c r="E54" s="276" t="str">
        <f ca="1">IF(TYPE(VLOOKUP(C54,Centrum!$A$3:$C$130,3,0))&gt;3," - ",VLOOKUP(C54,Centrum!$A$3:$C$130,3,0))</f>
        <v xml:space="preserve"> - </v>
      </c>
      <c r="F54" s="276" t="str">
        <f ca="1">IF(TYPE(VLOOKUP(D54,Centrum!$A$3:$C$130,3,0))&gt;3," - ",VLOOKUP(D54,Centrum!$A$3:$C$130,3,0))</f>
        <v xml:space="preserve"> - </v>
      </c>
      <c r="G54" s="439" t="str">
        <f ca="1">IF(ROW()-2&gt;Start.listina!$O$7,"",ROW()-2)</f>
        <v/>
      </c>
      <c r="H54" s="272"/>
      <c r="I54" s="274"/>
      <c r="K54" s="275" t="str">
        <f t="shared" ca="1" si="0"/>
        <v/>
      </c>
      <c r="L54" s="275" t="str">
        <f t="shared" ca="1" si="1"/>
        <v/>
      </c>
      <c r="M54" s="275">
        <f t="shared" ca="1" si="2"/>
        <v>0</v>
      </c>
      <c r="N54" s="275">
        <f t="shared" ca="1" si="6"/>
        <v>0</v>
      </c>
      <c r="O54" s="275" t="str">
        <f t="shared" ca="1" si="3"/>
        <v/>
      </c>
      <c r="P54" s="275">
        <f t="shared" ca="1" si="4"/>
        <v>0</v>
      </c>
      <c r="Q54" s="282">
        <f t="shared" ca="1" si="5"/>
        <v>0</v>
      </c>
    </row>
    <row r="55" spans="3:17" ht="21" x14ac:dyDescent="0.4">
      <c r="C55" s="278" t="str">
        <f ca="1">IF(ROW()-2&gt;Start.listina!$O$7,"",INDIRECT(ADDRESS(3+(ROW()-3)*2,$D$2,1,1,"Centrum")))</f>
        <v/>
      </c>
      <c r="D55" s="278" t="str">
        <f ca="1">IF(ROW()-2&gt;Start.listina!$O$7,"",INDIRECT(ADDRESS(4+(ROW()-3)*2,$D$2,1,1,"Centrum")))</f>
        <v/>
      </c>
      <c r="E55" s="276" t="str">
        <f ca="1">IF(TYPE(VLOOKUP(C55,Centrum!$A$3:$C$130,3,0))&gt;3," - ",VLOOKUP(C55,Centrum!$A$3:$C$130,3,0))</f>
        <v xml:space="preserve"> - </v>
      </c>
      <c r="F55" s="276" t="str">
        <f ca="1">IF(TYPE(VLOOKUP(D55,Centrum!$A$3:$C$130,3,0))&gt;3," - ",VLOOKUP(D55,Centrum!$A$3:$C$130,3,0))</f>
        <v xml:space="preserve"> - </v>
      </c>
      <c r="G55" s="439" t="str">
        <f ca="1">IF(ROW()-2&gt;Start.listina!$O$7,"",ROW()-2)</f>
        <v/>
      </c>
      <c r="H55" s="272"/>
      <c r="I55" s="274"/>
      <c r="K55" s="275" t="str">
        <f t="shared" ca="1" si="0"/>
        <v/>
      </c>
      <c r="L55" s="275" t="str">
        <f t="shared" ca="1" si="1"/>
        <v/>
      </c>
      <c r="M55" s="275">
        <f t="shared" ca="1" si="2"/>
        <v>0</v>
      </c>
      <c r="N55" s="275">
        <f t="shared" ca="1" si="6"/>
        <v>0</v>
      </c>
      <c r="O55" s="275" t="str">
        <f t="shared" ca="1" si="3"/>
        <v/>
      </c>
      <c r="P55" s="275">
        <f t="shared" ca="1" si="4"/>
        <v>0</v>
      </c>
      <c r="Q55" s="282">
        <f t="shared" ca="1" si="5"/>
        <v>0</v>
      </c>
    </row>
    <row r="56" spans="3:17" ht="21" x14ac:dyDescent="0.4">
      <c r="C56" s="278" t="str">
        <f ca="1">IF(ROW()-2&gt;Start.listina!$O$7,"",INDIRECT(ADDRESS(3+(ROW()-3)*2,$D$2,1,1,"Centrum")))</f>
        <v/>
      </c>
      <c r="D56" s="278" t="str">
        <f ca="1">IF(ROW()-2&gt;Start.listina!$O$7,"",INDIRECT(ADDRESS(4+(ROW()-3)*2,$D$2,1,1,"Centrum")))</f>
        <v/>
      </c>
      <c r="E56" s="276" t="str">
        <f ca="1">IF(TYPE(VLOOKUP(C56,Centrum!$A$3:$C$130,3,0))&gt;3," - ",VLOOKUP(C56,Centrum!$A$3:$C$130,3,0))</f>
        <v xml:space="preserve"> - </v>
      </c>
      <c r="F56" s="276" t="str">
        <f ca="1">IF(TYPE(VLOOKUP(D56,Centrum!$A$3:$C$130,3,0))&gt;3," - ",VLOOKUP(D56,Centrum!$A$3:$C$130,3,0))</f>
        <v xml:space="preserve"> - </v>
      </c>
      <c r="G56" s="439" t="str">
        <f ca="1">IF(ROW()-2&gt;Start.listina!$O$7,"",ROW()-2)</f>
        <v/>
      </c>
      <c r="H56" s="272"/>
      <c r="I56" s="274"/>
      <c r="K56" s="275" t="str">
        <f t="shared" ca="1" si="0"/>
        <v/>
      </c>
      <c r="L56" s="275" t="str">
        <f t="shared" ca="1" si="1"/>
        <v/>
      </c>
      <c r="M56" s="275">
        <f t="shared" ca="1" si="2"/>
        <v>0</v>
      </c>
      <c r="N56" s="275">
        <f t="shared" ca="1" si="6"/>
        <v>0</v>
      </c>
      <c r="O56" s="275" t="str">
        <f t="shared" ca="1" si="3"/>
        <v/>
      </c>
      <c r="P56" s="275">
        <f t="shared" ca="1" si="4"/>
        <v>0</v>
      </c>
      <c r="Q56" s="282">
        <f t="shared" ca="1" si="5"/>
        <v>0</v>
      </c>
    </row>
    <row r="57" spans="3:17" ht="21" x14ac:dyDescent="0.4">
      <c r="C57" s="278" t="str">
        <f ca="1">IF(ROW()-2&gt;Start.listina!$O$7,"",INDIRECT(ADDRESS(3+(ROW()-3)*2,$D$2,1,1,"Centrum")))</f>
        <v/>
      </c>
      <c r="D57" s="278" t="str">
        <f ca="1">IF(ROW()-2&gt;Start.listina!$O$7,"",INDIRECT(ADDRESS(4+(ROW()-3)*2,$D$2,1,1,"Centrum")))</f>
        <v/>
      </c>
      <c r="E57" s="276" t="str">
        <f ca="1">IF(TYPE(VLOOKUP(C57,Centrum!$A$3:$C$130,3,0))&gt;3," - ",VLOOKUP(C57,Centrum!$A$3:$C$130,3,0))</f>
        <v xml:space="preserve"> - </v>
      </c>
      <c r="F57" s="276" t="str">
        <f ca="1">IF(TYPE(VLOOKUP(D57,Centrum!$A$3:$C$130,3,0))&gt;3," - ",VLOOKUP(D57,Centrum!$A$3:$C$130,3,0))</f>
        <v xml:space="preserve"> - </v>
      </c>
      <c r="G57" s="439" t="str">
        <f ca="1">IF(ROW()-2&gt;Start.listina!$O$7,"",ROW()-2)</f>
        <v/>
      </c>
      <c r="H57" s="272"/>
      <c r="I57" s="274"/>
      <c r="K57" s="275" t="str">
        <f t="shared" ca="1" si="0"/>
        <v/>
      </c>
      <c r="L57" s="275" t="str">
        <f t="shared" ca="1" si="1"/>
        <v/>
      </c>
      <c r="M57" s="275">
        <f t="shared" ca="1" si="2"/>
        <v>0</v>
      </c>
      <c r="N57" s="275">
        <f t="shared" ca="1" si="6"/>
        <v>0</v>
      </c>
      <c r="O57" s="275" t="str">
        <f t="shared" ca="1" si="3"/>
        <v/>
      </c>
      <c r="P57" s="275">
        <f t="shared" ca="1" si="4"/>
        <v>0</v>
      </c>
      <c r="Q57" s="282">
        <f t="shared" ca="1" si="5"/>
        <v>0</v>
      </c>
    </row>
    <row r="58" spans="3:17" ht="21" x14ac:dyDescent="0.4">
      <c r="C58" s="278" t="str">
        <f ca="1">IF(ROW()-2&gt;Start.listina!$O$7,"",INDIRECT(ADDRESS(3+(ROW()-3)*2,$D$2,1,1,"Centrum")))</f>
        <v/>
      </c>
      <c r="D58" s="278" t="str">
        <f ca="1">IF(ROW()-2&gt;Start.listina!$O$7,"",INDIRECT(ADDRESS(4+(ROW()-3)*2,$D$2,1,1,"Centrum")))</f>
        <v/>
      </c>
      <c r="E58" s="276" t="str">
        <f ca="1">IF(TYPE(VLOOKUP(C58,Centrum!$A$3:$C$130,3,0))&gt;3," - ",VLOOKUP(C58,Centrum!$A$3:$C$130,3,0))</f>
        <v xml:space="preserve"> - </v>
      </c>
      <c r="F58" s="276" t="str">
        <f ca="1">IF(TYPE(VLOOKUP(D58,Centrum!$A$3:$C$130,3,0))&gt;3," - ",VLOOKUP(D58,Centrum!$A$3:$C$130,3,0))</f>
        <v xml:space="preserve"> - </v>
      </c>
      <c r="G58" s="439" t="str">
        <f ca="1">IF(ROW()-2&gt;Start.listina!$O$7,"",ROW()-2)</f>
        <v/>
      </c>
      <c r="H58" s="272"/>
      <c r="I58" s="274"/>
      <c r="K58" s="275" t="str">
        <f t="shared" ca="1" si="0"/>
        <v/>
      </c>
      <c r="L58" s="275" t="str">
        <f t="shared" ca="1" si="1"/>
        <v/>
      </c>
      <c r="M58" s="275">
        <f t="shared" ca="1" si="2"/>
        <v>0</v>
      </c>
      <c r="N58" s="275">
        <f t="shared" ca="1" si="6"/>
        <v>0</v>
      </c>
      <c r="O58" s="275" t="str">
        <f t="shared" ca="1" si="3"/>
        <v/>
      </c>
      <c r="P58" s="275">
        <f t="shared" ca="1" si="4"/>
        <v>0</v>
      </c>
      <c r="Q58" s="282">
        <f t="shared" ca="1" si="5"/>
        <v>0</v>
      </c>
    </row>
    <row r="59" spans="3:17" ht="21" x14ac:dyDescent="0.4">
      <c r="C59" s="278" t="str">
        <f ca="1">IF(ROW()-2&gt;Start.listina!$O$7,"",INDIRECT(ADDRESS(3+(ROW()-3)*2,$D$2,1,1,"Centrum")))</f>
        <v/>
      </c>
      <c r="D59" s="278" t="str">
        <f ca="1">IF(ROW()-2&gt;Start.listina!$O$7,"",INDIRECT(ADDRESS(4+(ROW()-3)*2,$D$2,1,1,"Centrum")))</f>
        <v/>
      </c>
      <c r="E59" s="276" t="str">
        <f ca="1">IF(TYPE(VLOOKUP(C59,Centrum!$A$3:$C$130,3,0))&gt;3," - ",VLOOKUP(C59,Centrum!$A$3:$C$130,3,0))</f>
        <v xml:space="preserve"> - </v>
      </c>
      <c r="F59" s="276" t="str">
        <f ca="1">IF(TYPE(VLOOKUP(D59,Centrum!$A$3:$C$130,3,0))&gt;3," - ",VLOOKUP(D59,Centrum!$A$3:$C$130,3,0))</f>
        <v xml:space="preserve"> - </v>
      </c>
      <c r="G59" s="439" t="str">
        <f ca="1">IF(ROW()-2&gt;Start.listina!$O$7,"",ROW()-2)</f>
        <v/>
      </c>
      <c r="H59" s="272"/>
      <c r="I59" s="274"/>
      <c r="K59" s="275" t="str">
        <f t="shared" ca="1" si="0"/>
        <v/>
      </c>
      <c r="L59" s="275" t="str">
        <f t="shared" ca="1" si="1"/>
        <v/>
      </c>
      <c r="M59" s="275">
        <f t="shared" ca="1" si="2"/>
        <v>0</v>
      </c>
      <c r="N59" s="275">
        <f t="shared" ca="1" si="6"/>
        <v>0</v>
      </c>
      <c r="O59" s="275" t="str">
        <f t="shared" ca="1" si="3"/>
        <v/>
      </c>
      <c r="P59" s="275">
        <f t="shared" ca="1" si="4"/>
        <v>0</v>
      </c>
      <c r="Q59" s="282">
        <f t="shared" ca="1" si="5"/>
        <v>0</v>
      </c>
    </row>
    <row r="60" spans="3:17" ht="21" x14ac:dyDescent="0.4">
      <c r="C60" s="278" t="str">
        <f ca="1">IF(ROW()-2&gt;Start.listina!$O$7,"",INDIRECT(ADDRESS(3+(ROW()-3)*2,$D$2,1,1,"Centrum")))</f>
        <v/>
      </c>
      <c r="D60" s="278" t="str">
        <f ca="1">IF(ROW()-2&gt;Start.listina!$O$7,"",INDIRECT(ADDRESS(4+(ROW()-3)*2,$D$2,1,1,"Centrum")))</f>
        <v/>
      </c>
      <c r="E60" s="276" t="str">
        <f ca="1">IF(TYPE(VLOOKUP(C60,Centrum!$A$3:$C$130,3,0))&gt;3," - ",VLOOKUP(C60,Centrum!$A$3:$C$130,3,0))</f>
        <v xml:space="preserve"> - </v>
      </c>
      <c r="F60" s="276" t="str">
        <f ca="1">IF(TYPE(VLOOKUP(D60,Centrum!$A$3:$C$130,3,0))&gt;3," - ",VLOOKUP(D60,Centrum!$A$3:$C$130,3,0))</f>
        <v xml:space="preserve"> - </v>
      </c>
      <c r="G60" s="439" t="str">
        <f ca="1">IF(ROW()-2&gt;Start.listina!$O$7,"",ROW()-2)</f>
        <v/>
      </c>
      <c r="H60" s="272"/>
      <c r="I60" s="274"/>
      <c r="K60" s="275" t="str">
        <f t="shared" ca="1" si="0"/>
        <v/>
      </c>
      <c r="L60" s="275" t="str">
        <f t="shared" ca="1" si="1"/>
        <v/>
      </c>
      <c r="M60" s="275">
        <f t="shared" ca="1" si="2"/>
        <v>0</v>
      </c>
      <c r="N60" s="275">
        <f t="shared" ca="1" si="6"/>
        <v>0</v>
      </c>
      <c r="O60" s="275" t="str">
        <f t="shared" ca="1" si="3"/>
        <v/>
      </c>
      <c r="P60" s="275">
        <f t="shared" ca="1" si="4"/>
        <v>0</v>
      </c>
      <c r="Q60" s="282">
        <f t="shared" ca="1" si="5"/>
        <v>0</v>
      </c>
    </row>
    <row r="61" spans="3:17" ht="21" x14ac:dyDescent="0.4">
      <c r="C61" s="278" t="str">
        <f ca="1">IF(ROW()-2&gt;Start.listina!$O$7,"",INDIRECT(ADDRESS(3+(ROW()-3)*2,$D$2,1,1,"Centrum")))</f>
        <v/>
      </c>
      <c r="D61" s="278" t="str">
        <f ca="1">IF(ROW()-2&gt;Start.listina!$O$7,"",INDIRECT(ADDRESS(4+(ROW()-3)*2,$D$2,1,1,"Centrum")))</f>
        <v/>
      </c>
      <c r="E61" s="276" t="str">
        <f ca="1">IF(TYPE(VLOOKUP(C61,Centrum!$A$3:$C$130,3,0))&gt;3," - ",VLOOKUP(C61,Centrum!$A$3:$C$130,3,0))</f>
        <v xml:space="preserve"> - </v>
      </c>
      <c r="F61" s="276" t="str">
        <f ca="1">IF(TYPE(VLOOKUP(D61,Centrum!$A$3:$C$130,3,0))&gt;3," - ",VLOOKUP(D61,Centrum!$A$3:$C$130,3,0))</f>
        <v xml:space="preserve"> - </v>
      </c>
      <c r="G61" s="439" t="str">
        <f ca="1">IF(ROW()-2&gt;Start.listina!$O$7,"",ROW()-2)</f>
        <v/>
      </c>
      <c r="H61" s="272"/>
      <c r="I61" s="274"/>
      <c r="K61" s="275" t="str">
        <f t="shared" ca="1" si="0"/>
        <v/>
      </c>
      <c r="L61" s="275" t="str">
        <f t="shared" ca="1" si="1"/>
        <v/>
      </c>
      <c r="M61" s="275">
        <f t="shared" ca="1" si="2"/>
        <v>0</v>
      </c>
      <c r="N61" s="275">
        <f t="shared" ca="1" si="6"/>
        <v>0</v>
      </c>
      <c r="O61" s="275" t="str">
        <f t="shared" ca="1" si="3"/>
        <v/>
      </c>
      <c r="P61" s="275">
        <f t="shared" ca="1" si="4"/>
        <v>0</v>
      </c>
      <c r="Q61" s="282">
        <f t="shared" ca="1" si="5"/>
        <v>0</v>
      </c>
    </row>
    <row r="62" spans="3:17" ht="21" x14ac:dyDescent="0.4">
      <c r="C62" s="278" t="str">
        <f ca="1">IF(ROW()-2&gt;Start.listina!$O$7,"",INDIRECT(ADDRESS(3+(ROW()-3)*2,$D$2,1,1,"Centrum")))</f>
        <v/>
      </c>
      <c r="D62" s="278" t="str">
        <f ca="1">IF(ROW()-2&gt;Start.listina!$O$7,"",INDIRECT(ADDRESS(4+(ROW()-3)*2,$D$2,1,1,"Centrum")))</f>
        <v/>
      </c>
      <c r="E62" s="276" t="str">
        <f ca="1">IF(TYPE(VLOOKUP(C62,Centrum!$A$3:$C$130,3,0))&gt;3," - ",VLOOKUP(C62,Centrum!$A$3:$C$130,3,0))</f>
        <v xml:space="preserve"> - </v>
      </c>
      <c r="F62" s="276" t="str">
        <f ca="1">IF(TYPE(VLOOKUP(D62,Centrum!$A$3:$C$130,3,0))&gt;3," - ",VLOOKUP(D62,Centrum!$A$3:$C$130,3,0))</f>
        <v xml:space="preserve"> - </v>
      </c>
      <c r="G62" s="439" t="str">
        <f ca="1">IF(ROW()-2&gt;Start.listina!$O$7,"",ROW()-2)</f>
        <v/>
      </c>
      <c r="H62" s="272"/>
      <c r="I62" s="274"/>
      <c r="K62" s="275" t="str">
        <f t="shared" ca="1" si="0"/>
        <v/>
      </c>
      <c r="L62" s="275" t="str">
        <f t="shared" ca="1" si="1"/>
        <v/>
      </c>
      <c r="M62" s="275">
        <f t="shared" ca="1" si="2"/>
        <v>0</v>
      </c>
      <c r="N62" s="275">
        <f t="shared" ca="1" si="6"/>
        <v>0</v>
      </c>
      <c r="O62" s="275" t="str">
        <f t="shared" ca="1" si="3"/>
        <v/>
      </c>
      <c r="P62" s="275">
        <f t="shared" ca="1" si="4"/>
        <v>0</v>
      </c>
      <c r="Q62" s="282">
        <f t="shared" ca="1" si="5"/>
        <v>0</v>
      </c>
    </row>
    <row r="63" spans="3:17" ht="21" x14ac:dyDescent="0.4">
      <c r="C63" s="278" t="str">
        <f ca="1">IF(ROW()-2&gt;Start.listina!$O$7,"",INDIRECT(ADDRESS(3+(ROW()-3)*2,$D$2,1,1,"Centrum")))</f>
        <v/>
      </c>
      <c r="D63" s="278" t="str">
        <f ca="1">IF(ROW()-2&gt;Start.listina!$O$7,"",INDIRECT(ADDRESS(4+(ROW()-3)*2,$D$2,1,1,"Centrum")))</f>
        <v/>
      </c>
      <c r="E63" s="276" t="str">
        <f ca="1">IF(TYPE(VLOOKUP(C63,Centrum!$A$3:$C$130,3,0))&gt;3," - ",VLOOKUP(C63,Centrum!$A$3:$C$130,3,0))</f>
        <v xml:space="preserve"> - </v>
      </c>
      <c r="F63" s="276" t="str">
        <f ca="1">IF(TYPE(VLOOKUP(D63,Centrum!$A$3:$C$130,3,0))&gt;3," - ",VLOOKUP(D63,Centrum!$A$3:$C$130,3,0))</f>
        <v xml:space="preserve"> - </v>
      </c>
      <c r="G63" s="439" t="str">
        <f ca="1">IF(ROW()-2&gt;Start.listina!$O$7,"",ROW()-2)</f>
        <v/>
      </c>
      <c r="H63" s="272"/>
      <c r="I63" s="274"/>
      <c r="K63" s="275" t="str">
        <f t="shared" ca="1" si="0"/>
        <v/>
      </c>
      <c r="L63" s="275" t="str">
        <f t="shared" ca="1" si="1"/>
        <v/>
      </c>
      <c r="M63" s="275">
        <f t="shared" ca="1" si="2"/>
        <v>0</v>
      </c>
      <c r="N63" s="275">
        <f t="shared" ca="1" si="6"/>
        <v>0</v>
      </c>
      <c r="O63" s="275" t="str">
        <f t="shared" ca="1" si="3"/>
        <v/>
      </c>
      <c r="P63" s="275">
        <f t="shared" ca="1" si="4"/>
        <v>0</v>
      </c>
      <c r="Q63" s="282">
        <f t="shared" ca="1" si="5"/>
        <v>0</v>
      </c>
    </row>
    <row r="64" spans="3:17" ht="21" x14ac:dyDescent="0.4">
      <c r="C64" s="278" t="str">
        <f ca="1">IF(ROW()-2&gt;Start.listina!$O$7,"",INDIRECT(ADDRESS(3+(ROW()-3)*2,$D$2,1,1,"Centrum")))</f>
        <v/>
      </c>
      <c r="D64" s="278" t="str">
        <f ca="1">IF(ROW()-2&gt;Start.listina!$O$7,"",INDIRECT(ADDRESS(4+(ROW()-3)*2,$D$2,1,1,"Centrum")))</f>
        <v/>
      </c>
      <c r="E64" s="276" t="str">
        <f ca="1">IF(TYPE(VLOOKUP(C64,Centrum!$A$3:$C$130,3,0))&gt;3," - ",VLOOKUP(C64,Centrum!$A$3:$C$130,3,0))</f>
        <v xml:space="preserve"> - </v>
      </c>
      <c r="F64" s="276" t="str">
        <f ca="1">IF(TYPE(VLOOKUP(D64,Centrum!$A$3:$C$130,3,0))&gt;3," - ",VLOOKUP(D64,Centrum!$A$3:$C$130,3,0))</f>
        <v xml:space="preserve"> - </v>
      </c>
      <c r="G64" s="439" t="str">
        <f ca="1">IF(ROW()-2&gt;Start.listina!$O$7,"",ROW()-2)</f>
        <v/>
      </c>
      <c r="H64" s="272"/>
      <c r="I64" s="274"/>
      <c r="K64" s="275" t="str">
        <f t="shared" ca="1" si="0"/>
        <v/>
      </c>
      <c r="L64" s="275" t="str">
        <f t="shared" ca="1" si="1"/>
        <v/>
      </c>
      <c r="M64" s="275">
        <f t="shared" ca="1" si="2"/>
        <v>0</v>
      </c>
      <c r="N64" s="275">
        <f t="shared" ca="1" si="6"/>
        <v>0</v>
      </c>
      <c r="O64" s="275" t="str">
        <f t="shared" ca="1" si="3"/>
        <v/>
      </c>
      <c r="P64" s="275">
        <f t="shared" ca="1" si="4"/>
        <v>0</v>
      </c>
      <c r="Q64" s="282">
        <f t="shared" ca="1" si="5"/>
        <v>0</v>
      </c>
    </row>
    <row r="65" spans="3:17" ht="21" x14ac:dyDescent="0.4">
      <c r="C65" s="278" t="str">
        <f ca="1">IF(ROW()-2&gt;Start.listina!$O$7,"",INDIRECT(ADDRESS(3+(ROW()-3)*2,$D$2,1,1,"Centrum")))</f>
        <v/>
      </c>
      <c r="D65" s="278" t="str">
        <f ca="1">IF(ROW()-2&gt;Start.listina!$O$7,"",INDIRECT(ADDRESS(4+(ROW()-3)*2,$D$2,1,1,"Centrum")))</f>
        <v/>
      </c>
      <c r="E65" s="276" t="str">
        <f ca="1">IF(TYPE(VLOOKUP(C65,Centrum!$A$3:$C$130,3,0))&gt;3," - ",VLOOKUP(C65,Centrum!$A$3:$C$130,3,0))</f>
        <v xml:space="preserve"> - </v>
      </c>
      <c r="F65" s="276" t="str">
        <f ca="1">IF(TYPE(VLOOKUP(D65,Centrum!$A$3:$C$130,3,0))&gt;3," - ",VLOOKUP(D65,Centrum!$A$3:$C$130,3,0))</f>
        <v xml:space="preserve"> - </v>
      </c>
      <c r="G65" s="439" t="str">
        <f ca="1">IF(ROW()-2&gt;Start.listina!$O$7,"",ROW()-2)</f>
        <v/>
      </c>
      <c r="H65" s="272"/>
      <c r="I65" s="274"/>
      <c r="K65" s="275" t="str">
        <f t="shared" ca="1" si="0"/>
        <v/>
      </c>
      <c r="L65" s="275" t="str">
        <f t="shared" ca="1" si="1"/>
        <v/>
      </c>
      <c r="M65" s="275">
        <f t="shared" ca="1" si="2"/>
        <v>0</v>
      </c>
      <c r="N65" s="275">
        <f t="shared" ca="1" si="6"/>
        <v>0</v>
      </c>
      <c r="O65" s="275" t="str">
        <f t="shared" ca="1" si="3"/>
        <v/>
      </c>
      <c r="P65" s="275">
        <f t="shared" ca="1" si="4"/>
        <v>0</v>
      </c>
      <c r="Q65" s="282">
        <f t="shared" ca="1" si="5"/>
        <v>0</v>
      </c>
    </row>
    <row r="66" spans="3:17" ht="21" x14ac:dyDescent="0.4">
      <c r="C66" s="278" t="str">
        <f ca="1">IF(ROW()-2&gt;Start.listina!$O$7,"",INDIRECT(ADDRESS(3+(ROW()-3)*2,$D$2,1,1,"Centrum")))</f>
        <v/>
      </c>
      <c r="D66" s="278" t="str">
        <f ca="1">IF(ROW()-2&gt;Start.listina!$O$7,"",INDIRECT(ADDRESS(4+(ROW()-3)*2,$D$2,1,1,"Centrum")))</f>
        <v/>
      </c>
      <c r="E66" s="276" t="str">
        <f ca="1">IF(TYPE(VLOOKUP(C66,Centrum!$A$3:$C$130,3,0))&gt;3," - ",VLOOKUP(C66,Centrum!$A$3:$C$130,3,0))</f>
        <v xml:space="preserve"> - </v>
      </c>
      <c r="F66" s="276" t="str">
        <f ca="1">IF(TYPE(VLOOKUP(D66,Centrum!$A$3:$C$130,3,0))&gt;3," - ",VLOOKUP(D66,Centrum!$A$3:$C$130,3,0))</f>
        <v xml:space="preserve"> - </v>
      </c>
      <c r="G66" s="439" t="str">
        <f ca="1">IF(ROW()-2&gt;Start.listina!$O$7,"",ROW()-2)</f>
        <v/>
      </c>
      <c r="H66" s="272"/>
      <c r="I66" s="274"/>
      <c r="K66" s="275" t="str">
        <f ca="1">IF(TRIM($F66)="-","",$D66)</f>
        <v/>
      </c>
      <c r="L66" s="275" t="str">
        <f ca="1">IF(TRIM($E66)="-","",$C66)</f>
        <v/>
      </c>
      <c r="M66" s="275">
        <f ca="1">IF(AND(TRIM($E66)&lt;&gt;"-",$H66&gt;$I66),1,0)</f>
        <v>0</v>
      </c>
      <c r="N66" s="275">
        <f t="shared" ca="1" si="6"/>
        <v>0</v>
      </c>
      <c r="O66" s="275" t="str">
        <f ca="1">IF(TRIM($F66)="-","",$D66)</f>
        <v/>
      </c>
      <c r="P66" s="275">
        <f ca="1">IF(AND(TRIM($F66)&lt;&gt;"-",$I66&gt;$H66),1,0)</f>
        <v>0</v>
      </c>
      <c r="Q66" s="282">
        <f ca="1">IF(TRIM($F66)="-",0,$I66-$H66)</f>
        <v>0</v>
      </c>
    </row>
  </sheetData>
  <sheetProtection algorithmName="SHA-512" hashValue="v6ChLFZuqK72Q/YE4KMpGJgeu3rrdFyFVwvvOUvhfmF/PftyrvkUGvudr0waQrn/dS/5QiziJSc6oVni8Hk4vg==" saltValue="t0lZ5e5DS68gxFKHZt/rWw==" spinCount="100000" sheet="1" objects="1" scenarios="1"/>
  <mergeCells count="2">
    <mergeCell ref="H1:I1"/>
    <mergeCell ref="H2:I2"/>
  </mergeCells>
  <phoneticPr fontId="0" type="noConversion"/>
  <conditionalFormatting sqref="J1:J2">
    <cfRule type="cellIs" dxfId="86" priority="1" stopIfTrue="1" operator="greaterThan">
      <formula>0</formula>
    </cfRule>
  </conditionalFormatting>
  <conditionalFormatting sqref="E3:E66">
    <cfRule type="expression" dxfId="85" priority="2" stopIfTrue="1">
      <formula>IF($H3&gt;$I3,TRUE,FALSE)</formula>
    </cfRule>
  </conditionalFormatting>
  <conditionalFormatting sqref="F3:F66">
    <cfRule type="expression" dxfId="84" priority="3" stopIfTrue="1">
      <formula>IF($I3&gt;$H3,TRUE,FALSE)</formula>
    </cfRule>
  </conditionalFormatting>
  <pageMargins left="0.78740157499999996" right="0.78740157499999996" top="0.49" bottom="0.63" header="0.4921259845" footer="0.4921259845"/>
  <pageSetup paperSize="9" scale="46" orientation="portrait" horizontalDpi="300" verticalDpi="300" r:id="rId1"/>
  <headerFooter alignWithMargins="0"/>
  <rowBreaks count="1" manualBreakCount="1">
    <brk id="33" max="16383" man="1"/>
  </rowBreaks>
  <colBreaks count="1" manualBreakCount="1">
    <brk id="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1506" r:id="rId4" name="Button 2">
              <controlPr defaultSize="0" print="0" autoFill="0" autoPict="0" macro="[0]!Kolo4">
                <anchor moveWithCells="1">
                  <from>
                    <xdr:col>9</xdr:col>
                    <xdr:colOff>38100</xdr:colOff>
                    <xdr:row>0</xdr:row>
                    <xdr:rowOff>136071</xdr:rowOff>
                  </from>
                  <to>
                    <xdr:col>9</xdr:col>
                    <xdr:colOff>936171</xdr:colOff>
                    <xdr:row>1</xdr:row>
                    <xdr:rowOff>381000</xdr:rowOff>
                  </to>
                </anchor>
              </controlPr>
            </control>
          </mc:Choice>
        </mc:AlternateContent>
        <mc:AlternateContent xmlns:mc="http://schemas.openxmlformats.org/markup-compatibility/2006">
          <mc:Choice Requires="x14">
            <control shapeId="21507" r:id="rId5" name="Button 3">
              <controlPr defaultSize="0" print="0" autoFill="0" autoPict="0" macro="[0]!TrideniPostupuoKO">
                <anchor moveWithCells="1">
                  <from>
                    <xdr:col>9</xdr:col>
                    <xdr:colOff>38100</xdr:colOff>
                    <xdr:row>2</xdr:row>
                    <xdr:rowOff>48986</xdr:rowOff>
                  </from>
                  <to>
                    <xdr:col>9</xdr:col>
                    <xdr:colOff>936171</xdr:colOff>
                    <xdr:row>4</xdr:row>
                    <xdr:rowOff>141514</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List59">
    <tabColor theme="3" tint="-0.249977111117893"/>
  </sheetPr>
  <dimension ref="A1:AI66"/>
  <sheetViews>
    <sheetView view="pageBreakPreview" zoomScaleNormal="100" zoomScaleSheetLayoutView="100" workbookViewId="0">
      <pane xSplit="7" ySplit="2" topLeftCell="H3" activePane="bottomRight" state="frozen"/>
      <selection pane="topRight" activeCell="H3" sqref="H3"/>
      <selection pane="bottomLeft" activeCell="H3" sqref="H3"/>
      <selection pane="bottomRight" activeCell="H3" sqref="H3"/>
    </sheetView>
  </sheetViews>
  <sheetFormatPr defaultRowHeight="12" x14ac:dyDescent="0.4"/>
  <cols>
    <col min="1" max="1" width="2" hidden="1" customWidth="1"/>
    <col min="2" max="2" width="1.75" hidden="1" customWidth="1"/>
    <col min="3" max="3" width="4.4140625" hidden="1" customWidth="1"/>
    <col min="4" max="4" width="4" hidden="1" customWidth="1"/>
    <col min="5" max="6" width="41.75" customWidth="1"/>
    <col min="7" max="7" width="5.4140625" customWidth="1"/>
    <col min="8" max="9" width="6.4140625" customWidth="1"/>
    <col min="10" max="10" width="26.83203125" customWidth="1"/>
    <col min="11" max="17" width="9" hidden="1" customWidth="1"/>
  </cols>
  <sheetData>
    <row r="1" spans="3:35" ht="30.9" thickBot="1" x14ac:dyDescent="0.5">
      <c r="E1" s="284" t="s">
        <v>1643</v>
      </c>
      <c r="F1" s="277" t="str">
        <f>Start.listina!$K$4</f>
        <v>Turnaj Piráta Morgana</v>
      </c>
      <c r="G1" s="1"/>
      <c r="H1" s="476" t="str">
        <f>Start.listina!$K$3</f>
        <v>28.04.2024</v>
      </c>
      <c r="I1" s="477"/>
      <c r="J1" s="283">
        <f ca="1">INDIRECT(ADDRESS(1,$D$2+2,1,1,"Centrum"))</f>
        <v>0</v>
      </c>
      <c r="K1" t="s">
        <v>1633</v>
      </c>
      <c r="L1" s="1"/>
      <c r="M1" s="1"/>
      <c r="N1" s="1"/>
      <c r="O1" s="1"/>
      <c r="P1" s="1"/>
      <c r="Q1" s="1"/>
      <c r="R1" s="1"/>
      <c r="S1" s="1"/>
      <c r="T1" s="1"/>
      <c r="U1" s="1"/>
      <c r="V1" s="1"/>
      <c r="W1" s="1"/>
      <c r="X1" s="1"/>
      <c r="Y1" s="1"/>
      <c r="Z1" s="1"/>
      <c r="AA1" s="1"/>
      <c r="AB1" s="1"/>
      <c r="AC1" s="1"/>
      <c r="AD1" s="1"/>
      <c r="AE1" s="1"/>
      <c r="AF1" s="1"/>
      <c r="AG1" s="1"/>
      <c r="AH1" s="1"/>
      <c r="AI1" s="1"/>
    </row>
    <row r="2" spans="3:35" ht="42.65" customHeight="1" thickTop="1" thickBot="1" x14ac:dyDescent="0.45">
      <c r="D2" s="243">
        <v>73</v>
      </c>
      <c r="E2" s="8" t="s">
        <v>1634</v>
      </c>
      <c r="F2" s="8" t="s">
        <v>1635</v>
      </c>
      <c r="G2" s="273" t="s">
        <v>1636</v>
      </c>
      <c r="H2" s="474" t="s">
        <v>1637</v>
      </c>
      <c r="I2" s="475"/>
      <c r="J2" s="283">
        <f ca="1">INDIRECT(ADDRESS(1,$D$2+2,1,1,"Centrum"))</f>
        <v>0</v>
      </c>
      <c r="K2" s="279" t="s">
        <v>1638</v>
      </c>
      <c r="L2" s="279" t="s">
        <v>1639</v>
      </c>
      <c r="M2" s="279" t="s">
        <v>1591</v>
      </c>
      <c r="N2" s="280" t="s">
        <v>1596</v>
      </c>
      <c r="O2" s="279" t="s">
        <v>1638</v>
      </c>
      <c r="P2" s="279" t="s">
        <v>1591</v>
      </c>
      <c r="Q2" s="280" t="s">
        <v>1596</v>
      </c>
    </row>
    <row r="3" spans="3:35" ht="21" x14ac:dyDescent="0.4">
      <c r="C3" s="278">
        <f ca="1">IF(ROW()-2&gt;Start.listina!$O$7,"",INDIRECT(ADDRESS(3+(ROW()-3)*2,$D$2,1,1,"Centrum")))</f>
        <v>0</v>
      </c>
      <c r="D3" s="278">
        <f ca="1">IF(ROW()-2&gt;Start.listina!$O$7,"",INDIRECT(ADDRESS(4+(ROW()-3)*2,$D$2,1,1,"Centrum")))</f>
        <v>0</v>
      </c>
      <c r="E3" s="276" t="str">
        <f ca="1">IF(TYPE(VLOOKUP(C3,Centrum!$A$3:$C$130,3,0))&gt;3," - ",VLOOKUP(C3,Centrum!$A$3:$C$130,3,0))</f>
        <v xml:space="preserve"> - </v>
      </c>
      <c r="F3" s="276" t="str">
        <f ca="1">IF(TYPE(VLOOKUP(D3,Centrum!$A$3:$C$130,3,0))&gt;3," - ",VLOOKUP(D3,Centrum!$A$3:$C$130,3,0))</f>
        <v xml:space="preserve"> - </v>
      </c>
      <c r="G3" s="439">
        <f ca="1">IF(ROW()-2&gt;Start.listina!$O$7,"",ROW()-2)</f>
        <v>1</v>
      </c>
      <c r="H3" s="272"/>
      <c r="I3" s="274"/>
      <c r="K3" s="275" t="str">
        <f t="shared" ref="K3:K65" ca="1" si="0">IF(TRIM($F3)="-","",$D3)</f>
        <v/>
      </c>
      <c r="L3" s="275" t="str">
        <f t="shared" ref="L3:L65" ca="1" si="1">IF(TRIM($E3)="-","",$C3)</f>
        <v/>
      </c>
      <c r="M3" s="275">
        <f t="shared" ref="M3:M65" ca="1" si="2">IF(AND(TRIM($E3)&lt;&gt;"-",$H3&gt;$I3),1,0)</f>
        <v>0</v>
      </c>
      <c r="N3" s="275">
        <f ca="1">IF(TRIM($E3)="-",0,$H3-$I3)</f>
        <v>0</v>
      </c>
      <c r="O3" s="275" t="str">
        <f t="shared" ref="O3:O65" ca="1" si="3">IF(TRIM($F3)="-","",$D3)</f>
        <v/>
      </c>
      <c r="P3" s="275">
        <f t="shared" ref="P3:P65" ca="1" si="4">IF(AND(TRIM($F3)&lt;&gt;"-",$I3&gt;$H3),1,0)</f>
        <v>0</v>
      </c>
      <c r="Q3" s="281">
        <f t="shared" ref="Q3:Q65" ca="1" si="5">IF(TRIM($F3)="-",0,$I3-$H3)</f>
        <v>0</v>
      </c>
    </row>
    <row r="4" spans="3:35" ht="21" x14ac:dyDescent="0.4">
      <c r="C4" s="278">
        <f ca="1">IF(ROW()-2&gt;Start.listina!$O$7,"",INDIRECT(ADDRESS(3+(ROW()-3)*2,$D$2,1,1,"Centrum")))</f>
        <v>0</v>
      </c>
      <c r="D4" s="278">
        <f ca="1">IF(ROW()-2&gt;Start.listina!$O$7,"",INDIRECT(ADDRESS(4+(ROW()-3)*2,$D$2,1,1,"Centrum")))</f>
        <v>0</v>
      </c>
      <c r="E4" s="276" t="str">
        <f ca="1">IF(TYPE(VLOOKUP(C4,Centrum!$A$3:$C$130,3,0))&gt;3," - ",VLOOKUP(C4,Centrum!$A$3:$C$130,3,0))</f>
        <v xml:space="preserve"> - </v>
      </c>
      <c r="F4" s="276" t="str">
        <f ca="1">IF(TYPE(VLOOKUP(D4,Centrum!$A$3:$C$130,3,0))&gt;3," - ",VLOOKUP(D4,Centrum!$A$3:$C$130,3,0))</f>
        <v xml:space="preserve"> - </v>
      </c>
      <c r="G4" s="439">
        <f ca="1">IF(ROW()-2&gt;Start.listina!$O$7,"",ROW()-2)</f>
        <v>2</v>
      </c>
      <c r="H4" s="272"/>
      <c r="I4" s="274"/>
      <c r="K4" s="275" t="str">
        <f t="shared" ca="1" si="0"/>
        <v/>
      </c>
      <c r="L4" s="275" t="str">
        <f t="shared" ca="1" si="1"/>
        <v/>
      </c>
      <c r="M4" s="275">
        <f t="shared" ca="1" si="2"/>
        <v>0</v>
      </c>
      <c r="N4" s="275">
        <f t="shared" ref="N4:N66" ca="1" si="6">IF(TRIM($E4)="-",0,$H4-$I4)</f>
        <v>0</v>
      </c>
      <c r="O4" s="275" t="str">
        <f t="shared" ca="1" si="3"/>
        <v/>
      </c>
      <c r="P4" s="275">
        <f t="shared" ca="1" si="4"/>
        <v>0</v>
      </c>
      <c r="Q4" s="282">
        <f t="shared" ca="1" si="5"/>
        <v>0</v>
      </c>
    </row>
    <row r="5" spans="3:35" ht="21" x14ac:dyDescent="0.4">
      <c r="C5" s="278">
        <f ca="1">IF(ROW()-2&gt;Start.listina!$O$7,"",INDIRECT(ADDRESS(3+(ROW()-3)*2,$D$2,1,1,"Centrum")))</f>
        <v>0</v>
      </c>
      <c r="D5" s="278">
        <f ca="1">IF(ROW()-2&gt;Start.listina!$O$7,"",INDIRECT(ADDRESS(4+(ROW()-3)*2,$D$2,1,1,"Centrum")))</f>
        <v>0</v>
      </c>
      <c r="E5" s="276" t="str">
        <f ca="1">IF(TYPE(VLOOKUP(C5,Centrum!$A$3:$C$130,3,0))&gt;3," - ",VLOOKUP(C5,Centrum!$A$3:$C$130,3,0))</f>
        <v xml:space="preserve"> - </v>
      </c>
      <c r="F5" s="276" t="str">
        <f ca="1">IF(TYPE(VLOOKUP(D5,Centrum!$A$3:$C$130,3,0))&gt;3," - ",VLOOKUP(D5,Centrum!$A$3:$C$130,3,0))</f>
        <v xml:space="preserve"> - </v>
      </c>
      <c r="G5" s="439">
        <f ca="1">IF(ROW()-2&gt;Start.listina!$O$7,"",ROW()-2)</f>
        <v>3</v>
      </c>
      <c r="H5" s="272"/>
      <c r="I5" s="274"/>
      <c r="K5" s="275" t="str">
        <f t="shared" ca="1" si="0"/>
        <v/>
      </c>
      <c r="L5" s="275" t="str">
        <f t="shared" ca="1" si="1"/>
        <v/>
      </c>
      <c r="M5" s="275">
        <f t="shared" ca="1" si="2"/>
        <v>0</v>
      </c>
      <c r="N5" s="275">
        <f t="shared" ca="1" si="6"/>
        <v>0</v>
      </c>
      <c r="O5" s="275" t="str">
        <f t="shared" ca="1" si="3"/>
        <v/>
      </c>
      <c r="P5" s="275">
        <f t="shared" ca="1" si="4"/>
        <v>0</v>
      </c>
      <c r="Q5" s="282">
        <f t="shared" ca="1" si="5"/>
        <v>0</v>
      </c>
    </row>
    <row r="6" spans="3:35" ht="21" x14ac:dyDescent="0.4">
      <c r="C6" s="278">
        <f ca="1">IF(ROW()-2&gt;Start.listina!$O$7,"",INDIRECT(ADDRESS(3+(ROW()-3)*2,$D$2,1,1,"Centrum")))</f>
        <v>0</v>
      </c>
      <c r="D6" s="278">
        <f ca="1">IF(ROW()-2&gt;Start.listina!$O$7,"",INDIRECT(ADDRESS(4+(ROW()-3)*2,$D$2,1,1,"Centrum")))</f>
        <v>0</v>
      </c>
      <c r="E6" s="276" t="str">
        <f ca="1">IF(TYPE(VLOOKUP(C6,Centrum!$A$3:$C$130,3,0))&gt;3," - ",VLOOKUP(C6,Centrum!$A$3:$C$130,3,0))</f>
        <v xml:space="preserve"> - </v>
      </c>
      <c r="F6" s="276" t="str">
        <f ca="1">IF(TYPE(VLOOKUP(D6,Centrum!$A$3:$C$130,3,0))&gt;3," - ",VLOOKUP(D6,Centrum!$A$3:$C$130,3,0))</f>
        <v xml:space="preserve"> - </v>
      </c>
      <c r="G6" s="439">
        <f ca="1">IF(ROW()-2&gt;Start.listina!$O$7,"",ROW()-2)</f>
        <v>4</v>
      </c>
      <c r="H6" s="272"/>
      <c r="I6" s="274"/>
      <c r="K6" s="275" t="str">
        <f t="shared" ca="1" si="0"/>
        <v/>
      </c>
      <c r="L6" s="275" t="str">
        <f t="shared" ca="1" si="1"/>
        <v/>
      </c>
      <c r="M6" s="275">
        <f t="shared" ca="1" si="2"/>
        <v>0</v>
      </c>
      <c r="N6" s="275">
        <f t="shared" ca="1" si="6"/>
        <v>0</v>
      </c>
      <c r="O6" s="275" t="str">
        <f t="shared" ca="1" si="3"/>
        <v/>
      </c>
      <c r="P6" s="275">
        <f t="shared" ca="1" si="4"/>
        <v>0</v>
      </c>
      <c r="Q6" s="282">
        <f t="shared" ca="1" si="5"/>
        <v>0</v>
      </c>
    </row>
    <row r="7" spans="3:35" ht="21" x14ac:dyDescent="0.4">
      <c r="C7" s="278">
        <f ca="1">IF(ROW()-2&gt;Start.listina!$O$7,"",INDIRECT(ADDRESS(3+(ROW()-3)*2,$D$2,1,1,"Centrum")))</f>
        <v>0</v>
      </c>
      <c r="D7" s="278">
        <f ca="1">IF(ROW()-2&gt;Start.listina!$O$7,"",INDIRECT(ADDRESS(4+(ROW()-3)*2,$D$2,1,1,"Centrum")))</f>
        <v>0</v>
      </c>
      <c r="E7" s="276" t="str">
        <f ca="1">IF(TYPE(VLOOKUP(C7,Centrum!$A$3:$C$130,3,0))&gt;3," - ",VLOOKUP(C7,Centrum!$A$3:$C$130,3,0))</f>
        <v xml:space="preserve"> - </v>
      </c>
      <c r="F7" s="276" t="str">
        <f ca="1">IF(TYPE(VLOOKUP(D7,Centrum!$A$3:$C$130,3,0))&gt;3," - ",VLOOKUP(D7,Centrum!$A$3:$C$130,3,0))</f>
        <v xml:space="preserve"> - </v>
      </c>
      <c r="G7" s="439">
        <f ca="1">IF(ROW()-2&gt;Start.listina!$O$7,"",ROW()-2)</f>
        <v>5</v>
      </c>
      <c r="H7" s="272"/>
      <c r="I7" s="274"/>
      <c r="K7" s="275" t="str">
        <f t="shared" ca="1" si="0"/>
        <v/>
      </c>
      <c r="L7" s="275" t="str">
        <f t="shared" ca="1" si="1"/>
        <v/>
      </c>
      <c r="M7" s="275">
        <f t="shared" ca="1" si="2"/>
        <v>0</v>
      </c>
      <c r="N7" s="275">
        <f t="shared" ca="1" si="6"/>
        <v>0</v>
      </c>
      <c r="O7" s="275" t="str">
        <f t="shared" ca="1" si="3"/>
        <v/>
      </c>
      <c r="P7" s="275">
        <f t="shared" ca="1" si="4"/>
        <v>0</v>
      </c>
      <c r="Q7" s="282">
        <f t="shared" ca="1" si="5"/>
        <v>0</v>
      </c>
    </row>
    <row r="8" spans="3:35" ht="21" x14ac:dyDescent="0.4">
      <c r="C8" s="278">
        <f ca="1">IF(ROW()-2&gt;Start.listina!$O$7,"",INDIRECT(ADDRESS(3+(ROW()-3)*2,$D$2,1,1,"Centrum")))</f>
        <v>0</v>
      </c>
      <c r="D8" s="278">
        <f ca="1">IF(ROW()-2&gt;Start.listina!$O$7,"",INDIRECT(ADDRESS(4+(ROW()-3)*2,$D$2,1,1,"Centrum")))</f>
        <v>0</v>
      </c>
      <c r="E8" s="276" t="str">
        <f ca="1">IF(TYPE(VLOOKUP(C8,Centrum!$A$3:$C$130,3,0))&gt;3," - ",VLOOKUP(C8,Centrum!$A$3:$C$130,3,0))</f>
        <v xml:space="preserve"> - </v>
      </c>
      <c r="F8" s="276" t="str">
        <f ca="1">IF(TYPE(VLOOKUP(D8,Centrum!$A$3:$C$130,3,0))&gt;3," - ",VLOOKUP(D8,Centrum!$A$3:$C$130,3,0))</f>
        <v xml:space="preserve"> - </v>
      </c>
      <c r="G8" s="439">
        <f ca="1">IF(ROW()-2&gt;Start.listina!$O$7,"",ROW()-2)</f>
        <v>6</v>
      </c>
      <c r="H8" s="272"/>
      <c r="I8" s="274"/>
      <c r="K8" s="275" t="str">
        <f t="shared" ca="1" si="0"/>
        <v/>
      </c>
      <c r="L8" s="275" t="str">
        <f t="shared" ca="1" si="1"/>
        <v/>
      </c>
      <c r="M8" s="275">
        <f t="shared" ca="1" si="2"/>
        <v>0</v>
      </c>
      <c r="N8" s="275">
        <f t="shared" ca="1" si="6"/>
        <v>0</v>
      </c>
      <c r="O8" s="275" t="str">
        <f t="shared" ca="1" si="3"/>
        <v/>
      </c>
      <c r="P8" s="275">
        <f t="shared" ca="1" si="4"/>
        <v>0</v>
      </c>
      <c r="Q8" s="282">
        <f t="shared" ca="1" si="5"/>
        <v>0</v>
      </c>
    </row>
    <row r="9" spans="3:35" ht="21" x14ac:dyDescent="0.4">
      <c r="C9" s="278">
        <f ca="1">IF(ROW()-2&gt;Start.listina!$O$7,"",INDIRECT(ADDRESS(3+(ROW()-3)*2,$D$2,1,1,"Centrum")))</f>
        <v>0</v>
      </c>
      <c r="D9" s="278">
        <f ca="1">IF(ROW()-2&gt;Start.listina!$O$7,"",INDIRECT(ADDRESS(4+(ROW()-3)*2,$D$2,1,1,"Centrum")))</f>
        <v>0</v>
      </c>
      <c r="E9" s="276" t="str">
        <f ca="1">IF(TYPE(VLOOKUP(C9,Centrum!$A$3:$C$130,3,0))&gt;3," - ",VLOOKUP(C9,Centrum!$A$3:$C$130,3,0))</f>
        <v xml:space="preserve"> - </v>
      </c>
      <c r="F9" s="276" t="str">
        <f ca="1">IF(TYPE(VLOOKUP(D9,Centrum!$A$3:$C$130,3,0))&gt;3," - ",VLOOKUP(D9,Centrum!$A$3:$C$130,3,0))</f>
        <v xml:space="preserve"> - </v>
      </c>
      <c r="G9" s="439">
        <f ca="1">IF(ROW()-2&gt;Start.listina!$O$7,"",ROW()-2)</f>
        <v>7</v>
      </c>
      <c r="H9" s="272"/>
      <c r="I9" s="274"/>
      <c r="K9" s="275" t="str">
        <f t="shared" ca="1" si="0"/>
        <v/>
      </c>
      <c r="L9" s="275" t="str">
        <f t="shared" ca="1" si="1"/>
        <v/>
      </c>
      <c r="M9" s="275">
        <f t="shared" ca="1" si="2"/>
        <v>0</v>
      </c>
      <c r="N9" s="275">
        <f t="shared" ca="1" si="6"/>
        <v>0</v>
      </c>
      <c r="O9" s="275" t="str">
        <f t="shared" ca="1" si="3"/>
        <v/>
      </c>
      <c r="P9" s="275">
        <f t="shared" ca="1" si="4"/>
        <v>0</v>
      </c>
      <c r="Q9" s="282">
        <f t="shared" ca="1" si="5"/>
        <v>0</v>
      </c>
    </row>
    <row r="10" spans="3:35" ht="21" x14ac:dyDescent="0.4">
      <c r="C10" s="278">
        <f ca="1">IF(ROW()-2&gt;Start.listina!$O$7,"",INDIRECT(ADDRESS(3+(ROW()-3)*2,$D$2,1,1,"Centrum")))</f>
        <v>0</v>
      </c>
      <c r="D10" s="278">
        <f ca="1">IF(ROW()-2&gt;Start.listina!$O$7,"",INDIRECT(ADDRESS(4+(ROW()-3)*2,$D$2,1,1,"Centrum")))</f>
        <v>0</v>
      </c>
      <c r="E10" s="276" t="str">
        <f ca="1">IF(TYPE(VLOOKUP(C10,Centrum!$A$3:$C$130,3,0))&gt;3," - ",VLOOKUP(C10,Centrum!$A$3:$C$130,3,0))</f>
        <v xml:space="preserve"> - </v>
      </c>
      <c r="F10" s="276" t="str">
        <f ca="1">IF(TYPE(VLOOKUP(D10,Centrum!$A$3:$C$130,3,0))&gt;3," - ",VLOOKUP(D10,Centrum!$A$3:$C$130,3,0))</f>
        <v xml:space="preserve"> - </v>
      </c>
      <c r="G10" s="439">
        <f ca="1">IF(ROW()-2&gt;Start.listina!$O$7,"",ROW()-2)</f>
        <v>8</v>
      </c>
      <c r="H10" s="272"/>
      <c r="I10" s="274"/>
      <c r="K10" s="275" t="str">
        <f t="shared" ca="1" si="0"/>
        <v/>
      </c>
      <c r="L10" s="275" t="str">
        <f t="shared" ca="1" si="1"/>
        <v/>
      </c>
      <c r="M10" s="275">
        <f t="shared" ca="1" si="2"/>
        <v>0</v>
      </c>
      <c r="N10" s="275">
        <f t="shared" ca="1" si="6"/>
        <v>0</v>
      </c>
      <c r="O10" s="275" t="str">
        <f t="shared" ca="1" si="3"/>
        <v/>
      </c>
      <c r="P10" s="275">
        <f t="shared" ca="1" si="4"/>
        <v>0</v>
      </c>
      <c r="Q10" s="282">
        <f t="shared" ca="1" si="5"/>
        <v>0</v>
      </c>
    </row>
    <row r="11" spans="3:35" ht="21" x14ac:dyDescent="0.4">
      <c r="C11" s="278">
        <f ca="1">IF(ROW()-2&gt;Start.listina!$O$7,"",INDIRECT(ADDRESS(3+(ROW()-3)*2,$D$2,1,1,"Centrum")))</f>
        <v>0</v>
      </c>
      <c r="D11" s="278">
        <f ca="1">IF(ROW()-2&gt;Start.listina!$O$7,"",INDIRECT(ADDRESS(4+(ROW()-3)*2,$D$2,1,1,"Centrum")))</f>
        <v>0</v>
      </c>
      <c r="E11" s="276" t="str">
        <f ca="1">IF(TYPE(VLOOKUP(C11,Centrum!$A$3:$C$130,3,0))&gt;3," - ",VLOOKUP(C11,Centrum!$A$3:$C$130,3,0))</f>
        <v xml:space="preserve"> - </v>
      </c>
      <c r="F11" s="276" t="str">
        <f ca="1">IF(TYPE(VLOOKUP(D11,Centrum!$A$3:$C$130,3,0))&gt;3," - ",VLOOKUP(D11,Centrum!$A$3:$C$130,3,0))</f>
        <v xml:space="preserve"> - </v>
      </c>
      <c r="G11" s="439">
        <f ca="1">IF(ROW()-2&gt;Start.listina!$O$7,"",ROW()-2)</f>
        <v>9</v>
      </c>
      <c r="H11" s="272"/>
      <c r="I11" s="274"/>
      <c r="K11" s="275" t="str">
        <f t="shared" ca="1" si="0"/>
        <v/>
      </c>
      <c r="L11" s="275" t="str">
        <f t="shared" ca="1" si="1"/>
        <v/>
      </c>
      <c r="M11" s="275">
        <f t="shared" ca="1" si="2"/>
        <v>0</v>
      </c>
      <c r="N11" s="275">
        <f t="shared" ca="1" si="6"/>
        <v>0</v>
      </c>
      <c r="O11" s="275" t="str">
        <f t="shared" ca="1" si="3"/>
        <v/>
      </c>
      <c r="P11" s="275">
        <f t="shared" ca="1" si="4"/>
        <v>0</v>
      </c>
      <c r="Q11" s="282">
        <f t="shared" ca="1" si="5"/>
        <v>0</v>
      </c>
    </row>
    <row r="12" spans="3:35" ht="21" x14ac:dyDescent="0.4">
      <c r="C12" s="278">
        <f ca="1">IF(ROW()-2&gt;Start.listina!$O$7,"",INDIRECT(ADDRESS(3+(ROW()-3)*2,$D$2,1,1,"Centrum")))</f>
        <v>0</v>
      </c>
      <c r="D12" s="278">
        <f ca="1">IF(ROW()-2&gt;Start.listina!$O$7,"",INDIRECT(ADDRESS(4+(ROW()-3)*2,$D$2,1,1,"Centrum")))</f>
        <v>0</v>
      </c>
      <c r="E12" s="276" t="str">
        <f ca="1">IF(TYPE(VLOOKUP(C12,Centrum!$A$3:$C$130,3,0))&gt;3," - ",VLOOKUP(C12,Centrum!$A$3:$C$130,3,0))</f>
        <v xml:space="preserve"> - </v>
      </c>
      <c r="F12" s="276" t="str">
        <f ca="1">IF(TYPE(VLOOKUP(D12,Centrum!$A$3:$C$130,3,0))&gt;3," - ",VLOOKUP(D12,Centrum!$A$3:$C$130,3,0))</f>
        <v xml:space="preserve"> - </v>
      </c>
      <c r="G12" s="439">
        <f ca="1">IF(ROW()-2&gt;Start.listina!$O$7,"",ROW()-2)</f>
        <v>10</v>
      </c>
      <c r="H12" s="272"/>
      <c r="I12" s="274"/>
      <c r="K12" s="275" t="str">
        <f t="shared" ca="1" si="0"/>
        <v/>
      </c>
      <c r="L12" s="275" t="str">
        <f t="shared" ca="1" si="1"/>
        <v/>
      </c>
      <c r="M12" s="275">
        <f t="shared" ca="1" si="2"/>
        <v>0</v>
      </c>
      <c r="N12" s="275">
        <f t="shared" ca="1" si="6"/>
        <v>0</v>
      </c>
      <c r="O12" s="275" t="str">
        <f t="shared" ca="1" si="3"/>
        <v/>
      </c>
      <c r="P12" s="275">
        <f t="shared" ca="1" si="4"/>
        <v>0</v>
      </c>
      <c r="Q12" s="282">
        <f t="shared" ca="1" si="5"/>
        <v>0</v>
      </c>
    </row>
    <row r="13" spans="3:35" ht="21" x14ac:dyDescent="0.4">
      <c r="C13" s="278">
        <f ca="1">IF(ROW()-2&gt;Start.listina!$O$7,"",INDIRECT(ADDRESS(3+(ROW()-3)*2,$D$2,1,1,"Centrum")))</f>
        <v>0</v>
      </c>
      <c r="D13" s="278">
        <f ca="1">IF(ROW()-2&gt;Start.listina!$O$7,"",INDIRECT(ADDRESS(4+(ROW()-3)*2,$D$2,1,1,"Centrum")))</f>
        <v>0</v>
      </c>
      <c r="E13" s="276" t="str">
        <f ca="1">IF(TYPE(VLOOKUP(C13,Centrum!$A$3:$C$130,3,0))&gt;3," - ",VLOOKUP(C13,Centrum!$A$3:$C$130,3,0))</f>
        <v xml:space="preserve"> - </v>
      </c>
      <c r="F13" s="276" t="str">
        <f ca="1">IF(TYPE(VLOOKUP(D13,Centrum!$A$3:$C$130,3,0))&gt;3," - ",VLOOKUP(D13,Centrum!$A$3:$C$130,3,0))</f>
        <v xml:space="preserve"> - </v>
      </c>
      <c r="G13" s="439">
        <f ca="1">IF(ROW()-2&gt;Start.listina!$O$7,"",ROW()-2)</f>
        <v>11</v>
      </c>
      <c r="H13" s="272"/>
      <c r="I13" s="274"/>
      <c r="K13" s="275" t="str">
        <f t="shared" ca="1" si="0"/>
        <v/>
      </c>
      <c r="L13" s="275" t="str">
        <f t="shared" ca="1" si="1"/>
        <v/>
      </c>
      <c r="M13" s="275">
        <f t="shared" ca="1" si="2"/>
        <v>0</v>
      </c>
      <c r="N13" s="275">
        <f t="shared" ca="1" si="6"/>
        <v>0</v>
      </c>
      <c r="O13" s="275" t="str">
        <f t="shared" ca="1" si="3"/>
        <v/>
      </c>
      <c r="P13" s="275">
        <f t="shared" ca="1" si="4"/>
        <v>0</v>
      </c>
      <c r="Q13" s="282">
        <f t="shared" ca="1" si="5"/>
        <v>0</v>
      </c>
    </row>
    <row r="14" spans="3:35" ht="21" x14ac:dyDescent="0.4">
      <c r="C14" s="278">
        <f ca="1">IF(ROW()-2&gt;Start.listina!$O$7,"",INDIRECT(ADDRESS(3+(ROW()-3)*2,$D$2,1,1,"Centrum")))</f>
        <v>0</v>
      </c>
      <c r="D14" s="278">
        <f ca="1">IF(ROW()-2&gt;Start.listina!$O$7,"",INDIRECT(ADDRESS(4+(ROW()-3)*2,$D$2,1,1,"Centrum")))</f>
        <v>0</v>
      </c>
      <c r="E14" s="276" t="str">
        <f ca="1">IF(TYPE(VLOOKUP(C14,Centrum!$A$3:$C$130,3,0))&gt;3," - ",VLOOKUP(C14,Centrum!$A$3:$C$130,3,0))</f>
        <v xml:space="preserve"> - </v>
      </c>
      <c r="F14" s="276" t="str">
        <f ca="1">IF(TYPE(VLOOKUP(D14,Centrum!$A$3:$C$130,3,0))&gt;3," - ",VLOOKUP(D14,Centrum!$A$3:$C$130,3,0))</f>
        <v xml:space="preserve"> - </v>
      </c>
      <c r="G14" s="439">
        <f ca="1">IF(ROW()-2&gt;Start.listina!$O$7,"",ROW()-2)</f>
        <v>12</v>
      </c>
      <c r="H14" s="272"/>
      <c r="I14" s="274"/>
      <c r="K14" s="275" t="str">
        <f t="shared" ca="1" si="0"/>
        <v/>
      </c>
      <c r="L14" s="275" t="str">
        <f t="shared" ca="1" si="1"/>
        <v/>
      </c>
      <c r="M14" s="275">
        <f t="shared" ca="1" si="2"/>
        <v>0</v>
      </c>
      <c r="N14" s="275">
        <f t="shared" ca="1" si="6"/>
        <v>0</v>
      </c>
      <c r="O14" s="275" t="str">
        <f t="shared" ca="1" si="3"/>
        <v/>
      </c>
      <c r="P14" s="275">
        <f t="shared" ca="1" si="4"/>
        <v>0</v>
      </c>
      <c r="Q14" s="282">
        <f t="shared" ca="1" si="5"/>
        <v>0</v>
      </c>
    </row>
    <row r="15" spans="3:35" ht="21" x14ac:dyDescent="0.4">
      <c r="C15" s="278">
        <f ca="1">IF(ROW()-2&gt;Start.listina!$O$7,"",INDIRECT(ADDRESS(3+(ROW()-3)*2,$D$2,1,1,"Centrum")))</f>
        <v>0</v>
      </c>
      <c r="D15" s="278">
        <f ca="1">IF(ROW()-2&gt;Start.listina!$O$7,"",INDIRECT(ADDRESS(4+(ROW()-3)*2,$D$2,1,1,"Centrum")))</f>
        <v>0</v>
      </c>
      <c r="E15" s="276" t="str">
        <f ca="1">IF(TYPE(VLOOKUP(C15,Centrum!$A$3:$C$130,3,0))&gt;3," - ",VLOOKUP(C15,Centrum!$A$3:$C$130,3,0))</f>
        <v xml:space="preserve"> - </v>
      </c>
      <c r="F15" s="276" t="str">
        <f ca="1">IF(TYPE(VLOOKUP(D15,Centrum!$A$3:$C$130,3,0))&gt;3," - ",VLOOKUP(D15,Centrum!$A$3:$C$130,3,0))</f>
        <v xml:space="preserve"> - </v>
      </c>
      <c r="G15" s="439">
        <f ca="1">IF(ROW()-2&gt;Start.listina!$O$7,"",ROW()-2)</f>
        <v>13</v>
      </c>
      <c r="H15" s="272"/>
      <c r="I15" s="274"/>
      <c r="K15" s="275" t="str">
        <f t="shared" ca="1" si="0"/>
        <v/>
      </c>
      <c r="L15" s="275" t="str">
        <f t="shared" ca="1" si="1"/>
        <v/>
      </c>
      <c r="M15" s="275">
        <f t="shared" ca="1" si="2"/>
        <v>0</v>
      </c>
      <c r="N15" s="275">
        <f t="shared" ca="1" si="6"/>
        <v>0</v>
      </c>
      <c r="O15" s="275" t="str">
        <f t="shared" ca="1" si="3"/>
        <v/>
      </c>
      <c r="P15" s="275">
        <f t="shared" ca="1" si="4"/>
        <v>0</v>
      </c>
      <c r="Q15" s="282">
        <f t="shared" ca="1" si="5"/>
        <v>0</v>
      </c>
    </row>
    <row r="16" spans="3:35" ht="21" x14ac:dyDescent="0.4">
      <c r="C16" s="278">
        <f ca="1">IF(ROW()-2&gt;Start.listina!$O$7,"",INDIRECT(ADDRESS(3+(ROW()-3)*2,$D$2,1,1,"Centrum")))</f>
        <v>0</v>
      </c>
      <c r="D16" s="278">
        <f ca="1">IF(ROW()-2&gt;Start.listina!$O$7,"",INDIRECT(ADDRESS(4+(ROW()-3)*2,$D$2,1,1,"Centrum")))</f>
        <v>0</v>
      </c>
      <c r="E16" s="276" t="str">
        <f ca="1">IF(TYPE(VLOOKUP(C16,Centrum!$A$3:$C$130,3,0))&gt;3," - ",VLOOKUP(C16,Centrum!$A$3:$C$130,3,0))</f>
        <v xml:space="preserve"> - </v>
      </c>
      <c r="F16" s="276" t="str">
        <f ca="1">IF(TYPE(VLOOKUP(D16,Centrum!$A$3:$C$130,3,0))&gt;3," - ",VLOOKUP(D16,Centrum!$A$3:$C$130,3,0))</f>
        <v xml:space="preserve"> - </v>
      </c>
      <c r="G16" s="439">
        <f ca="1">IF(ROW()-2&gt;Start.listina!$O$7,"",ROW()-2)</f>
        <v>14</v>
      </c>
      <c r="H16" s="272"/>
      <c r="I16" s="274"/>
      <c r="K16" s="275" t="str">
        <f t="shared" ca="1" si="0"/>
        <v/>
      </c>
      <c r="L16" s="275" t="str">
        <f t="shared" ca="1" si="1"/>
        <v/>
      </c>
      <c r="M16" s="275">
        <f t="shared" ca="1" si="2"/>
        <v>0</v>
      </c>
      <c r="N16" s="275">
        <f t="shared" ca="1" si="6"/>
        <v>0</v>
      </c>
      <c r="O16" s="275" t="str">
        <f t="shared" ca="1" si="3"/>
        <v/>
      </c>
      <c r="P16" s="275">
        <f t="shared" ca="1" si="4"/>
        <v>0</v>
      </c>
      <c r="Q16" s="282">
        <f t="shared" ca="1" si="5"/>
        <v>0</v>
      </c>
    </row>
    <row r="17" spans="3:17" ht="21" x14ac:dyDescent="0.4">
      <c r="C17" s="278">
        <f ca="1">IF(ROW()-2&gt;Start.listina!$O$7,"",INDIRECT(ADDRESS(3+(ROW()-3)*2,$D$2,1,1,"Centrum")))</f>
        <v>0</v>
      </c>
      <c r="D17" s="278">
        <f ca="1">IF(ROW()-2&gt;Start.listina!$O$7,"",INDIRECT(ADDRESS(4+(ROW()-3)*2,$D$2,1,1,"Centrum")))</f>
        <v>0</v>
      </c>
      <c r="E17" s="276" t="str">
        <f ca="1">IF(TYPE(VLOOKUP(C17,Centrum!$A$3:$C$130,3,0))&gt;3," - ",VLOOKUP(C17,Centrum!$A$3:$C$130,3,0))</f>
        <v xml:space="preserve"> - </v>
      </c>
      <c r="F17" s="276" t="str">
        <f ca="1">IF(TYPE(VLOOKUP(D17,Centrum!$A$3:$C$130,3,0))&gt;3," - ",VLOOKUP(D17,Centrum!$A$3:$C$130,3,0))</f>
        <v xml:space="preserve"> - </v>
      </c>
      <c r="G17" s="439">
        <f ca="1">IF(ROW()-2&gt;Start.listina!$O$7,"",ROW()-2)</f>
        <v>15</v>
      </c>
      <c r="H17" s="272"/>
      <c r="I17" s="274"/>
      <c r="K17" s="275" t="str">
        <f t="shared" ca="1" si="0"/>
        <v/>
      </c>
      <c r="L17" s="275" t="str">
        <f t="shared" ca="1" si="1"/>
        <v/>
      </c>
      <c r="M17" s="275">
        <f t="shared" ca="1" si="2"/>
        <v>0</v>
      </c>
      <c r="N17" s="275">
        <f t="shared" ca="1" si="6"/>
        <v>0</v>
      </c>
      <c r="O17" s="275" t="str">
        <f t="shared" ca="1" si="3"/>
        <v/>
      </c>
      <c r="P17" s="275">
        <f t="shared" ca="1" si="4"/>
        <v>0</v>
      </c>
      <c r="Q17" s="282">
        <f t="shared" ca="1" si="5"/>
        <v>0</v>
      </c>
    </row>
    <row r="18" spans="3:17" ht="21" x14ac:dyDescent="0.4">
      <c r="C18" s="278">
        <f ca="1">IF(ROW()-2&gt;Start.listina!$O$7,"",INDIRECT(ADDRESS(3+(ROW()-3)*2,$D$2,1,1,"Centrum")))</f>
        <v>0</v>
      </c>
      <c r="D18" s="278">
        <f ca="1">IF(ROW()-2&gt;Start.listina!$O$7,"",INDIRECT(ADDRESS(4+(ROW()-3)*2,$D$2,1,1,"Centrum")))</f>
        <v>0</v>
      </c>
      <c r="E18" s="276" t="str">
        <f ca="1">IF(TYPE(VLOOKUP(C18,Centrum!$A$3:$C$130,3,0))&gt;3," - ",VLOOKUP(C18,Centrum!$A$3:$C$130,3,0))</f>
        <v xml:space="preserve"> - </v>
      </c>
      <c r="F18" s="276" t="str">
        <f ca="1">IF(TYPE(VLOOKUP(D18,Centrum!$A$3:$C$130,3,0))&gt;3," - ",VLOOKUP(D18,Centrum!$A$3:$C$130,3,0))</f>
        <v xml:space="preserve"> - </v>
      </c>
      <c r="G18" s="439">
        <f ca="1">IF(ROW()-2&gt;Start.listina!$O$7,"",ROW()-2)</f>
        <v>16</v>
      </c>
      <c r="H18" s="272"/>
      <c r="I18" s="274"/>
      <c r="K18" s="275" t="str">
        <f t="shared" ca="1" si="0"/>
        <v/>
      </c>
      <c r="L18" s="275" t="str">
        <f t="shared" ca="1" si="1"/>
        <v/>
      </c>
      <c r="M18" s="275">
        <f t="shared" ca="1" si="2"/>
        <v>0</v>
      </c>
      <c r="N18" s="275">
        <f t="shared" ca="1" si="6"/>
        <v>0</v>
      </c>
      <c r="O18" s="275" t="str">
        <f t="shared" ca="1" si="3"/>
        <v/>
      </c>
      <c r="P18" s="275">
        <f t="shared" ca="1" si="4"/>
        <v>0</v>
      </c>
      <c r="Q18" s="282">
        <f t="shared" ca="1" si="5"/>
        <v>0</v>
      </c>
    </row>
    <row r="19" spans="3:17" ht="21" x14ac:dyDescent="0.4">
      <c r="C19" s="278">
        <f ca="1">IF(ROW()-2&gt;Start.listina!$O$7,"",INDIRECT(ADDRESS(3+(ROW()-3)*2,$D$2,1,1,"Centrum")))</f>
        <v>0</v>
      </c>
      <c r="D19" s="278">
        <f ca="1">IF(ROW()-2&gt;Start.listina!$O$7,"",INDIRECT(ADDRESS(4+(ROW()-3)*2,$D$2,1,1,"Centrum")))</f>
        <v>0</v>
      </c>
      <c r="E19" s="276" t="str">
        <f ca="1">IF(TYPE(VLOOKUP(C19,Centrum!$A$3:$C$130,3,0))&gt;3," - ",VLOOKUP(C19,Centrum!$A$3:$C$130,3,0))</f>
        <v xml:space="preserve"> - </v>
      </c>
      <c r="F19" s="276" t="str">
        <f ca="1">IF(TYPE(VLOOKUP(D19,Centrum!$A$3:$C$130,3,0))&gt;3," - ",VLOOKUP(D19,Centrum!$A$3:$C$130,3,0))</f>
        <v xml:space="preserve"> - </v>
      </c>
      <c r="G19" s="439">
        <f ca="1">IF(ROW()-2&gt;Start.listina!$O$7,"",ROW()-2)</f>
        <v>17</v>
      </c>
      <c r="H19" s="272"/>
      <c r="I19" s="274"/>
      <c r="K19" s="275" t="str">
        <f t="shared" ca="1" si="0"/>
        <v/>
      </c>
      <c r="L19" s="275" t="str">
        <f t="shared" ca="1" si="1"/>
        <v/>
      </c>
      <c r="M19" s="275">
        <f t="shared" ca="1" si="2"/>
        <v>0</v>
      </c>
      <c r="N19" s="275">
        <f t="shared" ca="1" si="6"/>
        <v>0</v>
      </c>
      <c r="O19" s="275" t="str">
        <f t="shared" ca="1" si="3"/>
        <v/>
      </c>
      <c r="P19" s="275">
        <f t="shared" ca="1" si="4"/>
        <v>0</v>
      </c>
      <c r="Q19" s="282">
        <f t="shared" ca="1" si="5"/>
        <v>0</v>
      </c>
    </row>
    <row r="20" spans="3:17" ht="21" x14ac:dyDescent="0.4">
      <c r="C20" s="278">
        <f ca="1">IF(ROW()-2&gt;Start.listina!$O$7,"",INDIRECT(ADDRESS(3+(ROW()-3)*2,$D$2,1,1,"Centrum")))</f>
        <v>0</v>
      </c>
      <c r="D20" s="278">
        <f ca="1">IF(ROW()-2&gt;Start.listina!$O$7,"",INDIRECT(ADDRESS(4+(ROW()-3)*2,$D$2,1,1,"Centrum")))</f>
        <v>0</v>
      </c>
      <c r="E20" s="276" t="str">
        <f ca="1">IF(TYPE(VLOOKUP(C20,Centrum!$A$3:$C$130,3,0))&gt;3," - ",VLOOKUP(C20,Centrum!$A$3:$C$130,3,0))</f>
        <v xml:space="preserve"> - </v>
      </c>
      <c r="F20" s="276" t="str">
        <f ca="1">IF(TYPE(VLOOKUP(D20,Centrum!$A$3:$C$130,3,0))&gt;3," - ",VLOOKUP(D20,Centrum!$A$3:$C$130,3,0))</f>
        <v xml:space="preserve"> - </v>
      </c>
      <c r="G20" s="439">
        <f ca="1">IF(ROW()-2&gt;Start.listina!$O$7,"",ROW()-2)</f>
        <v>18</v>
      </c>
      <c r="H20" s="272"/>
      <c r="I20" s="274"/>
      <c r="K20" s="275" t="str">
        <f t="shared" ca="1" si="0"/>
        <v/>
      </c>
      <c r="L20" s="275" t="str">
        <f t="shared" ca="1" si="1"/>
        <v/>
      </c>
      <c r="M20" s="275">
        <f t="shared" ca="1" si="2"/>
        <v>0</v>
      </c>
      <c r="N20" s="275">
        <f t="shared" ca="1" si="6"/>
        <v>0</v>
      </c>
      <c r="O20" s="275" t="str">
        <f t="shared" ca="1" si="3"/>
        <v/>
      </c>
      <c r="P20" s="275">
        <f t="shared" ca="1" si="4"/>
        <v>0</v>
      </c>
      <c r="Q20" s="282">
        <f t="shared" ca="1" si="5"/>
        <v>0</v>
      </c>
    </row>
    <row r="21" spans="3:17" ht="21" x14ac:dyDescent="0.4">
      <c r="C21" s="278">
        <f ca="1">IF(ROW()-2&gt;Start.listina!$O$7,"",INDIRECT(ADDRESS(3+(ROW()-3)*2,$D$2,1,1,"Centrum")))</f>
        <v>0</v>
      </c>
      <c r="D21" s="278">
        <f ca="1">IF(ROW()-2&gt;Start.listina!$O$7,"",INDIRECT(ADDRESS(4+(ROW()-3)*2,$D$2,1,1,"Centrum")))</f>
        <v>0</v>
      </c>
      <c r="E21" s="276" t="str">
        <f ca="1">IF(TYPE(VLOOKUP(C21,Centrum!$A$3:$C$130,3,0))&gt;3," - ",VLOOKUP(C21,Centrum!$A$3:$C$130,3,0))</f>
        <v xml:space="preserve"> - </v>
      </c>
      <c r="F21" s="276" t="str">
        <f ca="1">IF(TYPE(VLOOKUP(D21,Centrum!$A$3:$C$130,3,0))&gt;3," - ",VLOOKUP(D21,Centrum!$A$3:$C$130,3,0))</f>
        <v xml:space="preserve"> - </v>
      </c>
      <c r="G21" s="439">
        <f ca="1">IF(ROW()-2&gt;Start.listina!$O$7,"",ROW()-2)</f>
        <v>19</v>
      </c>
      <c r="H21" s="272"/>
      <c r="I21" s="274"/>
      <c r="K21" s="275" t="str">
        <f t="shared" ca="1" si="0"/>
        <v/>
      </c>
      <c r="L21" s="275" t="str">
        <f t="shared" ca="1" si="1"/>
        <v/>
      </c>
      <c r="M21" s="275">
        <f t="shared" ca="1" si="2"/>
        <v>0</v>
      </c>
      <c r="N21" s="275">
        <f t="shared" ca="1" si="6"/>
        <v>0</v>
      </c>
      <c r="O21" s="275" t="str">
        <f t="shared" ca="1" si="3"/>
        <v/>
      </c>
      <c r="P21" s="275">
        <f t="shared" ca="1" si="4"/>
        <v>0</v>
      </c>
      <c r="Q21" s="282">
        <f t="shared" ca="1" si="5"/>
        <v>0</v>
      </c>
    </row>
    <row r="22" spans="3:17" ht="21" x14ac:dyDescent="0.4">
      <c r="C22" s="278">
        <f ca="1">IF(ROW()-2&gt;Start.listina!$O$7,"",INDIRECT(ADDRESS(3+(ROW()-3)*2,$D$2,1,1,"Centrum")))</f>
        <v>0</v>
      </c>
      <c r="D22" s="278">
        <f ca="1">IF(ROW()-2&gt;Start.listina!$O$7,"",INDIRECT(ADDRESS(4+(ROW()-3)*2,$D$2,1,1,"Centrum")))</f>
        <v>0</v>
      </c>
      <c r="E22" s="276" t="str">
        <f ca="1">IF(TYPE(VLOOKUP(C22,Centrum!$A$3:$C$130,3,0))&gt;3," - ",VLOOKUP(C22,Centrum!$A$3:$C$130,3,0))</f>
        <v xml:space="preserve"> - </v>
      </c>
      <c r="F22" s="276" t="str">
        <f ca="1">IF(TYPE(VLOOKUP(D22,Centrum!$A$3:$C$130,3,0))&gt;3," - ",VLOOKUP(D22,Centrum!$A$3:$C$130,3,0))</f>
        <v xml:space="preserve"> - </v>
      </c>
      <c r="G22" s="439">
        <f ca="1">IF(ROW()-2&gt;Start.listina!$O$7,"",ROW()-2)</f>
        <v>20</v>
      </c>
      <c r="H22" s="272"/>
      <c r="I22" s="274"/>
      <c r="K22" s="275" t="str">
        <f t="shared" ca="1" si="0"/>
        <v/>
      </c>
      <c r="L22" s="275" t="str">
        <f t="shared" ca="1" si="1"/>
        <v/>
      </c>
      <c r="M22" s="275">
        <f t="shared" ca="1" si="2"/>
        <v>0</v>
      </c>
      <c r="N22" s="275">
        <f t="shared" ca="1" si="6"/>
        <v>0</v>
      </c>
      <c r="O22" s="275" t="str">
        <f t="shared" ca="1" si="3"/>
        <v/>
      </c>
      <c r="P22" s="275">
        <f t="shared" ca="1" si="4"/>
        <v>0</v>
      </c>
      <c r="Q22" s="282">
        <f t="shared" ca="1" si="5"/>
        <v>0</v>
      </c>
    </row>
    <row r="23" spans="3:17" ht="21" x14ac:dyDescent="0.4">
      <c r="C23" s="278">
        <f ca="1">IF(ROW()-2&gt;Start.listina!$O$7,"",INDIRECT(ADDRESS(3+(ROW()-3)*2,$D$2,1,1,"Centrum")))</f>
        <v>0</v>
      </c>
      <c r="D23" s="278">
        <f ca="1">IF(ROW()-2&gt;Start.listina!$O$7,"",INDIRECT(ADDRESS(4+(ROW()-3)*2,$D$2,1,1,"Centrum")))</f>
        <v>0</v>
      </c>
      <c r="E23" s="276" t="str">
        <f ca="1">IF(TYPE(VLOOKUP(C23,Centrum!$A$3:$C$130,3,0))&gt;3," - ",VLOOKUP(C23,Centrum!$A$3:$C$130,3,0))</f>
        <v xml:space="preserve"> - </v>
      </c>
      <c r="F23" s="276" t="str">
        <f ca="1">IF(TYPE(VLOOKUP(D23,Centrum!$A$3:$C$130,3,0))&gt;3," - ",VLOOKUP(D23,Centrum!$A$3:$C$130,3,0))</f>
        <v xml:space="preserve"> - </v>
      </c>
      <c r="G23" s="439">
        <f ca="1">IF(ROW()-2&gt;Start.listina!$O$7,"",ROW()-2)</f>
        <v>21</v>
      </c>
      <c r="H23" s="272"/>
      <c r="I23" s="274"/>
      <c r="K23" s="275" t="str">
        <f t="shared" ca="1" si="0"/>
        <v/>
      </c>
      <c r="L23" s="275" t="str">
        <f t="shared" ca="1" si="1"/>
        <v/>
      </c>
      <c r="M23" s="275">
        <f t="shared" ca="1" si="2"/>
        <v>0</v>
      </c>
      <c r="N23" s="275">
        <f t="shared" ca="1" si="6"/>
        <v>0</v>
      </c>
      <c r="O23" s="275" t="str">
        <f t="shared" ca="1" si="3"/>
        <v/>
      </c>
      <c r="P23" s="275">
        <f t="shared" ca="1" si="4"/>
        <v>0</v>
      </c>
      <c r="Q23" s="282">
        <f t="shared" ca="1" si="5"/>
        <v>0</v>
      </c>
    </row>
    <row r="24" spans="3:17" ht="21" x14ac:dyDescent="0.4">
      <c r="C24" s="278">
        <f ca="1">IF(ROW()-2&gt;Start.listina!$O$7,"",INDIRECT(ADDRESS(3+(ROW()-3)*2,$D$2,1,1,"Centrum")))</f>
        <v>0</v>
      </c>
      <c r="D24" s="278">
        <f ca="1">IF(ROW()-2&gt;Start.listina!$O$7,"",INDIRECT(ADDRESS(4+(ROW()-3)*2,$D$2,1,1,"Centrum")))</f>
        <v>0</v>
      </c>
      <c r="E24" s="276" t="str">
        <f ca="1">IF(TYPE(VLOOKUP(C24,Centrum!$A$3:$C$130,3,0))&gt;3," - ",VLOOKUP(C24,Centrum!$A$3:$C$130,3,0))</f>
        <v xml:space="preserve"> - </v>
      </c>
      <c r="F24" s="276" t="str">
        <f ca="1">IF(TYPE(VLOOKUP(D24,Centrum!$A$3:$C$130,3,0))&gt;3," - ",VLOOKUP(D24,Centrum!$A$3:$C$130,3,0))</f>
        <v xml:space="preserve"> - </v>
      </c>
      <c r="G24" s="439">
        <f ca="1">IF(ROW()-2&gt;Start.listina!$O$7,"",ROW()-2)</f>
        <v>22</v>
      </c>
      <c r="H24" s="272"/>
      <c r="I24" s="274"/>
      <c r="K24" s="275" t="str">
        <f t="shared" ca="1" si="0"/>
        <v/>
      </c>
      <c r="L24" s="275" t="str">
        <f t="shared" ca="1" si="1"/>
        <v/>
      </c>
      <c r="M24" s="275">
        <f t="shared" ca="1" si="2"/>
        <v>0</v>
      </c>
      <c r="N24" s="275">
        <f t="shared" ca="1" si="6"/>
        <v>0</v>
      </c>
      <c r="O24" s="275" t="str">
        <f t="shared" ca="1" si="3"/>
        <v/>
      </c>
      <c r="P24" s="275">
        <f t="shared" ca="1" si="4"/>
        <v>0</v>
      </c>
      <c r="Q24" s="282">
        <f t="shared" ca="1" si="5"/>
        <v>0</v>
      </c>
    </row>
    <row r="25" spans="3:17" ht="21" x14ac:dyDescent="0.4">
      <c r="C25" s="278">
        <f ca="1">IF(ROW()-2&gt;Start.listina!$O$7,"",INDIRECT(ADDRESS(3+(ROW()-3)*2,$D$2,1,1,"Centrum")))</f>
        <v>0</v>
      </c>
      <c r="D25" s="278">
        <f ca="1">IF(ROW()-2&gt;Start.listina!$O$7,"",INDIRECT(ADDRESS(4+(ROW()-3)*2,$D$2,1,1,"Centrum")))</f>
        <v>0</v>
      </c>
      <c r="E25" s="276" t="str">
        <f ca="1">IF(TYPE(VLOOKUP(C25,Centrum!$A$3:$C$130,3,0))&gt;3," - ",VLOOKUP(C25,Centrum!$A$3:$C$130,3,0))</f>
        <v xml:space="preserve"> - </v>
      </c>
      <c r="F25" s="276" t="str">
        <f ca="1">IF(TYPE(VLOOKUP(D25,Centrum!$A$3:$C$130,3,0))&gt;3," - ",VLOOKUP(D25,Centrum!$A$3:$C$130,3,0))</f>
        <v xml:space="preserve"> - </v>
      </c>
      <c r="G25" s="439">
        <f ca="1">IF(ROW()-2&gt;Start.listina!$O$7,"",ROW()-2)</f>
        <v>23</v>
      </c>
      <c r="H25" s="272"/>
      <c r="I25" s="274"/>
      <c r="K25" s="275" t="str">
        <f t="shared" ca="1" si="0"/>
        <v/>
      </c>
      <c r="L25" s="275" t="str">
        <f t="shared" ca="1" si="1"/>
        <v/>
      </c>
      <c r="M25" s="275">
        <f t="shared" ca="1" si="2"/>
        <v>0</v>
      </c>
      <c r="N25" s="275">
        <f t="shared" ca="1" si="6"/>
        <v>0</v>
      </c>
      <c r="O25" s="275" t="str">
        <f t="shared" ca="1" si="3"/>
        <v/>
      </c>
      <c r="P25" s="275">
        <f t="shared" ca="1" si="4"/>
        <v>0</v>
      </c>
      <c r="Q25" s="282">
        <f t="shared" ca="1" si="5"/>
        <v>0</v>
      </c>
    </row>
    <row r="26" spans="3:17" ht="21" x14ac:dyDescent="0.4">
      <c r="C26" s="278">
        <f ca="1">IF(ROW()-2&gt;Start.listina!$O$7,"",INDIRECT(ADDRESS(3+(ROW()-3)*2,$D$2,1,1,"Centrum")))</f>
        <v>0</v>
      </c>
      <c r="D26" s="278">
        <f ca="1">IF(ROW()-2&gt;Start.listina!$O$7,"",INDIRECT(ADDRESS(4+(ROW()-3)*2,$D$2,1,1,"Centrum")))</f>
        <v>0</v>
      </c>
      <c r="E26" s="276" t="str">
        <f ca="1">IF(TYPE(VLOOKUP(C26,Centrum!$A$3:$C$130,3,0))&gt;3," - ",VLOOKUP(C26,Centrum!$A$3:$C$130,3,0))</f>
        <v xml:space="preserve"> - </v>
      </c>
      <c r="F26" s="276" t="str">
        <f ca="1">IF(TYPE(VLOOKUP(D26,Centrum!$A$3:$C$130,3,0))&gt;3," - ",VLOOKUP(D26,Centrum!$A$3:$C$130,3,0))</f>
        <v xml:space="preserve"> - </v>
      </c>
      <c r="G26" s="439">
        <f ca="1">IF(ROW()-2&gt;Start.listina!$O$7,"",ROW()-2)</f>
        <v>24</v>
      </c>
      <c r="H26" s="272"/>
      <c r="I26" s="274"/>
      <c r="K26" s="275" t="str">
        <f t="shared" ca="1" si="0"/>
        <v/>
      </c>
      <c r="L26" s="275" t="str">
        <f t="shared" ca="1" si="1"/>
        <v/>
      </c>
      <c r="M26" s="275">
        <f t="shared" ca="1" si="2"/>
        <v>0</v>
      </c>
      <c r="N26" s="275">
        <f t="shared" ca="1" si="6"/>
        <v>0</v>
      </c>
      <c r="O26" s="275" t="str">
        <f t="shared" ca="1" si="3"/>
        <v/>
      </c>
      <c r="P26" s="275">
        <f t="shared" ca="1" si="4"/>
        <v>0</v>
      </c>
      <c r="Q26" s="282">
        <f t="shared" ca="1" si="5"/>
        <v>0</v>
      </c>
    </row>
    <row r="27" spans="3:17" ht="21" x14ac:dyDescent="0.4">
      <c r="C27" s="278">
        <f ca="1">IF(ROW()-2&gt;Start.listina!$O$7,"",INDIRECT(ADDRESS(3+(ROW()-3)*2,$D$2,1,1,"Centrum")))</f>
        <v>0</v>
      </c>
      <c r="D27" s="278">
        <f ca="1">IF(ROW()-2&gt;Start.listina!$O$7,"",INDIRECT(ADDRESS(4+(ROW()-3)*2,$D$2,1,1,"Centrum")))</f>
        <v>0</v>
      </c>
      <c r="E27" s="276" t="str">
        <f ca="1">IF(TYPE(VLOOKUP(C27,Centrum!$A$3:$C$130,3,0))&gt;3," - ",VLOOKUP(C27,Centrum!$A$3:$C$130,3,0))</f>
        <v xml:space="preserve"> - </v>
      </c>
      <c r="F27" s="276" t="str">
        <f ca="1">IF(TYPE(VLOOKUP(D27,Centrum!$A$3:$C$130,3,0))&gt;3," - ",VLOOKUP(D27,Centrum!$A$3:$C$130,3,0))</f>
        <v xml:space="preserve"> - </v>
      </c>
      <c r="G27" s="439">
        <f ca="1">IF(ROW()-2&gt;Start.listina!$O$7,"",ROW()-2)</f>
        <v>25</v>
      </c>
      <c r="H27" s="272"/>
      <c r="I27" s="274"/>
      <c r="K27" s="275" t="str">
        <f t="shared" ca="1" si="0"/>
        <v/>
      </c>
      <c r="L27" s="275" t="str">
        <f t="shared" ca="1" si="1"/>
        <v/>
      </c>
      <c r="M27" s="275">
        <f t="shared" ca="1" si="2"/>
        <v>0</v>
      </c>
      <c r="N27" s="275">
        <f t="shared" ca="1" si="6"/>
        <v>0</v>
      </c>
      <c r="O27" s="275" t="str">
        <f t="shared" ca="1" si="3"/>
        <v/>
      </c>
      <c r="P27" s="275">
        <f t="shared" ca="1" si="4"/>
        <v>0</v>
      </c>
      <c r="Q27" s="282">
        <f t="shared" ca="1" si="5"/>
        <v>0</v>
      </c>
    </row>
    <row r="28" spans="3:17" ht="21" x14ac:dyDescent="0.4">
      <c r="C28" s="278">
        <f ca="1">IF(ROW()-2&gt;Start.listina!$O$7,"",INDIRECT(ADDRESS(3+(ROW()-3)*2,$D$2,1,1,"Centrum")))</f>
        <v>0</v>
      </c>
      <c r="D28" s="278">
        <f ca="1">IF(ROW()-2&gt;Start.listina!$O$7,"",INDIRECT(ADDRESS(4+(ROW()-3)*2,$D$2,1,1,"Centrum")))</f>
        <v>0</v>
      </c>
      <c r="E28" s="276" t="str">
        <f ca="1">IF(TYPE(VLOOKUP(C28,Centrum!$A$3:$C$130,3,0))&gt;3," - ",VLOOKUP(C28,Centrum!$A$3:$C$130,3,0))</f>
        <v xml:space="preserve"> - </v>
      </c>
      <c r="F28" s="276" t="str">
        <f ca="1">IF(TYPE(VLOOKUP(D28,Centrum!$A$3:$C$130,3,0))&gt;3," - ",VLOOKUP(D28,Centrum!$A$3:$C$130,3,0))</f>
        <v xml:space="preserve"> - </v>
      </c>
      <c r="G28" s="439">
        <f ca="1">IF(ROW()-2&gt;Start.listina!$O$7,"",ROW()-2)</f>
        <v>26</v>
      </c>
      <c r="H28" s="272"/>
      <c r="I28" s="274"/>
      <c r="K28" s="275" t="str">
        <f t="shared" ca="1" si="0"/>
        <v/>
      </c>
      <c r="L28" s="275" t="str">
        <f t="shared" ca="1" si="1"/>
        <v/>
      </c>
      <c r="M28" s="275">
        <f t="shared" ca="1" si="2"/>
        <v>0</v>
      </c>
      <c r="N28" s="275">
        <f t="shared" ca="1" si="6"/>
        <v>0</v>
      </c>
      <c r="O28" s="275" t="str">
        <f t="shared" ca="1" si="3"/>
        <v/>
      </c>
      <c r="P28" s="275">
        <f t="shared" ca="1" si="4"/>
        <v>0</v>
      </c>
      <c r="Q28" s="282">
        <f t="shared" ca="1" si="5"/>
        <v>0</v>
      </c>
    </row>
    <row r="29" spans="3:17" ht="21" x14ac:dyDescent="0.4">
      <c r="C29" s="278">
        <f ca="1">IF(ROW()-2&gt;Start.listina!$O$7,"",INDIRECT(ADDRESS(3+(ROW()-3)*2,$D$2,1,1,"Centrum")))</f>
        <v>0</v>
      </c>
      <c r="D29" s="278">
        <f ca="1">IF(ROW()-2&gt;Start.listina!$O$7,"",INDIRECT(ADDRESS(4+(ROW()-3)*2,$D$2,1,1,"Centrum")))</f>
        <v>0</v>
      </c>
      <c r="E29" s="276" t="str">
        <f ca="1">IF(TYPE(VLOOKUP(C29,Centrum!$A$3:$C$130,3,0))&gt;3," - ",VLOOKUP(C29,Centrum!$A$3:$C$130,3,0))</f>
        <v xml:space="preserve"> - </v>
      </c>
      <c r="F29" s="276" t="str">
        <f ca="1">IF(TYPE(VLOOKUP(D29,Centrum!$A$3:$C$130,3,0))&gt;3," - ",VLOOKUP(D29,Centrum!$A$3:$C$130,3,0))</f>
        <v xml:space="preserve"> - </v>
      </c>
      <c r="G29" s="439">
        <f ca="1">IF(ROW()-2&gt;Start.listina!$O$7,"",ROW()-2)</f>
        <v>27</v>
      </c>
      <c r="H29" s="272"/>
      <c r="I29" s="274"/>
      <c r="K29" s="275" t="str">
        <f t="shared" ca="1" si="0"/>
        <v/>
      </c>
      <c r="L29" s="275" t="str">
        <f t="shared" ca="1" si="1"/>
        <v/>
      </c>
      <c r="M29" s="275">
        <f t="shared" ca="1" si="2"/>
        <v>0</v>
      </c>
      <c r="N29" s="275">
        <f t="shared" ca="1" si="6"/>
        <v>0</v>
      </c>
      <c r="O29" s="275" t="str">
        <f t="shared" ca="1" si="3"/>
        <v/>
      </c>
      <c r="P29" s="275">
        <f t="shared" ca="1" si="4"/>
        <v>0</v>
      </c>
      <c r="Q29" s="282">
        <f t="shared" ca="1" si="5"/>
        <v>0</v>
      </c>
    </row>
    <row r="30" spans="3:17" ht="21" x14ac:dyDescent="0.4">
      <c r="C30" s="278">
        <f ca="1">IF(ROW()-2&gt;Start.listina!$O$7,"",INDIRECT(ADDRESS(3+(ROW()-3)*2,$D$2,1,1,"Centrum")))</f>
        <v>0</v>
      </c>
      <c r="D30" s="278">
        <f ca="1">IF(ROW()-2&gt;Start.listina!$O$7,"",INDIRECT(ADDRESS(4+(ROW()-3)*2,$D$2,1,1,"Centrum")))</f>
        <v>0</v>
      </c>
      <c r="E30" s="276" t="str">
        <f ca="1">IF(TYPE(VLOOKUP(C30,Centrum!$A$3:$C$130,3,0))&gt;3," - ",VLOOKUP(C30,Centrum!$A$3:$C$130,3,0))</f>
        <v xml:space="preserve"> - </v>
      </c>
      <c r="F30" s="276" t="str">
        <f ca="1">IF(TYPE(VLOOKUP(D30,Centrum!$A$3:$C$130,3,0))&gt;3," - ",VLOOKUP(D30,Centrum!$A$3:$C$130,3,0))</f>
        <v xml:space="preserve"> - </v>
      </c>
      <c r="G30" s="439">
        <f ca="1">IF(ROW()-2&gt;Start.listina!$O$7,"",ROW()-2)</f>
        <v>28</v>
      </c>
      <c r="H30" s="272"/>
      <c r="I30" s="274"/>
      <c r="K30" s="275" t="str">
        <f t="shared" ca="1" si="0"/>
        <v/>
      </c>
      <c r="L30" s="275" t="str">
        <f t="shared" ca="1" si="1"/>
        <v/>
      </c>
      <c r="M30" s="275">
        <f t="shared" ca="1" si="2"/>
        <v>0</v>
      </c>
      <c r="N30" s="275">
        <f t="shared" ca="1" si="6"/>
        <v>0</v>
      </c>
      <c r="O30" s="275" t="str">
        <f t="shared" ca="1" si="3"/>
        <v/>
      </c>
      <c r="P30" s="275">
        <f t="shared" ca="1" si="4"/>
        <v>0</v>
      </c>
      <c r="Q30" s="282">
        <f t="shared" ca="1" si="5"/>
        <v>0</v>
      </c>
    </row>
    <row r="31" spans="3:17" ht="21" x14ac:dyDescent="0.4">
      <c r="C31" s="278">
        <f ca="1">IF(ROW()-2&gt;Start.listina!$O$7,"",INDIRECT(ADDRESS(3+(ROW()-3)*2,$D$2,1,1,"Centrum")))</f>
        <v>0</v>
      </c>
      <c r="D31" s="278">
        <f ca="1">IF(ROW()-2&gt;Start.listina!$O$7,"",INDIRECT(ADDRESS(4+(ROW()-3)*2,$D$2,1,1,"Centrum")))</f>
        <v>0</v>
      </c>
      <c r="E31" s="276" t="str">
        <f ca="1">IF(TYPE(VLOOKUP(C31,Centrum!$A$3:$C$130,3,0))&gt;3," - ",VLOOKUP(C31,Centrum!$A$3:$C$130,3,0))</f>
        <v xml:space="preserve"> - </v>
      </c>
      <c r="F31" s="276" t="str">
        <f ca="1">IF(TYPE(VLOOKUP(D31,Centrum!$A$3:$C$130,3,0))&gt;3," - ",VLOOKUP(D31,Centrum!$A$3:$C$130,3,0))</f>
        <v xml:space="preserve"> - </v>
      </c>
      <c r="G31" s="439">
        <f ca="1">IF(ROW()-2&gt;Start.listina!$O$7,"",ROW()-2)</f>
        <v>29</v>
      </c>
      <c r="H31" s="272"/>
      <c r="I31" s="274"/>
      <c r="K31" s="275" t="str">
        <f t="shared" ca="1" si="0"/>
        <v/>
      </c>
      <c r="L31" s="275" t="str">
        <f t="shared" ca="1" si="1"/>
        <v/>
      </c>
      <c r="M31" s="275">
        <f t="shared" ca="1" si="2"/>
        <v>0</v>
      </c>
      <c r="N31" s="275">
        <f t="shared" ca="1" si="6"/>
        <v>0</v>
      </c>
      <c r="O31" s="275" t="str">
        <f t="shared" ca="1" si="3"/>
        <v/>
      </c>
      <c r="P31" s="275">
        <f t="shared" ca="1" si="4"/>
        <v>0</v>
      </c>
      <c r="Q31" s="282">
        <f t="shared" ca="1" si="5"/>
        <v>0</v>
      </c>
    </row>
    <row r="32" spans="3:17" ht="21" x14ac:dyDescent="0.4">
      <c r="C32" s="278" t="str">
        <f ca="1">IF(ROW()-2&gt;Start.listina!$O$7,"",INDIRECT(ADDRESS(3+(ROW()-3)*2,$D$2,1,1,"Centrum")))</f>
        <v/>
      </c>
      <c r="D32" s="278" t="str">
        <f ca="1">IF(ROW()-2&gt;Start.listina!$O$7,"",INDIRECT(ADDRESS(4+(ROW()-3)*2,$D$2,1,1,"Centrum")))</f>
        <v/>
      </c>
      <c r="E32" s="276" t="str">
        <f ca="1">IF(TYPE(VLOOKUP(C32,Centrum!$A$3:$C$130,3,0))&gt;3," - ",VLOOKUP(C32,Centrum!$A$3:$C$130,3,0))</f>
        <v xml:space="preserve"> - </v>
      </c>
      <c r="F32" s="276" t="str">
        <f ca="1">IF(TYPE(VLOOKUP(D32,Centrum!$A$3:$C$130,3,0))&gt;3," - ",VLOOKUP(D32,Centrum!$A$3:$C$130,3,0))</f>
        <v xml:space="preserve"> - </v>
      </c>
      <c r="G32" s="439" t="str">
        <f ca="1">IF(ROW()-2&gt;Start.listina!$O$7,"",ROW()-2)</f>
        <v/>
      </c>
      <c r="H32" s="272"/>
      <c r="I32" s="274"/>
      <c r="K32" s="275" t="str">
        <f t="shared" ca="1" si="0"/>
        <v/>
      </c>
      <c r="L32" s="275" t="str">
        <f t="shared" ca="1" si="1"/>
        <v/>
      </c>
      <c r="M32" s="275">
        <f t="shared" ca="1" si="2"/>
        <v>0</v>
      </c>
      <c r="N32" s="275">
        <f t="shared" ca="1" si="6"/>
        <v>0</v>
      </c>
      <c r="O32" s="275" t="str">
        <f t="shared" ca="1" si="3"/>
        <v/>
      </c>
      <c r="P32" s="275">
        <f t="shared" ca="1" si="4"/>
        <v>0</v>
      </c>
      <c r="Q32" s="282">
        <f t="shared" ca="1" si="5"/>
        <v>0</v>
      </c>
    </row>
    <row r="33" spans="3:17" ht="21" x14ac:dyDescent="0.4">
      <c r="C33" s="278" t="str">
        <f ca="1">IF(ROW()-2&gt;Start.listina!$O$7,"",INDIRECT(ADDRESS(3+(ROW()-3)*2,$D$2,1,1,"Centrum")))</f>
        <v/>
      </c>
      <c r="D33" s="278" t="str">
        <f ca="1">IF(ROW()-2&gt;Start.listina!$O$7,"",INDIRECT(ADDRESS(4+(ROW()-3)*2,$D$2,1,1,"Centrum")))</f>
        <v/>
      </c>
      <c r="E33" s="276" t="str">
        <f ca="1">IF(TYPE(VLOOKUP(C33,Centrum!$A$3:$C$130,3,0))&gt;3," - ",VLOOKUP(C33,Centrum!$A$3:$C$130,3,0))</f>
        <v xml:space="preserve"> - </v>
      </c>
      <c r="F33" s="276" t="str">
        <f ca="1">IF(TYPE(VLOOKUP(D33,Centrum!$A$3:$C$130,3,0))&gt;3," - ",VLOOKUP(D33,Centrum!$A$3:$C$130,3,0))</f>
        <v xml:space="preserve"> - </v>
      </c>
      <c r="G33" s="439" t="str">
        <f ca="1">IF(ROW()-2&gt;Start.listina!$O$7,"",ROW()-2)</f>
        <v/>
      </c>
      <c r="H33" s="272"/>
      <c r="I33" s="274"/>
      <c r="K33" s="275" t="str">
        <f t="shared" ca="1" si="0"/>
        <v/>
      </c>
      <c r="L33" s="275" t="str">
        <f t="shared" ca="1" si="1"/>
        <v/>
      </c>
      <c r="M33" s="275">
        <f t="shared" ca="1" si="2"/>
        <v>0</v>
      </c>
      <c r="N33" s="275">
        <f t="shared" ca="1" si="6"/>
        <v>0</v>
      </c>
      <c r="O33" s="275" t="str">
        <f t="shared" ca="1" si="3"/>
        <v/>
      </c>
      <c r="P33" s="275">
        <f t="shared" ca="1" si="4"/>
        <v>0</v>
      </c>
      <c r="Q33" s="282">
        <f t="shared" ca="1" si="5"/>
        <v>0</v>
      </c>
    </row>
    <row r="34" spans="3:17" ht="21" x14ac:dyDescent="0.4">
      <c r="C34" s="278" t="str">
        <f ca="1">IF(ROW()-2&gt;Start.listina!$O$7,"",INDIRECT(ADDRESS(3+(ROW()-3)*2,$D$2,1,1,"Centrum")))</f>
        <v/>
      </c>
      <c r="D34" s="278" t="str">
        <f ca="1">IF(ROW()-2&gt;Start.listina!$O$7,"",INDIRECT(ADDRESS(4+(ROW()-3)*2,$D$2,1,1,"Centrum")))</f>
        <v/>
      </c>
      <c r="E34" s="276" t="str">
        <f ca="1">IF(TYPE(VLOOKUP(C34,Centrum!$A$3:$C$130,3,0))&gt;3," - ",VLOOKUP(C34,Centrum!$A$3:$C$130,3,0))</f>
        <v xml:space="preserve"> - </v>
      </c>
      <c r="F34" s="276" t="str">
        <f ca="1">IF(TYPE(VLOOKUP(D34,Centrum!$A$3:$C$130,3,0))&gt;3," - ",VLOOKUP(D34,Centrum!$A$3:$C$130,3,0))</f>
        <v xml:space="preserve"> - </v>
      </c>
      <c r="G34" s="439" t="str">
        <f ca="1">IF(ROW()-2&gt;Start.listina!$O$7,"",ROW()-2)</f>
        <v/>
      </c>
      <c r="H34" s="272"/>
      <c r="I34" s="274"/>
      <c r="K34" s="275" t="str">
        <f t="shared" ca="1" si="0"/>
        <v/>
      </c>
      <c r="L34" s="275" t="str">
        <f t="shared" ca="1" si="1"/>
        <v/>
      </c>
      <c r="M34" s="275">
        <f t="shared" ca="1" si="2"/>
        <v>0</v>
      </c>
      <c r="N34" s="275">
        <f t="shared" ca="1" si="6"/>
        <v>0</v>
      </c>
      <c r="O34" s="275" t="str">
        <f t="shared" ca="1" si="3"/>
        <v/>
      </c>
      <c r="P34" s="275">
        <f t="shared" ca="1" si="4"/>
        <v>0</v>
      </c>
      <c r="Q34" s="282">
        <f t="shared" ca="1" si="5"/>
        <v>0</v>
      </c>
    </row>
    <row r="35" spans="3:17" ht="21" x14ac:dyDescent="0.4">
      <c r="C35" s="278" t="str">
        <f ca="1">IF(ROW()-2&gt;Start.listina!$O$7,"",INDIRECT(ADDRESS(3+(ROW()-3)*2,$D$2,1,1,"Centrum")))</f>
        <v/>
      </c>
      <c r="D35" s="278" t="str">
        <f ca="1">IF(ROW()-2&gt;Start.listina!$O$7,"",INDIRECT(ADDRESS(4+(ROW()-3)*2,$D$2,1,1,"Centrum")))</f>
        <v/>
      </c>
      <c r="E35" s="276" t="str">
        <f ca="1">IF(TYPE(VLOOKUP(C35,Centrum!$A$3:$C$130,3,0))&gt;3," - ",VLOOKUP(C35,Centrum!$A$3:$C$130,3,0))</f>
        <v xml:space="preserve"> - </v>
      </c>
      <c r="F35" s="276" t="str">
        <f ca="1">IF(TYPE(VLOOKUP(D35,Centrum!$A$3:$C$130,3,0))&gt;3," - ",VLOOKUP(D35,Centrum!$A$3:$C$130,3,0))</f>
        <v xml:space="preserve"> - </v>
      </c>
      <c r="G35" s="439" t="str">
        <f ca="1">IF(ROW()-2&gt;Start.listina!$O$7,"",ROW()-2)</f>
        <v/>
      </c>
      <c r="H35" s="272"/>
      <c r="I35" s="274"/>
      <c r="K35" s="275" t="str">
        <f t="shared" ca="1" si="0"/>
        <v/>
      </c>
      <c r="L35" s="275" t="str">
        <f t="shared" ca="1" si="1"/>
        <v/>
      </c>
      <c r="M35" s="275">
        <f t="shared" ca="1" si="2"/>
        <v>0</v>
      </c>
      <c r="N35" s="275">
        <f t="shared" ca="1" si="6"/>
        <v>0</v>
      </c>
      <c r="O35" s="275" t="str">
        <f t="shared" ca="1" si="3"/>
        <v/>
      </c>
      <c r="P35" s="275">
        <f t="shared" ca="1" si="4"/>
        <v>0</v>
      </c>
      <c r="Q35" s="282">
        <f t="shared" ca="1" si="5"/>
        <v>0</v>
      </c>
    </row>
    <row r="36" spans="3:17" ht="21" x14ac:dyDescent="0.4">
      <c r="C36" s="278" t="str">
        <f ca="1">IF(ROW()-2&gt;Start.listina!$O$7,"",INDIRECT(ADDRESS(3+(ROW()-3)*2,$D$2,1,1,"Centrum")))</f>
        <v/>
      </c>
      <c r="D36" s="278" t="str">
        <f ca="1">IF(ROW()-2&gt;Start.listina!$O$7,"",INDIRECT(ADDRESS(4+(ROW()-3)*2,$D$2,1,1,"Centrum")))</f>
        <v/>
      </c>
      <c r="E36" s="276" t="str">
        <f ca="1">IF(TYPE(VLOOKUP(C36,Centrum!$A$3:$C$130,3,0))&gt;3," - ",VLOOKUP(C36,Centrum!$A$3:$C$130,3,0))</f>
        <v xml:space="preserve"> - </v>
      </c>
      <c r="F36" s="276" t="str">
        <f ca="1">IF(TYPE(VLOOKUP(D36,Centrum!$A$3:$C$130,3,0))&gt;3," - ",VLOOKUP(D36,Centrum!$A$3:$C$130,3,0))</f>
        <v xml:space="preserve"> - </v>
      </c>
      <c r="G36" s="439" t="str">
        <f ca="1">IF(ROW()-2&gt;Start.listina!$O$7,"",ROW()-2)</f>
        <v/>
      </c>
      <c r="H36" s="272"/>
      <c r="I36" s="274"/>
      <c r="K36" s="275" t="str">
        <f t="shared" ca="1" si="0"/>
        <v/>
      </c>
      <c r="L36" s="275" t="str">
        <f t="shared" ca="1" si="1"/>
        <v/>
      </c>
      <c r="M36" s="275">
        <f t="shared" ca="1" si="2"/>
        <v>0</v>
      </c>
      <c r="N36" s="275">
        <f t="shared" ca="1" si="6"/>
        <v>0</v>
      </c>
      <c r="O36" s="275" t="str">
        <f t="shared" ca="1" si="3"/>
        <v/>
      </c>
      <c r="P36" s="275">
        <f t="shared" ca="1" si="4"/>
        <v>0</v>
      </c>
      <c r="Q36" s="282">
        <f t="shared" ca="1" si="5"/>
        <v>0</v>
      </c>
    </row>
    <row r="37" spans="3:17" ht="21" x14ac:dyDescent="0.4">
      <c r="C37" s="278" t="str">
        <f ca="1">IF(ROW()-2&gt;Start.listina!$O$7,"",INDIRECT(ADDRESS(3+(ROW()-3)*2,$D$2,1,1,"Centrum")))</f>
        <v/>
      </c>
      <c r="D37" s="278" t="str">
        <f ca="1">IF(ROW()-2&gt;Start.listina!$O$7,"",INDIRECT(ADDRESS(4+(ROW()-3)*2,$D$2,1,1,"Centrum")))</f>
        <v/>
      </c>
      <c r="E37" s="276" t="str">
        <f ca="1">IF(TYPE(VLOOKUP(C37,Centrum!$A$3:$C$130,3,0))&gt;3," - ",VLOOKUP(C37,Centrum!$A$3:$C$130,3,0))</f>
        <v xml:space="preserve"> - </v>
      </c>
      <c r="F37" s="276" t="str">
        <f ca="1">IF(TYPE(VLOOKUP(D37,Centrum!$A$3:$C$130,3,0))&gt;3," - ",VLOOKUP(D37,Centrum!$A$3:$C$130,3,0))</f>
        <v xml:space="preserve"> - </v>
      </c>
      <c r="G37" s="439" t="str">
        <f ca="1">IF(ROW()-2&gt;Start.listina!$O$7,"",ROW()-2)</f>
        <v/>
      </c>
      <c r="H37" s="272"/>
      <c r="I37" s="274"/>
      <c r="K37" s="275" t="str">
        <f t="shared" ca="1" si="0"/>
        <v/>
      </c>
      <c r="L37" s="275" t="str">
        <f t="shared" ca="1" si="1"/>
        <v/>
      </c>
      <c r="M37" s="275">
        <f t="shared" ca="1" si="2"/>
        <v>0</v>
      </c>
      <c r="N37" s="275">
        <f t="shared" ca="1" si="6"/>
        <v>0</v>
      </c>
      <c r="O37" s="275" t="str">
        <f t="shared" ca="1" si="3"/>
        <v/>
      </c>
      <c r="P37" s="275">
        <f t="shared" ca="1" si="4"/>
        <v>0</v>
      </c>
      <c r="Q37" s="282">
        <f t="shared" ca="1" si="5"/>
        <v>0</v>
      </c>
    </row>
    <row r="38" spans="3:17" ht="21" x14ac:dyDescent="0.4">
      <c r="C38" s="278" t="str">
        <f ca="1">IF(ROW()-2&gt;Start.listina!$O$7,"",INDIRECT(ADDRESS(3+(ROW()-3)*2,$D$2,1,1,"Centrum")))</f>
        <v/>
      </c>
      <c r="D38" s="278" t="str">
        <f ca="1">IF(ROW()-2&gt;Start.listina!$O$7,"",INDIRECT(ADDRESS(4+(ROW()-3)*2,$D$2,1,1,"Centrum")))</f>
        <v/>
      </c>
      <c r="E38" s="276" t="str">
        <f ca="1">IF(TYPE(VLOOKUP(C38,Centrum!$A$3:$C$130,3,0))&gt;3," - ",VLOOKUP(C38,Centrum!$A$3:$C$130,3,0))</f>
        <v xml:space="preserve"> - </v>
      </c>
      <c r="F38" s="276" t="str">
        <f ca="1">IF(TYPE(VLOOKUP(D38,Centrum!$A$3:$C$130,3,0))&gt;3," - ",VLOOKUP(D38,Centrum!$A$3:$C$130,3,0))</f>
        <v xml:space="preserve"> - </v>
      </c>
      <c r="G38" s="439" t="str">
        <f ca="1">IF(ROW()-2&gt;Start.listina!$O$7,"",ROW()-2)</f>
        <v/>
      </c>
      <c r="H38" s="272"/>
      <c r="I38" s="274"/>
      <c r="K38" s="275" t="str">
        <f t="shared" ca="1" si="0"/>
        <v/>
      </c>
      <c r="L38" s="275" t="str">
        <f t="shared" ca="1" si="1"/>
        <v/>
      </c>
      <c r="M38" s="275">
        <f t="shared" ca="1" si="2"/>
        <v>0</v>
      </c>
      <c r="N38" s="275">
        <f t="shared" ca="1" si="6"/>
        <v>0</v>
      </c>
      <c r="O38" s="275" t="str">
        <f t="shared" ca="1" si="3"/>
        <v/>
      </c>
      <c r="P38" s="275">
        <f t="shared" ca="1" si="4"/>
        <v>0</v>
      </c>
      <c r="Q38" s="282">
        <f t="shared" ca="1" si="5"/>
        <v>0</v>
      </c>
    </row>
    <row r="39" spans="3:17" ht="21" x14ac:dyDescent="0.4">
      <c r="C39" s="278" t="str">
        <f ca="1">IF(ROW()-2&gt;Start.listina!$O$7,"",INDIRECT(ADDRESS(3+(ROW()-3)*2,$D$2,1,1,"Centrum")))</f>
        <v/>
      </c>
      <c r="D39" s="278" t="str">
        <f ca="1">IF(ROW()-2&gt;Start.listina!$O$7,"",INDIRECT(ADDRESS(4+(ROW()-3)*2,$D$2,1,1,"Centrum")))</f>
        <v/>
      </c>
      <c r="E39" s="276" t="str">
        <f ca="1">IF(TYPE(VLOOKUP(C39,Centrum!$A$3:$C$130,3,0))&gt;3," - ",VLOOKUP(C39,Centrum!$A$3:$C$130,3,0))</f>
        <v xml:space="preserve"> - </v>
      </c>
      <c r="F39" s="276" t="str">
        <f ca="1">IF(TYPE(VLOOKUP(D39,Centrum!$A$3:$C$130,3,0))&gt;3," - ",VLOOKUP(D39,Centrum!$A$3:$C$130,3,0))</f>
        <v xml:space="preserve"> - </v>
      </c>
      <c r="G39" s="439" t="str">
        <f ca="1">IF(ROW()-2&gt;Start.listina!$O$7,"",ROW()-2)</f>
        <v/>
      </c>
      <c r="H39" s="272"/>
      <c r="I39" s="274"/>
      <c r="K39" s="275" t="str">
        <f t="shared" ca="1" si="0"/>
        <v/>
      </c>
      <c r="L39" s="275" t="str">
        <f t="shared" ca="1" si="1"/>
        <v/>
      </c>
      <c r="M39" s="275">
        <f t="shared" ca="1" si="2"/>
        <v>0</v>
      </c>
      <c r="N39" s="275">
        <f t="shared" ca="1" si="6"/>
        <v>0</v>
      </c>
      <c r="O39" s="275" t="str">
        <f t="shared" ca="1" si="3"/>
        <v/>
      </c>
      <c r="P39" s="275">
        <f t="shared" ca="1" si="4"/>
        <v>0</v>
      </c>
      <c r="Q39" s="282">
        <f t="shared" ca="1" si="5"/>
        <v>0</v>
      </c>
    </row>
    <row r="40" spans="3:17" ht="21" x14ac:dyDescent="0.4">
      <c r="C40" s="278" t="str">
        <f ca="1">IF(ROW()-2&gt;Start.listina!$O$7,"",INDIRECT(ADDRESS(3+(ROW()-3)*2,$D$2,1,1,"Centrum")))</f>
        <v/>
      </c>
      <c r="D40" s="278" t="str">
        <f ca="1">IF(ROW()-2&gt;Start.listina!$O$7,"",INDIRECT(ADDRESS(4+(ROW()-3)*2,$D$2,1,1,"Centrum")))</f>
        <v/>
      </c>
      <c r="E40" s="276" t="str">
        <f ca="1">IF(TYPE(VLOOKUP(C40,Centrum!$A$3:$C$130,3,0))&gt;3," - ",VLOOKUP(C40,Centrum!$A$3:$C$130,3,0))</f>
        <v xml:space="preserve"> - </v>
      </c>
      <c r="F40" s="276" t="str">
        <f ca="1">IF(TYPE(VLOOKUP(D40,Centrum!$A$3:$C$130,3,0))&gt;3," - ",VLOOKUP(D40,Centrum!$A$3:$C$130,3,0))</f>
        <v xml:space="preserve"> - </v>
      </c>
      <c r="G40" s="439" t="str">
        <f ca="1">IF(ROW()-2&gt;Start.listina!$O$7,"",ROW()-2)</f>
        <v/>
      </c>
      <c r="H40" s="272"/>
      <c r="I40" s="274"/>
      <c r="K40" s="275" t="str">
        <f t="shared" ca="1" si="0"/>
        <v/>
      </c>
      <c r="L40" s="275" t="str">
        <f t="shared" ca="1" si="1"/>
        <v/>
      </c>
      <c r="M40" s="275">
        <f t="shared" ca="1" si="2"/>
        <v>0</v>
      </c>
      <c r="N40" s="275">
        <f t="shared" ca="1" si="6"/>
        <v>0</v>
      </c>
      <c r="O40" s="275" t="str">
        <f t="shared" ca="1" si="3"/>
        <v/>
      </c>
      <c r="P40" s="275">
        <f t="shared" ca="1" si="4"/>
        <v>0</v>
      </c>
      <c r="Q40" s="282">
        <f t="shared" ca="1" si="5"/>
        <v>0</v>
      </c>
    </row>
    <row r="41" spans="3:17" ht="21" x14ac:dyDescent="0.4">
      <c r="C41" s="278" t="str">
        <f ca="1">IF(ROW()-2&gt;Start.listina!$O$7,"",INDIRECT(ADDRESS(3+(ROW()-3)*2,$D$2,1,1,"Centrum")))</f>
        <v/>
      </c>
      <c r="D41" s="278" t="str">
        <f ca="1">IF(ROW()-2&gt;Start.listina!$O$7,"",INDIRECT(ADDRESS(4+(ROW()-3)*2,$D$2,1,1,"Centrum")))</f>
        <v/>
      </c>
      <c r="E41" s="276" t="str">
        <f ca="1">IF(TYPE(VLOOKUP(C41,Centrum!$A$3:$C$130,3,0))&gt;3," - ",VLOOKUP(C41,Centrum!$A$3:$C$130,3,0))</f>
        <v xml:space="preserve"> - </v>
      </c>
      <c r="F41" s="276" t="str">
        <f ca="1">IF(TYPE(VLOOKUP(D41,Centrum!$A$3:$C$130,3,0))&gt;3," - ",VLOOKUP(D41,Centrum!$A$3:$C$130,3,0))</f>
        <v xml:space="preserve"> - </v>
      </c>
      <c r="G41" s="439" t="str">
        <f ca="1">IF(ROW()-2&gt;Start.listina!$O$7,"",ROW()-2)</f>
        <v/>
      </c>
      <c r="H41" s="272"/>
      <c r="I41" s="274"/>
      <c r="K41" s="275" t="str">
        <f t="shared" ca="1" si="0"/>
        <v/>
      </c>
      <c r="L41" s="275" t="str">
        <f t="shared" ca="1" si="1"/>
        <v/>
      </c>
      <c r="M41" s="275">
        <f t="shared" ca="1" si="2"/>
        <v>0</v>
      </c>
      <c r="N41" s="275">
        <f t="shared" ca="1" si="6"/>
        <v>0</v>
      </c>
      <c r="O41" s="275" t="str">
        <f t="shared" ca="1" si="3"/>
        <v/>
      </c>
      <c r="P41" s="275">
        <f t="shared" ca="1" si="4"/>
        <v>0</v>
      </c>
      <c r="Q41" s="282">
        <f t="shared" ca="1" si="5"/>
        <v>0</v>
      </c>
    </row>
    <row r="42" spans="3:17" ht="21" x14ac:dyDescent="0.4">
      <c r="C42" s="278" t="str">
        <f ca="1">IF(ROW()-2&gt;Start.listina!$O$7,"",INDIRECT(ADDRESS(3+(ROW()-3)*2,$D$2,1,1,"Centrum")))</f>
        <v/>
      </c>
      <c r="D42" s="278" t="str">
        <f ca="1">IF(ROW()-2&gt;Start.listina!$O$7,"",INDIRECT(ADDRESS(4+(ROW()-3)*2,$D$2,1,1,"Centrum")))</f>
        <v/>
      </c>
      <c r="E42" s="276" t="str">
        <f ca="1">IF(TYPE(VLOOKUP(C42,Centrum!$A$3:$C$130,3,0))&gt;3," - ",VLOOKUP(C42,Centrum!$A$3:$C$130,3,0))</f>
        <v xml:space="preserve"> - </v>
      </c>
      <c r="F42" s="276" t="str">
        <f ca="1">IF(TYPE(VLOOKUP(D42,Centrum!$A$3:$C$130,3,0))&gt;3," - ",VLOOKUP(D42,Centrum!$A$3:$C$130,3,0))</f>
        <v xml:space="preserve"> - </v>
      </c>
      <c r="G42" s="439" t="str">
        <f ca="1">IF(ROW()-2&gt;Start.listina!$O$7,"",ROW()-2)</f>
        <v/>
      </c>
      <c r="H42" s="272"/>
      <c r="I42" s="274"/>
      <c r="K42" s="275" t="str">
        <f t="shared" ca="1" si="0"/>
        <v/>
      </c>
      <c r="L42" s="275" t="str">
        <f t="shared" ca="1" si="1"/>
        <v/>
      </c>
      <c r="M42" s="275">
        <f t="shared" ca="1" si="2"/>
        <v>0</v>
      </c>
      <c r="N42" s="275">
        <f t="shared" ca="1" si="6"/>
        <v>0</v>
      </c>
      <c r="O42" s="275" t="str">
        <f t="shared" ca="1" si="3"/>
        <v/>
      </c>
      <c r="P42" s="275">
        <f t="shared" ca="1" si="4"/>
        <v>0</v>
      </c>
      <c r="Q42" s="282">
        <f t="shared" ca="1" si="5"/>
        <v>0</v>
      </c>
    </row>
    <row r="43" spans="3:17" ht="21" x14ac:dyDescent="0.4">
      <c r="C43" s="278" t="str">
        <f ca="1">IF(ROW()-2&gt;Start.listina!$O$7,"",INDIRECT(ADDRESS(3+(ROW()-3)*2,$D$2,1,1,"Centrum")))</f>
        <v/>
      </c>
      <c r="D43" s="278" t="str">
        <f ca="1">IF(ROW()-2&gt;Start.listina!$O$7,"",INDIRECT(ADDRESS(4+(ROW()-3)*2,$D$2,1,1,"Centrum")))</f>
        <v/>
      </c>
      <c r="E43" s="276" t="str">
        <f ca="1">IF(TYPE(VLOOKUP(C43,Centrum!$A$3:$C$130,3,0))&gt;3," - ",VLOOKUP(C43,Centrum!$A$3:$C$130,3,0))</f>
        <v xml:space="preserve"> - </v>
      </c>
      <c r="F43" s="276" t="str">
        <f ca="1">IF(TYPE(VLOOKUP(D43,Centrum!$A$3:$C$130,3,0))&gt;3," - ",VLOOKUP(D43,Centrum!$A$3:$C$130,3,0))</f>
        <v xml:space="preserve"> - </v>
      </c>
      <c r="G43" s="439" t="str">
        <f ca="1">IF(ROW()-2&gt;Start.listina!$O$7,"",ROW()-2)</f>
        <v/>
      </c>
      <c r="H43" s="272"/>
      <c r="I43" s="274"/>
      <c r="K43" s="275" t="str">
        <f t="shared" ca="1" si="0"/>
        <v/>
      </c>
      <c r="L43" s="275" t="str">
        <f t="shared" ca="1" si="1"/>
        <v/>
      </c>
      <c r="M43" s="275">
        <f t="shared" ca="1" si="2"/>
        <v>0</v>
      </c>
      <c r="N43" s="275">
        <f t="shared" ca="1" si="6"/>
        <v>0</v>
      </c>
      <c r="O43" s="275" t="str">
        <f t="shared" ca="1" si="3"/>
        <v/>
      </c>
      <c r="P43" s="275">
        <f t="shared" ca="1" si="4"/>
        <v>0</v>
      </c>
      <c r="Q43" s="282">
        <f t="shared" ca="1" si="5"/>
        <v>0</v>
      </c>
    </row>
    <row r="44" spans="3:17" ht="21" x14ac:dyDescent="0.4">
      <c r="C44" s="278" t="str">
        <f ca="1">IF(ROW()-2&gt;Start.listina!$O$7,"",INDIRECT(ADDRESS(3+(ROW()-3)*2,$D$2,1,1,"Centrum")))</f>
        <v/>
      </c>
      <c r="D44" s="278" t="str">
        <f ca="1">IF(ROW()-2&gt;Start.listina!$O$7,"",INDIRECT(ADDRESS(4+(ROW()-3)*2,$D$2,1,1,"Centrum")))</f>
        <v/>
      </c>
      <c r="E44" s="276" t="str">
        <f ca="1">IF(TYPE(VLOOKUP(C44,Centrum!$A$3:$C$130,3,0))&gt;3," - ",VLOOKUP(C44,Centrum!$A$3:$C$130,3,0))</f>
        <v xml:space="preserve"> - </v>
      </c>
      <c r="F44" s="276" t="str">
        <f ca="1">IF(TYPE(VLOOKUP(D44,Centrum!$A$3:$C$130,3,0))&gt;3," - ",VLOOKUP(D44,Centrum!$A$3:$C$130,3,0))</f>
        <v xml:space="preserve"> - </v>
      </c>
      <c r="G44" s="439" t="str">
        <f ca="1">IF(ROW()-2&gt;Start.listina!$O$7,"",ROW()-2)</f>
        <v/>
      </c>
      <c r="H44" s="272"/>
      <c r="I44" s="274"/>
      <c r="K44" s="275" t="str">
        <f t="shared" ca="1" si="0"/>
        <v/>
      </c>
      <c r="L44" s="275" t="str">
        <f t="shared" ca="1" si="1"/>
        <v/>
      </c>
      <c r="M44" s="275">
        <f t="shared" ca="1" si="2"/>
        <v>0</v>
      </c>
      <c r="N44" s="275">
        <f t="shared" ca="1" si="6"/>
        <v>0</v>
      </c>
      <c r="O44" s="275" t="str">
        <f t="shared" ca="1" si="3"/>
        <v/>
      </c>
      <c r="P44" s="275">
        <f t="shared" ca="1" si="4"/>
        <v>0</v>
      </c>
      <c r="Q44" s="282">
        <f t="shared" ca="1" si="5"/>
        <v>0</v>
      </c>
    </row>
    <row r="45" spans="3:17" ht="21" x14ac:dyDescent="0.4">
      <c r="C45" s="278" t="str">
        <f ca="1">IF(ROW()-2&gt;Start.listina!$O$7,"",INDIRECT(ADDRESS(3+(ROW()-3)*2,$D$2,1,1,"Centrum")))</f>
        <v/>
      </c>
      <c r="D45" s="278" t="str">
        <f ca="1">IF(ROW()-2&gt;Start.listina!$O$7,"",INDIRECT(ADDRESS(4+(ROW()-3)*2,$D$2,1,1,"Centrum")))</f>
        <v/>
      </c>
      <c r="E45" s="276" t="str">
        <f ca="1">IF(TYPE(VLOOKUP(C45,Centrum!$A$3:$C$130,3,0))&gt;3," - ",VLOOKUP(C45,Centrum!$A$3:$C$130,3,0))</f>
        <v xml:space="preserve"> - </v>
      </c>
      <c r="F45" s="276" t="str">
        <f ca="1">IF(TYPE(VLOOKUP(D45,Centrum!$A$3:$C$130,3,0))&gt;3," - ",VLOOKUP(D45,Centrum!$A$3:$C$130,3,0))</f>
        <v xml:space="preserve"> - </v>
      </c>
      <c r="G45" s="439" t="str">
        <f ca="1">IF(ROW()-2&gt;Start.listina!$O$7,"",ROW()-2)</f>
        <v/>
      </c>
      <c r="H45" s="272"/>
      <c r="I45" s="274"/>
      <c r="K45" s="275" t="str">
        <f t="shared" ca="1" si="0"/>
        <v/>
      </c>
      <c r="L45" s="275" t="str">
        <f t="shared" ca="1" si="1"/>
        <v/>
      </c>
      <c r="M45" s="275">
        <f t="shared" ca="1" si="2"/>
        <v>0</v>
      </c>
      <c r="N45" s="275">
        <f t="shared" ca="1" si="6"/>
        <v>0</v>
      </c>
      <c r="O45" s="275" t="str">
        <f t="shared" ca="1" si="3"/>
        <v/>
      </c>
      <c r="P45" s="275">
        <f t="shared" ca="1" si="4"/>
        <v>0</v>
      </c>
      <c r="Q45" s="282">
        <f t="shared" ca="1" si="5"/>
        <v>0</v>
      </c>
    </row>
    <row r="46" spans="3:17" ht="21" x14ac:dyDescent="0.4">
      <c r="C46" s="278" t="str">
        <f ca="1">IF(ROW()-2&gt;Start.listina!$O$7,"",INDIRECT(ADDRESS(3+(ROW()-3)*2,$D$2,1,1,"Centrum")))</f>
        <v/>
      </c>
      <c r="D46" s="278" t="str">
        <f ca="1">IF(ROW()-2&gt;Start.listina!$O$7,"",INDIRECT(ADDRESS(4+(ROW()-3)*2,$D$2,1,1,"Centrum")))</f>
        <v/>
      </c>
      <c r="E46" s="276" t="str">
        <f ca="1">IF(TYPE(VLOOKUP(C46,Centrum!$A$3:$C$130,3,0))&gt;3," - ",VLOOKUP(C46,Centrum!$A$3:$C$130,3,0))</f>
        <v xml:space="preserve"> - </v>
      </c>
      <c r="F46" s="276" t="str">
        <f ca="1">IF(TYPE(VLOOKUP(D46,Centrum!$A$3:$C$130,3,0))&gt;3," - ",VLOOKUP(D46,Centrum!$A$3:$C$130,3,0))</f>
        <v xml:space="preserve"> - </v>
      </c>
      <c r="G46" s="439" t="str">
        <f ca="1">IF(ROW()-2&gt;Start.listina!$O$7,"",ROW()-2)</f>
        <v/>
      </c>
      <c r="H46" s="272"/>
      <c r="I46" s="274"/>
      <c r="K46" s="275" t="str">
        <f t="shared" ca="1" si="0"/>
        <v/>
      </c>
      <c r="L46" s="275" t="str">
        <f t="shared" ca="1" si="1"/>
        <v/>
      </c>
      <c r="M46" s="275">
        <f t="shared" ca="1" si="2"/>
        <v>0</v>
      </c>
      <c r="N46" s="275">
        <f t="shared" ca="1" si="6"/>
        <v>0</v>
      </c>
      <c r="O46" s="275" t="str">
        <f t="shared" ca="1" si="3"/>
        <v/>
      </c>
      <c r="P46" s="275">
        <f t="shared" ca="1" si="4"/>
        <v>0</v>
      </c>
      <c r="Q46" s="282">
        <f t="shared" ca="1" si="5"/>
        <v>0</v>
      </c>
    </row>
    <row r="47" spans="3:17" ht="21" x14ac:dyDescent="0.4">
      <c r="C47" s="278" t="str">
        <f ca="1">IF(ROW()-2&gt;Start.listina!$O$7,"",INDIRECT(ADDRESS(3+(ROW()-3)*2,$D$2,1,1,"Centrum")))</f>
        <v/>
      </c>
      <c r="D47" s="278" t="str">
        <f ca="1">IF(ROW()-2&gt;Start.listina!$O$7,"",INDIRECT(ADDRESS(4+(ROW()-3)*2,$D$2,1,1,"Centrum")))</f>
        <v/>
      </c>
      <c r="E47" s="276" t="str">
        <f ca="1">IF(TYPE(VLOOKUP(C47,Centrum!$A$3:$C$130,3,0))&gt;3," - ",VLOOKUP(C47,Centrum!$A$3:$C$130,3,0))</f>
        <v xml:space="preserve"> - </v>
      </c>
      <c r="F47" s="276" t="str">
        <f ca="1">IF(TYPE(VLOOKUP(D47,Centrum!$A$3:$C$130,3,0))&gt;3," - ",VLOOKUP(D47,Centrum!$A$3:$C$130,3,0))</f>
        <v xml:space="preserve"> - </v>
      </c>
      <c r="G47" s="439" t="str">
        <f ca="1">IF(ROW()-2&gt;Start.listina!$O$7,"",ROW()-2)</f>
        <v/>
      </c>
      <c r="H47" s="272"/>
      <c r="I47" s="274"/>
      <c r="K47" s="275" t="str">
        <f t="shared" ca="1" si="0"/>
        <v/>
      </c>
      <c r="L47" s="275" t="str">
        <f t="shared" ca="1" si="1"/>
        <v/>
      </c>
      <c r="M47" s="275">
        <f t="shared" ca="1" si="2"/>
        <v>0</v>
      </c>
      <c r="N47" s="275">
        <f t="shared" ca="1" si="6"/>
        <v>0</v>
      </c>
      <c r="O47" s="275" t="str">
        <f t="shared" ca="1" si="3"/>
        <v/>
      </c>
      <c r="P47" s="275">
        <f t="shared" ca="1" si="4"/>
        <v>0</v>
      </c>
      <c r="Q47" s="282">
        <f t="shared" ca="1" si="5"/>
        <v>0</v>
      </c>
    </row>
    <row r="48" spans="3:17" ht="21" x14ac:dyDescent="0.4">
      <c r="C48" s="278" t="str">
        <f ca="1">IF(ROW()-2&gt;Start.listina!$O$7,"",INDIRECT(ADDRESS(3+(ROW()-3)*2,$D$2,1,1,"Centrum")))</f>
        <v/>
      </c>
      <c r="D48" s="278" t="str">
        <f ca="1">IF(ROW()-2&gt;Start.listina!$O$7,"",INDIRECT(ADDRESS(4+(ROW()-3)*2,$D$2,1,1,"Centrum")))</f>
        <v/>
      </c>
      <c r="E48" s="276" t="str">
        <f ca="1">IF(TYPE(VLOOKUP(C48,Centrum!$A$3:$C$130,3,0))&gt;3," - ",VLOOKUP(C48,Centrum!$A$3:$C$130,3,0))</f>
        <v xml:space="preserve"> - </v>
      </c>
      <c r="F48" s="276" t="str">
        <f ca="1">IF(TYPE(VLOOKUP(D48,Centrum!$A$3:$C$130,3,0))&gt;3," - ",VLOOKUP(D48,Centrum!$A$3:$C$130,3,0))</f>
        <v xml:space="preserve"> - </v>
      </c>
      <c r="G48" s="439" t="str">
        <f ca="1">IF(ROW()-2&gt;Start.listina!$O$7,"",ROW()-2)</f>
        <v/>
      </c>
      <c r="H48" s="272"/>
      <c r="I48" s="274"/>
      <c r="K48" s="275" t="str">
        <f t="shared" ca="1" si="0"/>
        <v/>
      </c>
      <c r="L48" s="275" t="str">
        <f t="shared" ca="1" si="1"/>
        <v/>
      </c>
      <c r="M48" s="275">
        <f t="shared" ca="1" si="2"/>
        <v>0</v>
      </c>
      <c r="N48" s="275">
        <f t="shared" ca="1" si="6"/>
        <v>0</v>
      </c>
      <c r="O48" s="275" t="str">
        <f t="shared" ca="1" si="3"/>
        <v/>
      </c>
      <c r="P48" s="275">
        <f t="shared" ca="1" si="4"/>
        <v>0</v>
      </c>
      <c r="Q48" s="282">
        <f t="shared" ca="1" si="5"/>
        <v>0</v>
      </c>
    </row>
    <row r="49" spans="3:17" ht="21" x14ac:dyDescent="0.4">
      <c r="C49" s="278" t="str">
        <f ca="1">IF(ROW()-2&gt;Start.listina!$O$7,"",INDIRECT(ADDRESS(3+(ROW()-3)*2,$D$2,1,1,"Centrum")))</f>
        <v/>
      </c>
      <c r="D49" s="278" t="str">
        <f ca="1">IF(ROW()-2&gt;Start.listina!$O$7,"",INDIRECT(ADDRESS(4+(ROW()-3)*2,$D$2,1,1,"Centrum")))</f>
        <v/>
      </c>
      <c r="E49" s="276" t="str">
        <f ca="1">IF(TYPE(VLOOKUP(C49,Centrum!$A$3:$C$130,3,0))&gt;3," - ",VLOOKUP(C49,Centrum!$A$3:$C$130,3,0))</f>
        <v xml:space="preserve"> - </v>
      </c>
      <c r="F49" s="276" t="str">
        <f ca="1">IF(TYPE(VLOOKUP(D49,Centrum!$A$3:$C$130,3,0))&gt;3," - ",VLOOKUP(D49,Centrum!$A$3:$C$130,3,0))</f>
        <v xml:space="preserve"> - </v>
      </c>
      <c r="G49" s="439" t="str">
        <f ca="1">IF(ROW()-2&gt;Start.listina!$O$7,"",ROW()-2)</f>
        <v/>
      </c>
      <c r="H49" s="272"/>
      <c r="I49" s="274"/>
      <c r="K49" s="275" t="str">
        <f t="shared" ca="1" si="0"/>
        <v/>
      </c>
      <c r="L49" s="275" t="str">
        <f t="shared" ca="1" si="1"/>
        <v/>
      </c>
      <c r="M49" s="275">
        <f t="shared" ca="1" si="2"/>
        <v>0</v>
      </c>
      <c r="N49" s="275">
        <f t="shared" ca="1" si="6"/>
        <v>0</v>
      </c>
      <c r="O49" s="275" t="str">
        <f t="shared" ca="1" si="3"/>
        <v/>
      </c>
      <c r="P49" s="275">
        <f t="shared" ca="1" si="4"/>
        <v>0</v>
      </c>
      <c r="Q49" s="282">
        <f t="shared" ca="1" si="5"/>
        <v>0</v>
      </c>
    </row>
    <row r="50" spans="3:17" ht="21" x14ac:dyDescent="0.4">
      <c r="C50" s="278" t="str">
        <f ca="1">IF(ROW()-2&gt;Start.listina!$O$7,"",INDIRECT(ADDRESS(3+(ROW()-3)*2,$D$2,1,1,"Centrum")))</f>
        <v/>
      </c>
      <c r="D50" s="278" t="str">
        <f ca="1">IF(ROW()-2&gt;Start.listina!$O$7,"",INDIRECT(ADDRESS(4+(ROW()-3)*2,$D$2,1,1,"Centrum")))</f>
        <v/>
      </c>
      <c r="E50" s="276" t="str">
        <f ca="1">IF(TYPE(VLOOKUP(C50,Centrum!$A$3:$C$130,3,0))&gt;3," - ",VLOOKUP(C50,Centrum!$A$3:$C$130,3,0))</f>
        <v xml:space="preserve"> - </v>
      </c>
      <c r="F50" s="276" t="str">
        <f ca="1">IF(TYPE(VLOOKUP(D50,Centrum!$A$3:$C$130,3,0))&gt;3," - ",VLOOKUP(D50,Centrum!$A$3:$C$130,3,0))</f>
        <v xml:space="preserve"> - </v>
      </c>
      <c r="G50" s="439" t="str">
        <f ca="1">IF(ROW()-2&gt;Start.listina!$O$7,"",ROW()-2)</f>
        <v/>
      </c>
      <c r="H50" s="272"/>
      <c r="I50" s="274"/>
      <c r="K50" s="275" t="str">
        <f t="shared" ca="1" si="0"/>
        <v/>
      </c>
      <c r="L50" s="275" t="str">
        <f t="shared" ca="1" si="1"/>
        <v/>
      </c>
      <c r="M50" s="275">
        <f t="shared" ca="1" si="2"/>
        <v>0</v>
      </c>
      <c r="N50" s="275">
        <f t="shared" ca="1" si="6"/>
        <v>0</v>
      </c>
      <c r="O50" s="275" t="str">
        <f t="shared" ca="1" si="3"/>
        <v/>
      </c>
      <c r="P50" s="275">
        <f t="shared" ca="1" si="4"/>
        <v>0</v>
      </c>
      <c r="Q50" s="282">
        <f t="shared" ca="1" si="5"/>
        <v>0</v>
      </c>
    </row>
    <row r="51" spans="3:17" ht="21" x14ac:dyDescent="0.4">
      <c r="C51" s="278" t="str">
        <f ca="1">IF(ROW()-2&gt;Start.listina!$O$7,"",INDIRECT(ADDRESS(3+(ROW()-3)*2,$D$2,1,1,"Centrum")))</f>
        <v/>
      </c>
      <c r="D51" s="278" t="str">
        <f ca="1">IF(ROW()-2&gt;Start.listina!$O$7,"",INDIRECT(ADDRESS(4+(ROW()-3)*2,$D$2,1,1,"Centrum")))</f>
        <v/>
      </c>
      <c r="E51" s="276" t="str">
        <f ca="1">IF(TYPE(VLOOKUP(C51,Centrum!$A$3:$C$130,3,0))&gt;3," - ",VLOOKUP(C51,Centrum!$A$3:$C$130,3,0))</f>
        <v xml:space="preserve"> - </v>
      </c>
      <c r="F51" s="276" t="str">
        <f ca="1">IF(TYPE(VLOOKUP(D51,Centrum!$A$3:$C$130,3,0))&gt;3," - ",VLOOKUP(D51,Centrum!$A$3:$C$130,3,0))</f>
        <v xml:space="preserve"> - </v>
      </c>
      <c r="G51" s="439" t="str">
        <f ca="1">IF(ROW()-2&gt;Start.listina!$O$7,"",ROW()-2)</f>
        <v/>
      </c>
      <c r="H51" s="272"/>
      <c r="I51" s="274"/>
      <c r="K51" s="275" t="str">
        <f t="shared" ca="1" si="0"/>
        <v/>
      </c>
      <c r="L51" s="275" t="str">
        <f t="shared" ca="1" si="1"/>
        <v/>
      </c>
      <c r="M51" s="275">
        <f t="shared" ca="1" si="2"/>
        <v>0</v>
      </c>
      <c r="N51" s="275">
        <f t="shared" ca="1" si="6"/>
        <v>0</v>
      </c>
      <c r="O51" s="275" t="str">
        <f t="shared" ca="1" si="3"/>
        <v/>
      </c>
      <c r="P51" s="275">
        <f t="shared" ca="1" si="4"/>
        <v>0</v>
      </c>
      <c r="Q51" s="282">
        <f t="shared" ca="1" si="5"/>
        <v>0</v>
      </c>
    </row>
    <row r="52" spans="3:17" ht="21" x14ac:dyDescent="0.4">
      <c r="C52" s="278" t="str">
        <f ca="1">IF(ROW()-2&gt;Start.listina!$O$7,"",INDIRECT(ADDRESS(3+(ROW()-3)*2,$D$2,1,1,"Centrum")))</f>
        <v/>
      </c>
      <c r="D52" s="278" t="str">
        <f ca="1">IF(ROW()-2&gt;Start.listina!$O$7,"",INDIRECT(ADDRESS(4+(ROW()-3)*2,$D$2,1,1,"Centrum")))</f>
        <v/>
      </c>
      <c r="E52" s="276" t="str">
        <f ca="1">IF(TYPE(VLOOKUP(C52,Centrum!$A$3:$C$130,3,0))&gt;3," - ",VLOOKUP(C52,Centrum!$A$3:$C$130,3,0))</f>
        <v xml:space="preserve"> - </v>
      </c>
      <c r="F52" s="276" t="str">
        <f ca="1">IF(TYPE(VLOOKUP(D52,Centrum!$A$3:$C$130,3,0))&gt;3," - ",VLOOKUP(D52,Centrum!$A$3:$C$130,3,0))</f>
        <v xml:space="preserve"> - </v>
      </c>
      <c r="G52" s="439" t="str">
        <f ca="1">IF(ROW()-2&gt;Start.listina!$O$7,"",ROW()-2)</f>
        <v/>
      </c>
      <c r="H52" s="272"/>
      <c r="I52" s="274"/>
      <c r="K52" s="275" t="str">
        <f t="shared" ca="1" si="0"/>
        <v/>
      </c>
      <c r="L52" s="275" t="str">
        <f t="shared" ca="1" si="1"/>
        <v/>
      </c>
      <c r="M52" s="275">
        <f t="shared" ca="1" si="2"/>
        <v>0</v>
      </c>
      <c r="N52" s="275">
        <f t="shared" ca="1" si="6"/>
        <v>0</v>
      </c>
      <c r="O52" s="275" t="str">
        <f t="shared" ca="1" si="3"/>
        <v/>
      </c>
      <c r="P52" s="275">
        <f t="shared" ca="1" si="4"/>
        <v>0</v>
      </c>
      <c r="Q52" s="282">
        <f t="shared" ca="1" si="5"/>
        <v>0</v>
      </c>
    </row>
    <row r="53" spans="3:17" ht="21" x14ac:dyDescent="0.4">
      <c r="C53" s="278" t="str">
        <f ca="1">IF(ROW()-2&gt;Start.listina!$O$7,"",INDIRECT(ADDRESS(3+(ROW()-3)*2,$D$2,1,1,"Centrum")))</f>
        <v/>
      </c>
      <c r="D53" s="278" t="str">
        <f ca="1">IF(ROW()-2&gt;Start.listina!$O$7,"",INDIRECT(ADDRESS(4+(ROW()-3)*2,$D$2,1,1,"Centrum")))</f>
        <v/>
      </c>
      <c r="E53" s="276" t="str">
        <f ca="1">IF(TYPE(VLOOKUP(C53,Centrum!$A$3:$C$130,3,0))&gt;3," - ",VLOOKUP(C53,Centrum!$A$3:$C$130,3,0))</f>
        <v xml:space="preserve"> - </v>
      </c>
      <c r="F53" s="276" t="str">
        <f ca="1">IF(TYPE(VLOOKUP(D53,Centrum!$A$3:$C$130,3,0))&gt;3," - ",VLOOKUP(D53,Centrum!$A$3:$C$130,3,0))</f>
        <v xml:space="preserve"> - </v>
      </c>
      <c r="G53" s="439" t="str">
        <f ca="1">IF(ROW()-2&gt;Start.listina!$O$7,"",ROW()-2)</f>
        <v/>
      </c>
      <c r="H53" s="272"/>
      <c r="I53" s="274"/>
      <c r="K53" s="275" t="str">
        <f t="shared" ca="1" si="0"/>
        <v/>
      </c>
      <c r="L53" s="275" t="str">
        <f t="shared" ca="1" si="1"/>
        <v/>
      </c>
      <c r="M53" s="275">
        <f t="shared" ca="1" si="2"/>
        <v>0</v>
      </c>
      <c r="N53" s="275">
        <f t="shared" ca="1" si="6"/>
        <v>0</v>
      </c>
      <c r="O53" s="275" t="str">
        <f t="shared" ca="1" si="3"/>
        <v/>
      </c>
      <c r="P53" s="275">
        <f t="shared" ca="1" si="4"/>
        <v>0</v>
      </c>
      <c r="Q53" s="282">
        <f t="shared" ca="1" si="5"/>
        <v>0</v>
      </c>
    </row>
    <row r="54" spans="3:17" ht="21" x14ac:dyDescent="0.4">
      <c r="C54" s="278" t="str">
        <f ca="1">IF(ROW()-2&gt;Start.listina!$O$7,"",INDIRECT(ADDRESS(3+(ROW()-3)*2,$D$2,1,1,"Centrum")))</f>
        <v/>
      </c>
      <c r="D54" s="278" t="str">
        <f ca="1">IF(ROW()-2&gt;Start.listina!$O$7,"",INDIRECT(ADDRESS(4+(ROW()-3)*2,$D$2,1,1,"Centrum")))</f>
        <v/>
      </c>
      <c r="E54" s="276" t="str">
        <f ca="1">IF(TYPE(VLOOKUP(C54,Centrum!$A$3:$C$130,3,0))&gt;3," - ",VLOOKUP(C54,Centrum!$A$3:$C$130,3,0))</f>
        <v xml:space="preserve"> - </v>
      </c>
      <c r="F54" s="276" t="str">
        <f ca="1">IF(TYPE(VLOOKUP(D54,Centrum!$A$3:$C$130,3,0))&gt;3," - ",VLOOKUP(D54,Centrum!$A$3:$C$130,3,0))</f>
        <v xml:space="preserve"> - </v>
      </c>
      <c r="G54" s="439" t="str">
        <f ca="1">IF(ROW()-2&gt;Start.listina!$O$7,"",ROW()-2)</f>
        <v/>
      </c>
      <c r="H54" s="272"/>
      <c r="I54" s="274"/>
      <c r="K54" s="275" t="str">
        <f t="shared" ca="1" si="0"/>
        <v/>
      </c>
      <c r="L54" s="275" t="str">
        <f t="shared" ca="1" si="1"/>
        <v/>
      </c>
      <c r="M54" s="275">
        <f t="shared" ca="1" si="2"/>
        <v>0</v>
      </c>
      <c r="N54" s="275">
        <f t="shared" ca="1" si="6"/>
        <v>0</v>
      </c>
      <c r="O54" s="275" t="str">
        <f t="shared" ca="1" si="3"/>
        <v/>
      </c>
      <c r="P54" s="275">
        <f t="shared" ca="1" si="4"/>
        <v>0</v>
      </c>
      <c r="Q54" s="282">
        <f t="shared" ca="1" si="5"/>
        <v>0</v>
      </c>
    </row>
    <row r="55" spans="3:17" ht="21" x14ac:dyDescent="0.4">
      <c r="C55" s="278" t="str">
        <f ca="1">IF(ROW()-2&gt;Start.listina!$O$7,"",INDIRECT(ADDRESS(3+(ROW()-3)*2,$D$2,1,1,"Centrum")))</f>
        <v/>
      </c>
      <c r="D55" s="278" t="str">
        <f ca="1">IF(ROW()-2&gt;Start.listina!$O$7,"",INDIRECT(ADDRESS(4+(ROW()-3)*2,$D$2,1,1,"Centrum")))</f>
        <v/>
      </c>
      <c r="E55" s="276" t="str">
        <f ca="1">IF(TYPE(VLOOKUP(C55,Centrum!$A$3:$C$130,3,0))&gt;3," - ",VLOOKUP(C55,Centrum!$A$3:$C$130,3,0))</f>
        <v xml:space="preserve"> - </v>
      </c>
      <c r="F55" s="276" t="str">
        <f ca="1">IF(TYPE(VLOOKUP(D55,Centrum!$A$3:$C$130,3,0))&gt;3," - ",VLOOKUP(D55,Centrum!$A$3:$C$130,3,0))</f>
        <v xml:space="preserve"> - </v>
      </c>
      <c r="G55" s="439" t="str">
        <f ca="1">IF(ROW()-2&gt;Start.listina!$O$7,"",ROW()-2)</f>
        <v/>
      </c>
      <c r="H55" s="272"/>
      <c r="I55" s="274"/>
      <c r="K55" s="275" t="str">
        <f t="shared" ca="1" si="0"/>
        <v/>
      </c>
      <c r="L55" s="275" t="str">
        <f t="shared" ca="1" si="1"/>
        <v/>
      </c>
      <c r="M55" s="275">
        <f t="shared" ca="1" si="2"/>
        <v>0</v>
      </c>
      <c r="N55" s="275">
        <f t="shared" ca="1" si="6"/>
        <v>0</v>
      </c>
      <c r="O55" s="275" t="str">
        <f t="shared" ca="1" si="3"/>
        <v/>
      </c>
      <c r="P55" s="275">
        <f t="shared" ca="1" si="4"/>
        <v>0</v>
      </c>
      <c r="Q55" s="282">
        <f t="shared" ca="1" si="5"/>
        <v>0</v>
      </c>
    </row>
    <row r="56" spans="3:17" ht="21" x14ac:dyDescent="0.4">
      <c r="C56" s="278" t="str">
        <f ca="1">IF(ROW()-2&gt;Start.listina!$O$7,"",INDIRECT(ADDRESS(3+(ROW()-3)*2,$D$2,1,1,"Centrum")))</f>
        <v/>
      </c>
      <c r="D56" s="278" t="str">
        <f ca="1">IF(ROW()-2&gt;Start.listina!$O$7,"",INDIRECT(ADDRESS(4+(ROW()-3)*2,$D$2,1,1,"Centrum")))</f>
        <v/>
      </c>
      <c r="E56" s="276" t="str">
        <f ca="1">IF(TYPE(VLOOKUP(C56,Centrum!$A$3:$C$130,3,0))&gt;3," - ",VLOOKUP(C56,Centrum!$A$3:$C$130,3,0))</f>
        <v xml:space="preserve"> - </v>
      </c>
      <c r="F56" s="276" t="str">
        <f ca="1">IF(TYPE(VLOOKUP(D56,Centrum!$A$3:$C$130,3,0))&gt;3," - ",VLOOKUP(D56,Centrum!$A$3:$C$130,3,0))</f>
        <v xml:space="preserve"> - </v>
      </c>
      <c r="G56" s="439" t="str">
        <f ca="1">IF(ROW()-2&gt;Start.listina!$O$7,"",ROW()-2)</f>
        <v/>
      </c>
      <c r="H56" s="272"/>
      <c r="I56" s="274"/>
      <c r="K56" s="275" t="str">
        <f t="shared" ca="1" si="0"/>
        <v/>
      </c>
      <c r="L56" s="275" t="str">
        <f t="shared" ca="1" si="1"/>
        <v/>
      </c>
      <c r="M56" s="275">
        <f t="shared" ca="1" si="2"/>
        <v>0</v>
      </c>
      <c r="N56" s="275">
        <f t="shared" ca="1" si="6"/>
        <v>0</v>
      </c>
      <c r="O56" s="275" t="str">
        <f t="shared" ca="1" si="3"/>
        <v/>
      </c>
      <c r="P56" s="275">
        <f t="shared" ca="1" si="4"/>
        <v>0</v>
      </c>
      <c r="Q56" s="282">
        <f t="shared" ca="1" si="5"/>
        <v>0</v>
      </c>
    </row>
    <row r="57" spans="3:17" ht="21" x14ac:dyDescent="0.4">
      <c r="C57" s="278" t="str">
        <f ca="1">IF(ROW()-2&gt;Start.listina!$O$7,"",INDIRECT(ADDRESS(3+(ROW()-3)*2,$D$2,1,1,"Centrum")))</f>
        <v/>
      </c>
      <c r="D57" s="278" t="str">
        <f ca="1">IF(ROW()-2&gt;Start.listina!$O$7,"",INDIRECT(ADDRESS(4+(ROW()-3)*2,$D$2,1,1,"Centrum")))</f>
        <v/>
      </c>
      <c r="E57" s="276" t="str">
        <f ca="1">IF(TYPE(VLOOKUP(C57,Centrum!$A$3:$C$130,3,0))&gt;3," - ",VLOOKUP(C57,Centrum!$A$3:$C$130,3,0))</f>
        <v xml:space="preserve"> - </v>
      </c>
      <c r="F57" s="276" t="str">
        <f ca="1">IF(TYPE(VLOOKUP(D57,Centrum!$A$3:$C$130,3,0))&gt;3," - ",VLOOKUP(D57,Centrum!$A$3:$C$130,3,0))</f>
        <v xml:space="preserve"> - </v>
      </c>
      <c r="G57" s="439" t="str">
        <f ca="1">IF(ROW()-2&gt;Start.listina!$O$7,"",ROW()-2)</f>
        <v/>
      </c>
      <c r="H57" s="272"/>
      <c r="I57" s="274"/>
      <c r="K57" s="275" t="str">
        <f t="shared" ca="1" si="0"/>
        <v/>
      </c>
      <c r="L57" s="275" t="str">
        <f t="shared" ca="1" si="1"/>
        <v/>
      </c>
      <c r="M57" s="275">
        <f t="shared" ca="1" si="2"/>
        <v>0</v>
      </c>
      <c r="N57" s="275">
        <f t="shared" ca="1" si="6"/>
        <v>0</v>
      </c>
      <c r="O57" s="275" t="str">
        <f t="shared" ca="1" si="3"/>
        <v/>
      </c>
      <c r="P57" s="275">
        <f t="shared" ca="1" si="4"/>
        <v>0</v>
      </c>
      <c r="Q57" s="282">
        <f t="shared" ca="1" si="5"/>
        <v>0</v>
      </c>
    </row>
    <row r="58" spans="3:17" ht="21" x14ac:dyDescent="0.4">
      <c r="C58" s="278" t="str">
        <f ca="1">IF(ROW()-2&gt;Start.listina!$O$7,"",INDIRECT(ADDRESS(3+(ROW()-3)*2,$D$2,1,1,"Centrum")))</f>
        <v/>
      </c>
      <c r="D58" s="278" t="str">
        <f ca="1">IF(ROW()-2&gt;Start.listina!$O$7,"",INDIRECT(ADDRESS(4+(ROW()-3)*2,$D$2,1,1,"Centrum")))</f>
        <v/>
      </c>
      <c r="E58" s="276" t="str">
        <f ca="1">IF(TYPE(VLOOKUP(C58,Centrum!$A$3:$C$130,3,0))&gt;3," - ",VLOOKUP(C58,Centrum!$A$3:$C$130,3,0))</f>
        <v xml:space="preserve"> - </v>
      </c>
      <c r="F58" s="276" t="str">
        <f ca="1">IF(TYPE(VLOOKUP(D58,Centrum!$A$3:$C$130,3,0))&gt;3," - ",VLOOKUP(D58,Centrum!$A$3:$C$130,3,0))</f>
        <v xml:space="preserve"> - </v>
      </c>
      <c r="G58" s="439" t="str">
        <f ca="1">IF(ROW()-2&gt;Start.listina!$O$7,"",ROW()-2)</f>
        <v/>
      </c>
      <c r="H58" s="272"/>
      <c r="I58" s="274"/>
      <c r="K58" s="275" t="str">
        <f t="shared" ca="1" si="0"/>
        <v/>
      </c>
      <c r="L58" s="275" t="str">
        <f t="shared" ca="1" si="1"/>
        <v/>
      </c>
      <c r="M58" s="275">
        <f t="shared" ca="1" si="2"/>
        <v>0</v>
      </c>
      <c r="N58" s="275">
        <f t="shared" ca="1" si="6"/>
        <v>0</v>
      </c>
      <c r="O58" s="275" t="str">
        <f t="shared" ca="1" si="3"/>
        <v/>
      </c>
      <c r="P58" s="275">
        <f t="shared" ca="1" si="4"/>
        <v>0</v>
      </c>
      <c r="Q58" s="282">
        <f t="shared" ca="1" si="5"/>
        <v>0</v>
      </c>
    </row>
    <row r="59" spans="3:17" ht="21" x14ac:dyDescent="0.4">
      <c r="C59" s="278" t="str">
        <f ca="1">IF(ROW()-2&gt;Start.listina!$O$7,"",INDIRECT(ADDRESS(3+(ROW()-3)*2,$D$2,1,1,"Centrum")))</f>
        <v/>
      </c>
      <c r="D59" s="278" t="str">
        <f ca="1">IF(ROW()-2&gt;Start.listina!$O$7,"",INDIRECT(ADDRESS(4+(ROW()-3)*2,$D$2,1,1,"Centrum")))</f>
        <v/>
      </c>
      <c r="E59" s="276" t="str">
        <f ca="1">IF(TYPE(VLOOKUP(C59,Centrum!$A$3:$C$130,3,0))&gt;3," - ",VLOOKUP(C59,Centrum!$A$3:$C$130,3,0))</f>
        <v xml:space="preserve"> - </v>
      </c>
      <c r="F59" s="276" t="str">
        <f ca="1">IF(TYPE(VLOOKUP(D59,Centrum!$A$3:$C$130,3,0))&gt;3," - ",VLOOKUP(D59,Centrum!$A$3:$C$130,3,0))</f>
        <v xml:space="preserve"> - </v>
      </c>
      <c r="G59" s="439" t="str">
        <f ca="1">IF(ROW()-2&gt;Start.listina!$O$7,"",ROW()-2)</f>
        <v/>
      </c>
      <c r="H59" s="272"/>
      <c r="I59" s="274"/>
      <c r="K59" s="275" t="str">
        <f t="shared" ca="1" si="0"/>
        <v/>
      </c>
      <c r="L59" s="275" t="str">
        <f t="shared" ca="1" si="1"/>
        <v/>
      </c>
      <c r="M59" s="275">
        <f t="shared" ca="1" si="2"/>
        <v>0</v>
      </c>
      <c r="N59" s="275">
        <f t="shared" ca="1" si="6"/>
        <v>0</v>
      </c>
      <c r="O59" s="275" t="str">
        <f t="shared" ca="1" si="3"/>
        <v/>
      </c>
      <c r="P59" s="275">
        <f t="shared" ca="1" si="4"/>
        <v>0</v>
      </c>
      <c r="Q59" s="282">
        <f t="shared" ca="1" si="5"/>
        <v>0</v>
      </c>
    </row>
    <row r="60" spans="3:17" ht="21" x14ac:dyDescent="0.4">
      <c r="C60" s="278" t="str">
        <f ca="1">IF(ROW()-2&gt;Start.listina!$O$7,"",INDIRECT(ADDRESS(3+(ROW()-3)*2,$D$2,1,1,"Centrum")))</f>
        <v/>
      </c>
      <c r="D60" s="278" t="str">
        <f ca="1">IF(ROW()-2&gt;Start.listina!$O$7,"",INDIRECT(ADDRESS(4+(ROW()-3)*2,$D$2,1,1,"Centrum")))</f>
        <v/>
      </c>
      <c r="E60" s="276" t="str">
        <f ca="1">IF(TYPE(VLOOKUP(C60,Centrum!$A$3:$C$130,3,0))&gt;3," - ",VLOOKUP(C60,Centrum!$A$3:$C$130,3,0))</f>
        <v xml:space="preserve"> - </v>
      </c>
      <c r="F60" s="276" t="str">
        <f ca="1">IF(TYPE(VLOOKUP(D60,Centrum!$A$3:$C$130,3,0))&gt;3," - ",VLOOKUP(D60,Centrum!$A$3:$C$130,3,0))</f>
        <v xml:space="preserve"> - </v>
      </c>
      <c r="G60" s="439" t="str">
        <f ca="1">IF(ROW()-2&gt;Start.listina!$O$7,"",ROW()-2)</f>
        <v/>
      </c>
      <c r="H60" s="272"/>
      <c r="I60" s="274"/>
      <c r="K60" s="275" t="str">
        <f t="shared" ca="1" si="0"/>
        <v/>
      </c>
      <c r="L60" s="275" t="str">
        <f t="shared" ca="1" si="1"/>
        <v/>
      </c>
      <c r="M60" s="275">
        <f t="shared" ca="1" si="2"/>
        <v>0</v>
      </c>
      <c r="N60" s="275">
        <f t="shared" ca="1" si="6"/>
        <v>0</v>
      </c>
      <c r="O60" s="275" t="str">
        <f t="shared" ca="1" si="3"/>
        <v/>
      </c>
      <c r="P60" s="275">
        <f t="shared" ca="1" si="4"/>
        <v>0</v>
      </c>
      <c r="Q60" s="282">
        <f t="shared" ca="1" si="5"/>
        <v>0</v>
      </c>
    </row>
    <row r="61" spans="3:17" ht="21" x14ac:dyDescent="0.4">
      <c r="C61" s="278" t="str">
        <f ca="1">IF(ROW()-2&gt;Start.listina!$O$7,"",INDIRECT(ADDRESS(3+(ROW()-3)*2,$D$2,1,1,"Centrum")))</f>
        <v/>
      </c>
      <c r="D61" s="278" t="str">
        <f ca="1">IF(ROW()-2&gt;Start.listina!$O$7,"",INDIRECT(ADDRESS(4+(ROW()-3)*2,$D$2,1,1,"Centrum")))</f>
        <v/>
      </c>
      <c r="E61" s="276" t="str">
        <f ca="1">IF(TYPE(VLOOKUP(C61,Centrum!$A$3:$C$130,3,0))&gt;3," - ",VLOOKUP(C61,Centrum!$A$3:$C$130,3,0))</f>
        <v xml:space="preserve"> - </v>
      </c>
      <c r="F61" s="276" t="str">
        <f ca="1">IF(TYPE(VLOOKUP(D61,Centrum!$A$3:$C$130,3,0))&gt;3," - ",VLOOKUP(D61,Centrum!$A$3:$C$130,3,0))</f>
        <v xml:space="preserve"> - </v>
      </c>
      <c r="G61" s="439" t="str">
        <f ca="1">IF(ROW()-2&gt;Start.listina!$O$7,"",ROW()-2)</f>
        <v/>
      </c>
      <c r="H61" s="272"/>
      <c r="I61" s="274"/>
      <c r="K61" s="275" t="str">
        <f t="shared" ca="1" si="0"/>
        <v/>
      </c>
      <c r="L61" s="275" t="str">
        <f t="shared" ca="1" si="1"/>
        <v/>
      </c>
      <c r="M61" s="275">
        <f t="shared" ca="1" si="2"/>
        <v>0</v>
      </c>
      <c r="N61" s="275">
        <f t="shared" ca="1" si="6"/>
        <v>0</v>
      </c>
      <c r="O61" s="275" t="str">
        <f t="shared" ca="1" si="3"/>
        <v/>
      </c>
      <c r="P61" s="275">
        <f t="shared" ca="1" si="4"/>
        <v>0</v>
      </c>
      <c r="Q61" s="282">
        <f t="shared" ca="1" si="5"/>
        <v>0</v>
      </c>
    </row>
    <row r="62" spans="3:17" ht="21" x14ac:dyDescent="0.4">
      <c r="C62" s="278" t="str">
        <f ca="1">IF(ROW()-2&gt;Start.listina!$O$7,"",INDIRECT(ADDRESS(3+(ROW()-3)*2,$D$2,1,1,"Centrum")))</f>
        <v/>
      </c>
      <c r="D62" s="278" t="str">
        <f ca="1">IF(ROW()-2&gt;Start.listina!$O$7,"",INDIRECT(ADDRESS(4+(ROW()-3)*2,$D$2,1,1,"Centrum")))</f>
        <v/>
      </c>
      <c r="E62" s="276" t="str">
        <f ca="1">IF(TYPE(VLOOKUP(C62,Centrum!$A$3:$C$130,3,0))&gt;3," - ",VLOOKUP(C62,Centrum!$A$3:$C$130,3,0))</f>
        <v xml:space="preserve"> - </v>
      </c>
      <c r="F62" s="276" t="str">
        <f ca="1">IF(TYPE(VLOOKUP(D62,Centrum!$A$3:$C$130,3,0))&gt;3," - ",VLOOKUP(D62,Centrum!$A$3:$C$130,3,0))</f>
        <v xml:space="preserve"> - </v>
      </c>
      <c r="G62" s="439" t="str">
        <f ca="1">IF(ROW()-2&gt;Start.listina!$O$7,"",ROW()-2)</f>
        <v/>
      </c>
      <c r="H62" s="272"/>
      <c r="I62" s="274"/>
      <c r="K62" s="275" t="str">
        <f t="shared" ca="1" si="0"/>
        <v/>
      </c>
      <c r="L62" s="275" t="str">
        <f t="shared" ca="1" si="1"/>
        <v/>
      </c>
      <c r="M62" s="275">
        <f t="shared" ca="1" si="2"/>
        <v>0</v>
      </c>
      <c r="N62" s="275">
        <f t="shared" ca="1" si="6"/>
        <v>0</v>
      </c>
      <c r="O62" s="275" t="str">
        <f t="shared" ca="1" si="3"/>
        <v/>
      </c>
      <c r="P62" s="275">
        <f t="shared" ca="1" si="4"/>
        <v>0</v>
      </c>
      <c r="Q62" s="282">
        <f t="shared" ca="1" si="5"/>
        <v>0</v>
      </c>
    </row>
    <row r="63" spans="3:17" ht="21" x14ac:dyDescent="0.4">
      <c r="C63" s="278" t="str">
        <f ca="1">IF(ROW()-2&gt;Start.listina!$O$7,"",INDIRECT(ADDRESS(3+(ROW()-3)*2,$D$2,1,1,"Centrum")))</f>
        <v/>
      </c>
      <c r="D63" s="278" t="str">
        <f ca="1">IF(ROW()-2&gt;Start.listina!$O$7,"",INDIRECT(ADDRESS(4+(ROW()-3)*2,$D$2,1,1,"Centrum")))</f>
        <v/>
      </c>
      <c r="E63" s="276" t="str">
        <f ca="1">IF(TYPE(VLOOKUP(C63,Centrum!$A$3:$C$130,3,0))&gt;3," - ",VLOOKUP(C63,Centrum!$A$3:$C$130,3,0))</f>
        <v xml:space="preserve"> - </v>
      </c>
      <c r="F63" s="276" t="str">
        <f ca="1">IF(TYPE(VLOOKUP(D63,Centrum!$A$3:$C$130,3,0))&gt;3," - ",VLOOKUP(D63,Centrum!$A$3:$C$130,3,0))</f>
        <v xml:space="preserve"> - </v>
      </c>
      <c r="G63" s="439" t="str">
        <f ca="1">IF(ROW()-2&gt;Start.listina!$O$7,"",ROW()-2)</f>
        <v/>
      </c>
      <c r="H63" s="272"/>
      <c r="I63" s="274"/>
      <c r="K63" s="275" t="str">
        <f t="shared" ca="1" si="0"/>
        <v/>
      </c>
      <c r="L63" s="275" t="str">
        <f t="shared" ca="1" si="1"/>
        <v/>
      </c>
      <c r="M63" s="275">
        <f t="shared" ca="1" si="2"/>
        <v>0</v>
      </c>
      <c r="N63" s="275">
        <f t="shared" ca="1" si="6"/>
        <v>0</v>
      </c>
      <c r="O63" s="275" t="str">
        <f t="shared" ca="1" si="3"/>
        <v/>
      </c>
      <c r="P63" s="275">
        <f t="shared" ca="1" si="4"/>
        <v>0</v>
      </c>
      <c r="Q63" s="282">
        <f t="shared" ca="1" si="5"/>
        <v>0</v>
      </c>
    </row>
    <row r="64" spans="3:17" ht="21" x14ac:dyDescent="0.4">
      <c r="C64" s="278" t="str">
        <f ca="1">IF(ROW()-2&gt;Start.listina!$O$7,"",INDIRECT(ADDRESS(3+(ROW()-3)*2,$D$2,1,1,"Centrum")))</f>
        <v/>
      </c>
      <c r="D64" s="278" t="str">
        <f ca="1">IF(ROW()-2&gt;Start.listina!$O$7,"",INDIRECT(ADDRESS(4+(ROW()-3)*2,$D$2,1,1,"Centrum")))</f>
        <v/>
      </c>
      <c r="E64" s="276" t="str">
        <f ca="1">IF(TYPE(VLOOKUP(C64,Centrum!$A$3:$C$130,3,0))&gt;3," - ",VLOOKUP(C64,Centrum!$A$3:$C$130,3,0))</f>
        <v xml:space="preserve"> - </v>
      </c>
      <c r="F64" s="276" t="str">
        <f ca="1">IF(TYPE(VLOOKUP(D64,Centrum!$A$3:$C$130,3,0))&gt;3," - ",VLOOKUP(D64,Centrum!$A$3:$C$130,3,0))</f>
        <v xml:space="preserve"> - </v>
      </c>
      <c r="G64" s="439" t="str">
        <f ca="1">IF(ROW()-2&gt;Start.listina!$O$7,"",ROW()-2)</f>
        <v/>
      </c>
      <c r="H64" s="272"/>
      <c r="I64" s="274"/>
      <c r="K64" s="275" t="str">
        <f t="shared" ca="1" si="0"/>
        <v/>
      </c>
      <c r="L64" s="275" t="str">
        <f t="shared" ca="1" si="1"/>
        <v/>
      </c>
      <c r="M64" s="275">
        <f t="shared" ca="1" si="2"/>
        <v>0</v>
      </c>
      <c r="N64" s="275">
        <f t="shared" ca="1" si="6"/>
        <v>0</v>
      </c>
      <c r="O64" s="275" t="str">
        <f t="shared" ca="1" si="3"/>
        <v/>
      </c>
      <c r="P64" s="275">
        <f t="shared" ca="1" si="4"/>
        <v>0</v>
      </c>
      <c r="Q64" s="282">
        <f t="shared" ca="1" si="5"/>
        <v>0</v>
      </c>
    </row>
    <row r="65" spans="3:17" ht="21" x14ac:dyDescent="0.4">
      <c r="C65" s="278" t="str">
        <f ca="1">IF(ROW()-2&gt;Start.listina!$O$7,"",INDIRECT(ADDRESS(3+(ROW()-3)*2,$D$2,1,1,"Centrum")))</f>
        <v/>
      </c>
      <c r="D65" s="278" t="str">
        <f ca="1">IF(ROW()-2&gt;Start.listina!$O$7,"",INDIRECT(ADDRESS(4+(ROW()-3)*2,$D$2,1,1,"Centrum")))</f>
        <v/>
      </c>
      <c r="E65" s="276" t="str">
        <f ca="1">IF(TYPE(VLOOKUP(C65,Centrum!$A$3:$C$130,3,0))&gt;3," - ",VLOOKUP(C65,Centrum!$A$3:$C$130,3,0))</f>
        <v xml:space="preserve"> - </v>
      </c>
      <c r="F65" s="276" t="str">
        <f ca="1">IF(TYPE(VLOOKUP(D65,Centrum!$A$3:$C$130,3,0))&gt;3," - ",VLOOKUP(D65,Centrum!$A$3:$C$130,3,0))</f>
        <v xml:space="preserve"> - </v>
      </c>
      <c r="G65" s="439" t="str">
        <f ca="1">IF(ROW()-2&gt;Start.listina!$O$7,"",ROW()-2)</f>
        <v/>
      </c>
      <c r="H65" s="272"/>
      <c r="I65" s="274"/>
      <c r="K65" s="275" t="str">
        <f t="shared" ca="1" si="0"/>
        <v/>
      </c>
      <c r="L65" s="275" t="str">
        <f t="shared" ca="1" si="1"/>
        <v/>
      </c>
      <c r="M65" s="275">
        <f t="shared" ca="1" si="2"/>
        <v>0</v>
      </c>
      <c r="N65" s="275">
        <f t="shared" ca="1" si="6"/>
        <v>0</v>
      </c>
      <c r="O65" s="275" t="str">
        <f t="shared" ca="1" si="3"/>
        <v/>
      </c>
      <c r="P65" s="275">
        <f t="shared" ca="1" si="4"/>
        <v>0</v>
      </c>
      <c r="Q65" s="282">
        <f t="shared" ca="1" si="5"/>
        <v>0</v>
      </c>
    </row>
    <row r="66" spans="3:17" ht="21" x14ac:dyDescent="0.4">
      <c r="C66" s="278" t="str">
        <f ca="1">IF(ROW()-2&gt;Start.listina!$O$7,"",INDIRECT(ADDRESS(3+(ROW()-3)*2,$D$2,1,1,"Centrum")))</f>
        <v/>
      </c>
      <c r="D66" s="278" t="str">
        <f ca="1">IF(ROW()-2&gt;Start.listina!$O$7,"",INDIRECT(ADDRESS(4+(ROW()-3)*2,$D$2,1,1,"Centrum")))</f>
        <v/>
      </c>
      <c r="E66" s="276" t="str">
        <f ca="1">IF(TYPE(VLOOKUP(C66,Centrum!$A$3:$C$130,3,0))&gt;3," - ",VLOOKUP(C66,Centrum!$A$3:$C$130,3,0))</f>
        <v xml:space="preserve"> - </v>
      </c>
      <c r="F66" s="276" t="str">
        <f ca="1">IF(TYPE(VLOOKUP(D66,Centrum!$A$3:$C$130,3,0))&gt;3," - ",VLOOKUP(D66,Centrum!$A$3:$C$130,3,0))</f>
        <v xml:space="preserve"> - </v>
      </c>
      <c r="G66" s="439" t="str">
        <f ca="1">IF(ROW()-2&gt;Start.listina!$O$7,"",ROW()-2)</f>
        <v/>
      </c>
      <c r="H66" s="272"/>
      <c r="I66" s="274"/>
      <c r="K66" s="275" t="str">
        <f ca="1">IF(TRIM($F66)="-","",$D66)</f>
        <v/>
      </c>
      <c r="L66" s="275" t="str">
        <f ca="1">IF(TRIM($E66)="-","",$C66)</f>
        <v/>
      </c>
      <c r="M66" s="275">
        <f ca="1">IF(AND(TRIM($E66)&lt;&gt;"-",$H66&gt;$I66),1,0)</f>
        <v>0</v>
      </c>
      <c r="N66" s="275">
        <f t="shared" ca="1" si="6"/>
        <v>0</v>
      </c>
      <c r="O66" s="275" t="str">
        <f ca="1">IF(TRIM($F66)="-","",$D66)</f>
        <v/>
      </c>
      <c r="P66" s="275">
        <f ca="1">IF(AND(TRIM($F66)&lt;&gt;"-",$I66&gt;$H66),1,0)</f>
        <v>0</v>
      </c>
      <c r="Q66" s="282">
        <f ca="1">IF(TRIM($F66)="-",0,$I66-$H66)</f>
        <v>0</v>
      </c>
    </row>
  </sheetData>
  <sheetProtection password="CA1B" sheet="1" formatCells="0" formatColumns="0" formatRows="0"/>
  <mergeCells count="2">
    <mergeCell ref="H1:I1"/>
    <mergeCell ref="H2:I2"/>
  </mergeCells>
  <phoneticPr fontId="0" type="noConversion"/>
  <conditionalFormatting sqref="J1:J2">
    <cfRule type="cellIs" dxfId="83" priority="1" stopIfTrue="1" operator="greaterThan">
      <formula>0</formula>
    </cfRule>
  </conditionalFormatting>
  <conditionalFormatting sqref="E3:E66">
    <cfRule type="expression" dxfId="82" priority="2" stopIfTrue="1">
      <formula>IF($H3&gt;$I3,TRUE,FALSE)</formula>
    </cfRule>
  </conditionalFormatting>
  <conditionalFormatting sqref="F3:F66">
    <cfRule type="expression" dxfId="81" priority="3" stopIfTrue="1">
      <formula>IF($I3&gt;$H3,TRUE,FALSE)</formula>
    </cfRule>
  </conditionalFormatting>
  <pageMargins left="0.78740157499999996" right="0.78740157499999996" top="0.49" bottom="0.63" header="0.4921259845" footer="0.4921259845"/>
  <pageSetup paperSize="9" scale="94" fitToHeight="2" orientation="portrait" horizontalDpi="300" verticalDpi="300" r:id="rId1"/>
  <headerFooter alignWithMargins="0"/>
  <rowBreaks count="1" manualBreakCount="1">
    <brk id="33" max="16383" man="1"/>
  </rowBreaks>
  <colBreaks count="1" manualBreakCount="1">
    <brk id="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2530" r:id="rId4" name="Button 2">
              <controlPr defaultSize="0" print="0" autoFill="0" autoPict="0" macro="[0]!Kolo5">
                <anchor moveWithCells="1">
                  <from>
                    <xdr:col>9</xdr:col>
                    <xdr:colOff>38100</xdr:colOff>
                    <xdr:row>0</xdr:row>
                    <xdr:rowOff>136071</xdr:rowOff>
                  </from>
                  <to>
                    <xdr:col>9</xdr:col>
                    <xdr:colOff>936171</xdr:colOff>
                    <xdr:row>1</xdr:row>
                    <xdr:rowOff>381000</xdr:rowOff>
                  </to>
                </anchor>
              </controlPr>
            </control>
          </mc:Choice>
        </mc:AlternateContent>
        <mc:AlternateContent xmlns:mc="http://schemas.openxmlformats.org/markup-compatibility/2006">
          <mc:Choice Requires="x14">
            <control shapeId="22531" r:id="rId5" name="Button 3">
              <controlPr defaultSize="0" print="0" autoFill="0" autoPict="0" macro="[0]!TrideniPostupuoKO">
                <anchor moveWithCells="1">
                  <from>
                    <xdr:col>9</xdr:col>
                    <xdr:colOff>38100</xdr:colOff>
                    <xdr:row>2</xdr:row>
                    <xdr:rowOff>48986</xdr:rowOff>
                  </from>
                  <to>
                    <xdr:col>9</xdr:col>
                    <xdr:colOff>936171</xdr:colOff>
                    <xdr:row>4</xdr:row>
                    <xdr:rowOff>141514</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List60">
    <tabColor theme="3" tint="-0.249977111117893"/>
    <pageSetUpPr fitToPage="1"/>
  </sheetPr>
  <dimension ref="A1:AI66"/>
  <sheetViews>
    <sheetView view="pageBreakPreview" zoomScaleNormal="100" zoomScaleSheetLayoutView="100" workbookViewId="0">
      <pane xSplit="7" ySplit="2" topLeftCell="H3" activePane="bottomRight" state="frozen"/>
      <selection pane="topRight" activeCell="H3" sqref="H3"/>
      <selection pane="bottomLeft" activeCell="H3" sqref="H3"/>
      <selection pane="bottomRight" activeCell="H3" sqref="H3"/>
    </sheetView>
  </sheetViews>
  <sheetFormatPr defaultRowHeight="12" x14ac:dyDescent="0.4"/>
  <cols>
    <col min="1" max="1" width="2" hidden="1" customWidth="1"/>
    <col min="2" max="2" width="1.75" hidden="1" customWidth="1"/>
    <col min="3" max="3" width="4.4140625" hidden="1" customWidth="1"/>
    <col min="4" max="4" width="4" hidden="1" customWidth="1"/>
    <col min="5" max="6" width="41.75" customWidth="1"/>
    <col min="7" max="7" width="5.4140625" customWidth="1"/>
    <col min="8" max="9" width="6.4140625" customWidth="1"/>
    <col min="10" max="10" width="26.83203125" customWidth="1"/>
    <col min="11" max="17" width="9" hidden="1" customWidth="1"/>
  </cols>
  <sheetData>
    <row r="1" spans="3:35" ht="30.9" thickBot="1" x14ac:dyDescent="0.5">
      <c r="E1" s="284" t="s">
        <v>1644</v>
      </c>
      <c r="F1" s="277" t="str">
        <f>Start.listina!$K$4</f>
        <v>Turnaj Piráta Morgana</v>
      </c>
      <c r="G1" s="1"/>
      <c r="H1" s="476" t="str">
        <f>Start.listina!$K$3</f>
        <v>28.04.2024</v>
      </c>
      <c r="I1" s="477"/>
      <c r="J1" s="283">
        <f ca="1">INDIRECT(ADDRESS(1,$D$2+2,1,1,"Centrum"))</f>
        <v>0</v>
      </c>
      <c r="K1" t="s">
        <v>1633</v>
      </c>
      <c r="L1" s="1"/>
      <c r="M1" s="1"/>
      <c r="N1" s="1"/>
      <c r="O1" s="1"/>
      <c r="P1" s="1"/>
      <c r="Q1" s="1"/>
      <c r="R1" s="1"/>
      <c r="S1" s="1"/>
      <c r="T1" s="1"/>
      <c r="U1" s="1"/>
      <c r="V1" s="1"/>
      <c r="W1" s="1"/>
      <c r="X1" s="1"/>
      <c r="Y1" s="1"/>
      <c r="Z1" s="1"/>
      <c r="AA1" s="1"/>
      <c r="AB1" s="1"/>
      <c r="AC1" s="1"/>
      <c r="AD1" s="1"/>
      <c r="AE1" s="1"/>
      <c r="AF1" s="1"/>
      <c r="AG1" s="1"/>
      <c r="AH1" s="1"/>
      <c r="AI1" s="1"/>
    </row>
    <row r="2" spans="3:35" ht="42.65" customHeight="1" thickTop="1" thickBot="1" x14ac:dyDescent="0.45">
      <c r="D2" s="243">
        <v>82</v>
      </c>
      <c r="E2" s="8" t="s">
        <v>1634</v>
      </c>
      <c r="F2" s="8" t="s">
        <v>1635</v>
      </c>
      <c r="G2" s="273" t="s">
        <v>1636</v>
      </c>
      <c r="H2" s="474" t="s">
        <v>1637</v>
      </c>
      <c r="I2" s="475"/>
      <c r="J2" s="283">
        <f ca="1">INDIRECT(ADDRESS(1,$D$2+2,1,1,"Centrum"))</f>
        <v>0</v>
      </c>
      <c r="K2" s="279" t="s">
        <v>1638</v>
      </c>
      <c r="L2" s="279" t="s">
        <v>1639</v>
      </c>
      <c r="M2" s="279" t="s">
        <v>1591</v>
      </c>
      <c r="N2" s="280" t="s">
        <v>1596</v>
      </c>
      <c r="O2" s="279" t="s">
        <v>1638</v>
      </c>
      <c r="P2" s="279" t="s">
        <v>1591</v>
      </c>
      <c r="Q2" s="280" t="s">
        <v>1596</v>
      </c>
    </row>
    <row r="3" spans="3:35" ht="21" x14ac:dyDescent="0.4">
      <c r="C3" s="278">
        <f ca="1">IF(ROW()-2&gt;Start.listina!$O$7,"",INDIRECT(ADDRESS(3+(ROW()-3)*2,$D$2,1,1,"Centrum")))</f>
        <v>0</v>
      </c>
      <c r="D3" s="278">
        <f ca="1">IF(ROW()-2&gt;Start.listina!$O$7,"",INDIRECT(ADDRESS(4+(ROW()-3)*2,$D$2,1,1,"Centrum")))</f>
        <v>0</v>
      </c>
      <c r="E3" s="276" t="str">
        <f ca="1">IF(TYPE(VLOOKUP(C3,Centrum!$A$3:$C$130,3,0))&gt;3," - ",VLOOKUP(C3,Centrum!$A$3:$C$130,3,0))</f>
        <v xml:space="preserve"> - </v>
      </c>
      <c r="F3" s="276" t="str">
        <f ca="1">IF(TYPE(VLOOKUP(D3,Centrum!$A$3:$C$130,3,0))&gt;3," - ",VLOOKUP(D3,Centrum!$A$3:$C$130,3,0))</f>
        <v xml:space="preserve"> - </v>
      </c>
      <c r="G3" s="439">
        <f ca="1">IF(ROW()-2&gt;Start.listina!$O$7,"",ROW()-2)</f>
        <v>1</v>
      </c>
      <c r="H3" s="272"/>
      <c r="I3" s="274"/>
      <c r="K3" s="275" t="str">
        <f t="shared" ref="K3:K65" ca="1" si="0">IF(TRIM($F3)="-","",$D3)</f>
        <v/>
      </c>
      <c r="L3" s="275" t="str">
        <f t="shared" ref="L3:L65" ca="1" si="1">IF(TRIM($E3)="-","",$C3)</f>
        <v/>
      </c>
      <c r="M3" s="275">
        <f t="shared" ref="M3:M65" ca="1" si="2">IF(AND(TRIM($E3)&lt;&gt;"-",$H3&gt;$I3),1,0)</f>
        <v>0</v>
      </c>
      <c r="N3" s="275">
        <f ca="1">IF(TRIM($E3)="-",0,$H3-$I3)</f>
        <v>0</v>
      </c>
      <c r="O3" s="275" t="str">
        <f t="shared" ref="O3:O65" ca="1" si="3">IF(TRIM($F3)="-","",$D3)</f>
        <v/>
      </c>
      <c r="P3" s="275">
        <f t="shared" ref="P3:P65" ca="1" si="4">IF(AND(TRIM($F3)&lt;&gt;"-",$I3&gt;$H3),1,0)</f>
        <v>0</v>
      </c>
      <c r="Q3" s="281">
        <f t="shared" ref="Q3:Q65" ca="1" si="5">IF(TRIM($F3)="-",0,$I3-$H3)</f>
        <v>0</v>
      </c>
    </row>
    <row r="4" spans="3:35" ht="21" x14ac:dyDescent="0.4">
      <c r="C4" s="278">
        <f ca="1">IF(ROW()-2&gt;Start.listina!$O$7,"",INDIRECT(ADDRESS(3+(ROW()-3)*2,$D$2,1,1,"Centrum")))</f>
        <v>0</v>
      </c>
      <c r="D4" s="278">
        <f ca="1">IF(ROW()-2&gt;Start.listina!$O$7,"",INDIRECT(ADDRESS(4+(ROW()-3)*2,$D$2,1,1,"Centrum")))</f>
        <v>0</v>
      </c>
      <c r="E4" s="276" t="str">
        <f ca="1">IF(TYPE(VLOOKUP(C4,Centrum!$A$3:$C$130,3,0))&gt;3," - ",VLOOKUP(C4,Centrum!$A$3:$C$130,3,0))</f>
        <v xml:space="preserve"> - </v>
      </c>
      <c r="F4" s="276" t="str">
        <f ca="1">IF(TYPE(VLOOKUP(D4,Centrum!$A$3:$C$130,3,0))&gt;3," - ",VLOOKUP(D4,Centrum!$A$3:$C$130,3,0))</f>
        <v xml:space="preserve"> - </v>
      </c>
      <c r="G4" s="439">
        <f ca="1">IF(ROW()-2&gt;Start.listina!$O$7,"",ROW()-2)</f>
        <v>2</v>
      </c>
      <c r="H4" s="272"/>
      <c r="I4" s="274"/>
      <c r="K4" s="275" t="str">
        <f t="shared" ca="1" si="0"/>
        <v/>
      </c>
      <c r="L4" s="275" t="str">
        <f t="shared" ca="1" si="1"/>
        <v/>
      </c>
      <c r="M4" s="275">
        <f t="shared" ca="1" si="2"/>
        <v>0</v>
      </c>
      <c r="N4" s="275">
        <f t="shared" ref="N4:N66" ca="1" si="6">IF(TRIM($E4)="-",0,$H4-$I4)</f>
        <v>0</v>
      </c>
      <c r="O4" s="275" t="str">
        <f t="shared" ca="1" si="3"/>
        <v/>
      </c>
      <c r="P4" s="275">
        <f t="shared" ca="1" si="4"/>
        <v>0</v>
      </c>
      <c r="Q4" s="282">
        <f t="shared" ca="1" si="5"/>
        <v>0</v>
      </c>
    </row>
    <row r="5" spans="3:35" ht="21" x14ac:dyDescent="0.4">
      <c r="C5" s="278">
        <f ca="1">IF(ROW()-2&gt;Start.listina!$O$7,"",INDIRECT(ADDRESS(3+(ROW()-3)*2,$D$2,1,1,"Centrum")))</f>
        <v>0</v>
      </c>
      <c r="D5" s="278">
        <f ca="1">IF(ROW()-2&gt;Start.listina!$O$7,"",INDIRECT(ADDRESS(4+(ROW()-3)*2,$D$2,1,1,"Centrum")))</f>
        <v>0</v>
      </c>
      <c r="E5" s="276" t="str">
        <f ca="1">IF(TYPE(VLOOKUP(C5,Centrum!$A$3:$C$130,3,0))&gt;3," - ",VLOOKUP(C5,Centrum!$A$3:$C$130,3,0))</f>
        <v xml:space="preserve"> - </v>
      </c>
      <c r="F5" s="276" t="str">
        <f ca="1">IF(TYPE(VLOOKUP(D5,Centrum!$A$3:$C$130,3,0))&gt;3," - ",VLOOKUP(D5,Centrum!$A$3:$C$130,3,0))</f>
        <v xml:space="preserve"> - </v>
      </c>
      <c r="G5" s="439">
        <f ca="1">IF(ROW()-2&gt;Start.listina!$O$7,"",ROW()-2)</f>
        <v>3</v>
      </c>
      <c r="H5" s="272"/>
      <c r="I5" s="274"/>
      <c r="K5" s="275" t="str">
        <f t="shared" ca="1" si="0"/>
        <v/>
      </c>
      <c r="L5" s="275" t="str">
        <f t="shared" ca="1" si="1"/>
        <v/>
      </c>
      <c r="M5" s="275">
        <f t="shared" ca="1" si="2"/>
        <v>0</v>
      </c>
      <c r="N5" s="275">
        <f t="shared" ca="1" si="6"/>
        <v>0</v>
      </c>
      <c r="O5" s="275" t="str">
        <f t="shared" ca="1" si="3"/>
        <v/>
      </c>
      <c r="P5" s="275">
        <f t="shared" ca="1" si="4"/>
        <v>0</v>
      </c>
      <c r="Q5" s="282">
        <f t="shared" ca="1" si="5"/>
        <v>0</v>
      </c>
    </row>
    <row r="6" spans="3:35" ht="21" x14ac:dyDescent="0.4">
      <c r="C6" s="278">
        <f ca="1">IF(ROW()-2&gt;Start.listina!$O$7,"",INDIRECT(ADDRESS(3+(ROW()-3)*2,$D$2,1,1,"Centrum")))</f>
        <v>0</v>
      </c>
      <c r="D6" s="278">
        <f ca="1">IF(ROW()-2&gt;Start.listina!$O$7,"",INDIRECT(ADDRESS(4+(ROW()-3)*2,$D$2,1,1,"Centrum")))</f>
        <v>0</v>
      </c>
      <c r="E6" s="276" t="str">
        <f ca="1">IF(TYPE(VLOOKUP(C6,Centrum!$A$3:$C$130,3,0))&gt;3," - ",VLOOKUP(C6,Centrum!$A$3:$C$130,3,0))</f>
        <v xml:space="preserve"> - </v>
      </c>
      <c r="F6" s="276" t="str">
        <f ca="1">IF(TYPE(VLOOKUP(D6,Centrum!$A$3:$C$130,3,0))&gt;3," - ",VLOOKUP(D6,Centrum!$A$3:$C$130,3,0))</f>
        <v xml:space="preserve"> - </v>
      </c>
      <c r="G6" s="439">
        <f ca="1">IF(ROW()-2&gt;Start.listina!$O$7,"",ROW()-2)</f>
        <v>4</v>
      </c>
      <c r="H6" s="272"/>
      <c r="I6" s="274"/>
      <c r="K6" s="275" t="str">
        <f t="shared" ca="1" si="0"/>
        <v/>
      </c>
      <c r="L6" s="275" t="str">
        <f t="shared" ca="1" si="1"/>
        <v/>
      </c>
      <c r="M6" s="275">
        <f t="shared" ca="1" si="2"/>
        <v>0</v>
      </c>
      <c r="N6" s="275">
        <f t="shared" ca="1" si="6"/>
        <v>0</v>
      </c>
      <c r="O6" s="275" t="str">
        <f t="shared" ca="1" si="3"/>
        <v/>
      </c>
      <c r="P6" s="275">
        <f t="shared" ca="1" si="4"/>
        <v>0</v>
      </c>
      <c r="Q6" s="282">
        <f t="shared" ca="1" si="5"/>
        <v>0</v>
      </c>
    </row>
    <row r="7" spans="3:35" ht="21" x14ac:dyDescent="0.4">
      <c r="C7" s="278">
        <f ca="1">IF(ROW()-2&gt;Start.listina!$O$7,"",INDIRECT(ADDRESS(3+(ROW()-3)*2,$D$2,1,1,"Centrum")))</f>
        <v>0</v>
      </c>
      <c r="D7" s="278">
        <f ca="1">IF(ROW()-2&gt;Start.listina!$O$7,"",INDIRECT(ADDRESS(4+(ROW()-3)*2,$D$2,1,1,"Centrum")))</f>
        <v>0</v>
      </c>
      <c r="E7" s="276" t="str">
        <f ca="1">IF(TYPE(VLOOKUP(C7,Centrum!$A$3:$C$130,3,0))&gt;3," - ",VLOOKUP(C7,Centrum!$A$3:$C$130,3,0))</f>
        <v xml:space="preserve"> - </v>
      </c>
      <c r="F7" s="276" t="str">
        <f ca="1">IF(TYPE(VLOOKUP(D7,Centrum!$A$3:$C$130,3,0))&gt;3," - ",VLOOKUP(D7,Centrum!$A$3:$C$130,3,0))</f>
        <v xml:space="preserve"> - </v>
      </c>
      <c r="G7" s="439">
        <f ca="1">IF(ROW()-2&gt;Start.listina!$O$7,"",ROW()-2)</f>
        <v>5</v>
      </c>
      <c r="H7" s="272"/>
      <c r="I7" s="274"/>
      <c r="K7" s="275" t="str">
        <f t="shared" ca="1" si="0"/>
        <v/>
      </c>
      <c r="L7" s="275" t="str">
        <f t="shared" ca="1" si="1"/>
        <v/>
      </c>
      <c r="M7" s="275">
        <f t="shared" ca="1" si="2"/>
        <v>0</v>
      </c>
      <c r="N7" s="275">
        <f t="shared" ca="1" si="6"/>
        <v>0</v>
      </c>
      <c r="O7" s="275" t="str">
        <f t="shared" ca="1" si="3"/>
        <v/>
      </c>
      <c r="P7" s="275">
        <f t="shared" ca="1" si="4"/>
        <v>0</v>
      </c>
      <c r="Q7" s="282">
        <f t="shared" ca="1" si="5"/>
        <v>0</v>
      </c>
    </row>
    <row r="8" spans="3:35" ht="21" x14ac:dyDescent="0.4">
      <c r="C8" s="278">
        <f ca="1">IF(ROW()-2&gt;Start.listina!$O$7,"",INDIRECT(ADDRESS(3+(ROW()-3)*2,$D$2,1,1,"Centrum")))</f>
        <v>0</v>
      </c>
      <c r="D8" s="278">
        <f ca="1">IF(ROW()-2&gt;Start.listina!$O$7,"",INDIRECT(ADDRESS(4+(ROW()-3)*2,$D$2,1,1,"Centrum")))</f>
        <v>0</v>
      </c>
      <c r="E8" s="276" t="str">
        <f ca="1">IF(TYPE(VLOOKUP(C8,Centrum!$A$3:$C$130,3,0))&gt;3," - ",VLOOKUP(C8,Centrum!$A$3:$C$130,3,0))</f>
        <v xml:space="preserve"> - </v>
      </c>
      <c r="F8" s="276" t="str">
        <f ca="1">IF(TYPE(VLOOKUP(D8,Centrum!$A$3:$C$130,3,0))&gt;3," - ",VLOOKUP(D8,Centrum!$A$3:$C$130,3,0))</f>
        <v xml:space="preserve"> - </v>
      </c>
      <c r="G8" s="439">
        <f ca="1">IF(ROW()-2&gt;Start.listina!$O$7,"",ROW()-2)</f>
        <v>6</v>
      </c>
      <c r="H8" s="272"/>
      <c r="I8" s="274"/>
      <c r="K8" s="275" t="str">
        <f t="shared" ca="1" si="0"/>
        <v/>
      </c>
      <c r="L8" s="275" t="str">
        <f t="shared" ca="1" si="1"/>
        <v/>
      </c>
      <c r="M8" s="275">
        <f t="shared" ca="1" si="2"/>
        <v>0</v>
      </c>
      <c r="N8" s="275">
        <f t="shared" ca="1" si="6"/>
        <v>0</v>
      </c>
      <c r="O8" s="275" t="str">
        <f t="shared" ca="1" si="3"/>
        <v/>
      </c>
      <c r="P8" s="275">
        <f t="shared" ca="1" si="4"/>
        <v>0</v>
      </c>
      <c r="Q8" s="282">
        <f t="shared" ca="1" si="5"/>
        <v>0</v>
      </c>
    </row>
    <row r="9" spans="3:35" ht="21" x14ac:dyDescent="0.4">
      <c r="C9" s="278">
        <f ca="1">IF(ROW()-2&gt;Start.listina!$O$7,"",INDIRECT(ADDRESS(3+(ROW()-3)*2,$D$2,1,1,"Centrum")))</f>
        <v>0</v>
      </c>
      <c r="D9" s="278">
        <f ca="1">IF(ROW()-2&gt;Start.listina!$O$7,"",INDIRECT(ADDRESS(4+(ROW()-3)*2,$D$2,1,1,"Centrum")))</f>
        <v>0</v>
      </c>
      <c r="E9" s="276" t="str">
        <f ca="1">IF(TYPE(VLOOKUP(C9,Centrum!$A$3:$C$130,3,0))&gt;3," - ",VLOOKUP(C9,Centrum!$A$3:$C$130,3,0))</f>
        <v xml:space="preserve"> - </v>
      </c>
      <c r="F9" s="276" t="str">
        <f ca="1">IF(TYPE(VLOOKUP(D9,Centrum!$A$3:$C$130,3,0))&gt;3," - ",VLOOKUP(D9,Centrum!$A$3:$C$130,3,0))</f>
        <v xml:space="preserve"> - </v>
      </c>
      <c r="G9" s="439">
        <f ca="1">IF(ROW()-2&gt;Start.listina!$O$7,"",ROW()-2)</f>
        <v>7</v>
      </c>
      <c r="H9" s="272"/>
      <c r="I9" s="274"/>
      <c r="K9" s="275" t="str">
        <f t="shared" ca="1" si="0"/>
        <v/>
      </c>
      <c r="L9" s="275" t="str">
        <f t="shared" ca="1" si="1"/>
        <v/>
      </c>
      <c r="M9" s="275">
        <f t="shared" ca="1" si="2"/>
        <v>0</v>
      </c>
      <c r="N9" s="275">
        <f t="shared" ca="1" si="6"/>
        <v>0</v>
      </c>
      <c r="O9" s="275" t="str">
        <f t="shared" ca="1" si="3"/>
        <v/>
      </c>
      <c r="P9" s="275">
        <f t="shared" ca="1" si="4"/>
        <v>0</v>
      </c>
      <c r="Q9" s="282">
        <f t="shared" ca="1" si="5"/>
        <v>0</v>
      </c>
    </row>
    <row r="10" spans="3:35" ht="21" x14ac:dyDescent="0.4">
      <c r="C10" s="278">
        <f ca="1">IF(ROW()-2&gt;Start.listina!$O$7,"",INDIRECT(ADDRESS(3+(ROW()-3)*2,$D$2,1,1,"Centrum")))</f>
        <v>0</v>
      </c>
      <c r="D10" s="278">
        <f ca="1">IF(ROW()-2&gt;Start.listina!$O$7,"",INDIRECT(ADDRESS(4+(ROW()-3)*2,$D$2,1,1,"Centrum")))</f>
        <v>0</v>
      </c>
      <c r="E10" s="276" t="str">
        <f ca="1">IF(TYPE(VLOOKUP(C10,Centrum!$A$3:$C$130,3,0))&gt;3," - ",VLOOKUP(C10,Centrum!$A$3:$C$130,3,0))</f>
        <v xml:space="preserve"> - </v>
      </c>
      <c r="F10" s="276" t="str">
        <f ca="1">IF(TYPE(VLOOKUP(D10,Centrum!$A$3:$C$130,3,0))&gt;3," - ",VLOOKUP(D10,Centrum!$A$3:$C$130,3,0))</f>
        <v xml:space="preserve"> - </v>
      </c>
      <c r="G10" s="439">
        <f ca="1">IF(ROW()-2&gt;Start.listina!$O$7,"",ROW()-2)</f>
        <v>8</v>
      </c>
      <c r="H10" s="272"/>
      <c r="I10" s="274"/>
      <c r="K10" s="275" t="str">
        <f t="shared" ca="1" si="0"/>
        <v/>
      </c>
      <c r="L10" s="275" t="str">
        <f t="shared" ca="1" si="1"/>
        <v/>
      </c>
      <c r="M10" s="275">
        <f t="shared" ca="1" si="2"/>
        <v>0</v>
      </c>
      <c r="N10" s="275">
        <f t="shared" ca="1" si="6"/>
        <v>0</v>
      </c>
      <c r="O10" s="275" t="str">
        <f t="shared" ca="1" si="3"/>
        <v/>
      </c>
      <c r="P10" s="275">
        <f t="shared" ca="1" si="4"/>
        <v>0</v>
      </c>
      <c r="Q10" s="282">
        <f t="shared" ca="1" si="5"/>
        <v>0</v>
      </c>
    </row>
    <row r="11" spans="3:35" ht="21" x14ac:dyDescent="0.4">
      <c r="C11" s="278">
        <f ca="1">IF(ROW()-2&gt;Start.listina!$O$7,"",INDIRECT(ADDRESS(3+(ROW()-3)*2,$D$2,1,1,"Centrum")))</f>
        <v>0</v>
      </c>
      <c r="D11" s="278">
        <f ca="1">IF(ROW()-2&gt;Start.listina!$O$7,"",INDIRECT(ADDRESS(4+(ROW()-3)*2,$D$2,1,1,"Centrum")))</f>
        <v>0</v>
      </c>
      <c r="E11" s="276" t="str">
        <f ca="1">IF(TYPE(VLOOKUP(C11,Centrum!$A$3:$C$130,3,0))&gt;3," - ",VLOOKUP(C11,Centrum!$A$3:$C$130,3,0))</f>
        <v xml:space="preserve"> - </v>
      </c>
      <c r="F11" s="276" t="str">
        <f ca="1">IF(TYPE(VLOOKUP(D11,Centrum!$A$3:$C$130,3,0))&gt;3," - ",VLOOKUP(D11,Centrum!$A$3:$C$130,3,0))</f>
        <v xml:space="preserve"> - </v>
      </c>
      <c r="G11" s="439">
        <f ca="1">IF(ROW()-2&gt;Start.listina!$O$7,"",ROW()-2)</f>
        <v>9</v>
      </c>
      <c r="H11" s="272"/>
      <c r="I11" s="274"/>
      <c r="K11" s="275" t="str">
        <f t="shared" ca="1" si="0"/>
        <v/>
      </c>
      <c r="L11" s="275" t="str">
        <f t="shared" ca="1" si="1"/>
        <v/>
      </c>
      <c r="M11" s="275">
        <f t="shared" ca="1" si="2"/>
        <v>0</v>
      </c>
      <c r="N11" s="275">
        <f t="shared" ca="1" si="6"/>
        <v>0</v>
      </c>
      <c r="O11" s="275" t="str">
        <f t="shared" ca="1" si="3"/>
        <v/>
      </c>
      <c r="P11" s="275">
        <f t="shared" ca="1" si="4"/>
        <v>0</v>
      </c>
      <c r="Q11" s="282">
        <f t="shared" ca="1" si="5"/>
        <v>0</v>
      </c>
    </row>
    <row r="12" spans="3:35" ht="21" x14ac:dyDescent="0.4">
      <c r="C12" s="278">
        <f ca="1">IF(ROW()-2&gt;Start.listina!$O$7,"",INDIRECT(ADDRESS(3+(ROW()-3)*2,$D$2,1,1,"Centrum")))</f>
        <v>0</v>
      </c>
      <c r="D12" s="278">
        <f ca="1">IF(ROW()-2&gt;Start.listina!$O$7,"",INDIRECT(ADDRESS(4+(ROW()-3)*2,$D$2,1,1,"Centrum")))</f>
        <v>0</v>
      </c>
      <c r="E12" s="276" t="str">
        <f ca="1">IF(TYPE(VLOOKUP(C12,Centrum!$A$3:$C$130,3,0))&gt;3," - ",VLOOKUP(C12,Centrum!$A$3:$C$130,3,0))</f>
        <v xml:space="preserve"> - </v>
      </c>
      <c r="F12" s="276" t="str">
        <f ca="1">IF(TYPE(VLOOKUP(D12,Centrum!$A$3:$C$130,3,0))&gt;3," - ",VLOOKUP(D12,Centrum!$A$3:$C$130,3,0))</f>
        <v xml:space="preserve"> - </v>
      </c>
      <c r="G12" s="439">
        <f ca="1">IF(ROW()-2&gt;Start.listina!$O$7,"",ROW()-2)</f>
        <v>10</v>
      </c>
      <c r="H12" s="272"/>
      <c r="I12" s="274"/>
      <c r="K12" s="275" t="str">
        <f t="shared" ca="1" si="0"/>
        <v/>
      </c>
      <c r="L12" s="275" t="str">
        <f t="shared" ca="1" si="1"/>
        <v/>
      </c>
      <c r="M12" s="275">
        <f t="shared" ca="1" si="2"/>
        <v>0</v>
      </c>
      <c r="N12" s="275">
        <f t="shared" ca="1" si="6"/>
        <v>0</v>
      </c>
      <c r="O12" s="275" t="str">
        <f t="shared" ca="1" si="3"/>
        <v/>
      </c>
      <c r="P12" s="275">
        <f t="shared" ca="1" si="4"/>
        <v>0</v>
      </c>
      <c r="Q12" s="282">
        <f t="shared" ca="1" si="5"/>
        <v>0</v>
      </c>
    </row>
    <row r="13" spans="3:35" ht="21" x14ac:dyDescent="0.4">
      <c r="C13" s="278">
        <f ca="1">IF(ROW()-2&gt;Start.listina!$O$7,"",INDIRECT(ADDRESS(3+(ROW()-3)*2,$D$2,1,1,"Centrum")))</f>
        <v>0</v>
      </c>
      <c r="D13" s="278">
        <f ca="1">IF(ROW()-2&gt;Start.listina!$O$7,"",INDIRECT(ADDRESS(4+(ROW()-3)*2,$D$2,1,1,"Centrum")))</f>
        <v>0</v>
      </c>
      <c r="E13" s="276" t="str">
        <f ca="1">IF(TYPE(VLOOKUP(C13,Centrum!$A$3:$C$130,3,0))&gt;3," - ",VLOOKUP(C13,Centrum!$A$3:$C$130,3,0))</f>
        <v xml:space="preserve"> - </v>
      </c>
      <c r="F13" s="276" t="str">
        <f ca="1">IF(TYPE(VLOOKUP(D13,Centrum!$A$3:$C$130,3,0))&gt;3," - ",VLOOKUP(D13,Centrum!$A$3:$C$130,3,0))</f>
        <v xml:space="preserve"> - </v>
      </c>
      <c r="G13" s="439">
        <f ca="1">IF(ROW()-2&gt;Start.listina!$O$7,"",ROW()-2)</f>
        <v>11</v>
      </c>
      <c r="H13" s="272"/>
      <c r="I13" s="274"/>
      <c r="K13" s="275" t="str">
        <f t="shared" ca="1" si="0"/>
        <v/>
      </c>
      <c r="L13" s="275" t="str">
        <f t="shared" ca="1" si="1"/>
        <v/>
      </c>
      <c r="M13" s="275">
        <f t="shared" ca="1" si="2"/>
        <v>0</v>
      </c>
      <c r="N13" s="275">
        <f t="shared" ca="1" si="6"/>
        <v>0</v>
      </c>
      <c r="O13" s="275" t="str">
        <f t="shared" ca="1" si="3"/>
        <v/>
      </c>
      <c r="P13" s="275">
        <f t="shared" ca="1" si="4"/>
        <v>0</v>
      </c>
      <c r="Q13" s="282">
        <f t="shared" ca="1" si="5"/>
        <v>0</v>
      </c>
    </row>
    <row r="14" spans="3:35" ht="21" x14ac:dyDescent="0.4">
      <c r="C14" s="278">
        <f ca="1">IF(ROW()-2&gt;Start.listina!$O$7,"",INDIRECT(ADDRESS(3+(ROW()-3)*2,$D$2,1,1,"Centrum")))</f>
        <v>0</v>
      </c>
      <c r="D14" s="278">
        <f ca="1">IF(ROW()-2&gt;Start.listina!$O$7,"",INDIRECT(ADDRESS(4+(ROW()-3)*2,$D$2,1,1,"Centrum")))</f>
        <v>0</v>
      </c>
      <c r="E14" s="276" t="str">
        <f ca="1">IF(TYPE(VLOOKUP(C14,Centrum!$A$3:$C$130,3,0))&gt;3," - ",VLOOKUP(C14,Centrum!$A$3:$C$130,3,0))</f>
        <v xml:space="preserve"> - </v>
      </c>
      <c r="F14" s="276" t="str">
        <f ca="1">IF(TYPE(VLOOKUP(D14,Centrum!$A$3:$C$130,3,0))&gt;3," - ",VLOOKUP(D14,Centrum!$A$3:$C$130,3,0))</f>
        <v xml:space="preserve"> - </v>
      </c>
      <c r="G14" s="439">
        <f ca="1">IF(ROW()-2&gt;Start.listina!$O$7,"",ROW()-2)</f>
        <v>12</v>
      </c>
      <c r="H14" s="272"/>
      <c r="I14" s="274"/>
      <c r="K14" s="275" t="str">
        <f t="shared" ca="1" si="0"/>
        <v/>
      </c>
      <c r="L14" s="275" t="str">
        <f t="shared" ca="1" si="1"/>
        <v/>
      </c>
      <c r="M14" s="275">
        <f t="shared" ca="1" si="2"/>
        <v>0</v>
      </c>
      <c r="N14" s="275">
        <f t="shared" ca="1" si="6"/>
        <v>0</v>
      </c>
      <c r="O14" s="275" t="str">
        <f t="shared" ca="1" si="3"/>
        <v/>
      </c>
      <c r="P14" s="275">
        <f t="shared" ca="1" si="4"/>
        <v>0</v>
      </c>
      <c r="Q14" s="282">
        <f t="shared" ca="1" si="5"/>
        <v>0</v>
      </c>
    </row>
    <row r="15" spans="3:35" ht="21" x14ac:dyDescent="0.4">
      <c r="C15" s="278">
        <f ca="1">IF(ROW()-2&gt;Start.listina!$O$7,"",INDIRECT(ADDRESS(3+(ROW()-3)*2,$D$2,1,1,"Centrum")))</f>
        <v>0</v>
      </c>
      <c r="D15" s="278">
        <f ca="1">IF(ROW()-2&gt;Start.listina!$O$7,"",INDIRECT(ADDRESS(4+(ROW()-3)*2,$D$2,1,1,"Centrum")))</f>
        <v>0</v>
      </c>
      <c r="E15" s="276" t="str">
        <f ca="1">IF(TYPE(VLOOKUP(C15,Centrum!$A$3:$C$130,3,0))&gt;3," - ",VLOOKUP(C15,Centrum!$A$3:$C$130,3,0))</f>
        <v xml:space="preserve"> - </v>
      </c>
      <c r="F15" s="276" t="str">
        <f ca="1">IF(TYPE(VLOOKUP(D15,Centrum!$A$3:$C$130,3,0))&gt;3," - ",VLOOKUP(D15,Centrum!$A$3:$C$130,3,0))</f>
        <v xml:space="preserve"> - </v>
      </c>
      <c r="G15" s="439">
        <f ca="1">IF(ROW()-2&gt;Start.listina!$O$7,"",ROW()-2)</f>
        <v>13</v>
      </c>
      <c r="H15" s="272"/>
      <c r="I15" s="274"/>
      <c r="K15" s="275" t="str">
        <f t="shared" ca="1" si="0"/>
        <v/>
      </c>
      <c r="L15" s="275" t="str">
        <f t="shared" ca="1" si="1"/>
        <v/>
      </c>
      <c r="M15" s="275">
        <f t="shared" ca="1" si="2"/>
        <v>0</v>
      </c>
      <c r="N15" s="275">
        <f t="shared" ca="1" si="6"/>
        <v>0</v>
      </c>
      <c r="O15" s="275" t="str">
        <f t="shared" ca="1" si="3"/>
        <v/>
      </c>
      <c r="P15" s="275">
        <f t="shared" ca="1" si="4"/>
        <v>0</v>
      </c>
      <c r="Q15" s="282">
        <f t="shared" ca="1" si="5"/>
        <v>0</v>
      </c>
    </row>
    <row r="16" spans="3:35" ht="21" x14ac:dyDescent="0.4">
      <c r="C16" s="278">
        <f ca="1">IF(ROW()-2&gt;Start.listina!$O$7,"",INDIRECT(ADDRESS(3+(ROW()-3)*2,$D$2,1,1,"Centrum")))</f>
        <v>0</v>
      </c>
      <c r="D16" s="278">
        <f ca="1">IF(ROW()-2&gt;Start.listina!$O$7,"",INDIRECT(ADDRESS(4+(ROW()-3)*2,$D$2,1,1,"Centrum")))</f>
        <v>0</v>
      </c>
      <c r="E16" s="276" t="str">
        <f ca="1">IF(TYPE(VLOOKUP(C16,Centrum!$A$3:$C$130,3,0))&gt;3," - ",VLOOKUP(C16,Centrum!$A$3:$C$130,3,0))</f>
        <v xml:space="preserve"> - </v>
      </c>
      <c r="F16" s="276" t="str">
        <f ca="1">IF(TYPE(VLOOKUP(D16,Centrum!$A$3:$C$130,3,0))&gt;3," - ",VLOOKUP(D16,Centrum!$A$3:$C$130,3,0))</f>
        <v xml:space="preserve"> - </v>
      </c>
      <c r="G16" s="439">
        <f ca="1">IF(ROW()-2&gt;Start.listina!$O$7,"",ROW()-2)</f>
        <v>14</v>
      </c>
      <c r="H16" s="272"/>
      <c r="I16" s="274"/>
      <c r="K16" s="275" t="str">
        <f t="shared" ca="1" si="0"/>
        <v/>
      </c>
      <c r="L16" s="275" t="str">
        <f t="shared" ca="1" si="1"/>
        <v/>
      </c>
      <c r="M16" s="275">
        <f t="shared" ca="1" si="2"/>
        <v>0</v>
      </c>
      <c r="N16" s="275">
        <f t="shared" ca="1" si="6"/>
        <v>0</v>
      </c>
      <c r="O16" s="275" t="str">
        <f t="shared" ca="1" si="3"/>
        <v/>
      </c>
      <c r="P16" s="275">
        <f t="shared" ca="1" si="4"/>
        <v>0</v>
      </c>
      <c r="Q16" s="282">
        <f t="shared" ca="1" si="5"/>
        <v>0</v>
      </c>
    </row>
    <row r="17" spans="3:17" ht="21" x14ac:dyDescent="0.4">
      <c r="C17" s="278">
        <f ca="1">IF(ROW()-2&gt;Start.listina!$O$7,"",INDIRECT(ADDRESS(3+(ROW()-3)*2,$D$2,1,1,"Centrum")))</f>
        <v>0</v>
      </c>
      <c r="D17" s="278">
        <f ca="1">IF(ROW()-2&gt;Start.listina!$O$7,"",INDIRECT(ADDRESS(4+(ROW()-3)*2,$D$2,1,1,"Centrum")))</f>
        <v>0</v>
      </c>
      <c r="E17" s="276" t="str">
        <f ca="1">IF(TYPE(VLOOKUP(C17,Centrum!$A$3:$C$130,3,0))&gt;3," - ",VLOOKUP(C17,Centrum!$A$3:$C$130,3,0))</f>
        <v xml:space="preserve"> - </v>
      </c>
      <c r="F17" s="276" t="str">
        <f ca="1">IF(TYPE(VLOOKUP(D17,Centrum!$A$3:$C$130,3,0))&gt;3," - ",VLOOKUP(D17,Centrum!$A$3:$C$130,3,0))</f>
        <v xml:space="preserve"> - </v>
      </c>
      <c r="G17" s="439">
        <f ca="1">IF(ROW()-2&gt;Start.listina!$O$7,"",ROW()-2)</f>
        <v>15</v>
      </c>
      <c r="H17" s="272"/>
      <c r="I17" s="274"/>
      <c r="K17" s="275" t="str">
        <f t="shared" ca="1" si="0"/>
        <v/>
      </c>
      <c r="L17" s="275" t="str">
        <f t="shared" ca="1" si="1"/>
        <v/>
      </c>
      <c r="M17" s="275">
        <f t="shared" ca="1" si="2"/>
        <v>0</v>
      </c>
      <c r="N17" s="275">
        <f t="shared" ca="1" si="6"/>
        <v>0</v>
      </c>
      <c r="O17" s="275" t="str">
        <f t="shared" ca="1" si="3"/>
        <v/>
      </c>
      <c r="P17" s="275">
        <f t="shared" ca="1" si="4"/>
        <v>0</v>
      </c>
      <c r="Q17" s="282">
        <f t="shared" ca="1" si="5"/>
        <v>0</v>
      </c>
    </row>
    <row r="18" spans="3:17" ht="21" x14ac:dyDescent="0.4">
      <c r="C18" s="278">
        <f ca="1">IF(ROW()-2&gt;Start.listina!$O$7,"",INDIRECT(ADDRESS(3+(ROW()-3)*2,$D$2,1,1,"Centrum")))</f>
        <v>0</v>
      </c>
      <c r="D18" s="278">
        <f ca="1">IF(ROW()-2&gt;Start.listina!$O$7,"",INDIRECT(ADDRESS(4+(ROW()-3)*2,$D$2,1,1,"Centrum")))</f>
        <v>0</v>
      </c>
      <c r="E18" s="276" t="str">
        <f ca="1">IF(TYPE(VLOOKUP(C18,Centrum!$A$3:$C$130,3,0))&gt;3," - ",VLOOKUP(C18,Centrum!$A$3:$C$130,3,0))</f>
        <v xml:space="preserve"> - </v>
      </c>
      <c r="F18" s="276" t="str">
        <f ca="1">IF(TYPE(VLOOKUP(D18,Centrum!$A$3:$C$130,3,0))&gt;3," - ",VLOOKUP(D18,Centrum!$A$3:$C$130,3,0))</f>
        <v xml:space="preserve"> - </v>
      </c>
      <c r="G18" s="439">
        <f ca="1">IF(ROW()-2&gt;Start.listina!$O$7,"",ROW()-2)</f>
        <v>16</v>
      </c>
      <c r="H18" s="272"/>
      <c r="I18" s="274"/>
      <c r="K18" s="275" t="str">
        <f t="shared" ca="1" si="0"/>
        <v/>
      </c>
      <c r="L18" s="275" t="str">
        <f t="shared" ca="1" si="1"/>
        <v/>
      </c>
      <c r="M18" s="275">
        <f t="shared" ca="1" si="2"/>
        <v>0</v>
      </c>
      <c r="N18" s="275">
        <f t="shared" ca="1" si="6"/>
        <v>0</v>
      </c>
      <c r="O18" s="275" t="str">
        <f t="shared" ca="1" si="3"/>
        <v/>
      </c>
      <c r="P18" s="275">
        <f t="shared" ca="1" si="4"/>
        <v>0</v>
      </c>
      <c r="Q18" s="282">
        <f t="shared" ca="1" si="5"/>
        <v>0</v>
      </c>
    </row>
    <row r="19" spans="3:17" ht="21" x14ac:dyDescent="0.4">
      <c r="C19" s="278">
        <f ca="1">IF(ROW()-2&gt;Start.listina!$O$7,"",INDIRECT(ADDRESS(3+(ROW()-3)*2,$D$2,1,1,"Centrum")))</f>
        <v>0</v>
      </c>
      <c r="D19" s="278">
        <f ca="1">IF(ROW()-2&gt;Start.listina!$O$7,"",INDIRECT(ADDRESS(4+(ROW()-3)*2,$D$2,1,1,"Centrum")))</f>
        <v>0</v>
      </c>
      <c r="E19" s="276" t="str">
        <f ca="1">IF(TYPE(VLOOKUP(C19,Centrum!$A$3:$C$130,3,0))&gt;3," - ",VLOOKUP(C19,Centrum!$A$3:$C$130,3,0))</f>
        <v xml:space="preserve"> - </v>
      </c>
      <c r="F19" s="276" t="str">
        <f ca="1">IF(TYPE(VLOOKUP(D19,Centrum!$A$3:$C$130,3,0))&gt;3," - ",VLOOKUP(D19,Centrum!$A$3:$C$130,3,0))</f>
        <v xml:space="preserve"> - </v>
      </c>
      <c r="G19" s="439">
        <f ca="1">IF(ROW()-2&gt;Start.listina!$O$7,"",ROW()-2)</f>
        <v>17</v>
      </c>
      <c r="H19" s="272"/>
      <c r="I19" s="274"/>
      <c r="K19" s="275" t="str">
        <f t="shared" ca="1" si="0"/>
        <v/>
      </c>
      <c r="L19" s="275" t="str">
        <f t="shared" ca="1" si="1"/>
        <v/>
      </c>
      <c r="M19" s="275">
        <f t="shared" ca="1" si="2"/>
        <v>0</v>
      </c>
      <c r="N19" s="275">
        <f t="shared" ca="1" si="6"/>
        <v>0</v>
      </c>
      <c r="O19" s="275" t="str">
        <f t="shared" ca="1" si="3"/>
        <v/>
      </c>
      <c r="P19" s="275">
        <f t="shared" ca="1" si="4"/>
        <v>0</v>
      </c>
      <c r="Q19" s="282">
        <f t="shared" ca="1" si="5"/>
        <v>0</v>
      </c>
    </row>
    <row r="20" spans="3:17" ht="21" x14ac:dyDescent="0.4">
      <c r="C20" s="278">
        <f ca="1">IF(ROW()-2&gt;Start.listina!$O$7,"",INDIRECT(ADDRESS(3+(ROW()-3)*2,$D$2,1,1,"Centrum")))</f>
        <v>0</v>
      </c>
      <c r="D20" s="278">
        <f ca="1">IF(ROW()-2&gt;Start.listina!$O$7,"",INDIRECT(ADDRESS(4+(ROW()-3)*2,$D$2,1,1,"Centrum")))</f>
        <v>0</v>
      </c>
      <c r="E20" s="276" t="str">
        <f ca="1">IF(TYPE(VLOOKUP(C20,Centrum!$A$3:$C$130,3,0))&gt;3," - ",VLOOKUP(C20,Centrum!$A$3:$C$130,3,0))</f>
        <v xml:space="preserve"> - </v>
      </c>
      <c r="F20" s="276" t="str">
        <f ca="1">IF(TYPE(VLOOKUP(D20,Centrum!$A$3:$C$130,3,0))&gt;3," - ",VLOOKUP(D20,Centrum!$A$3:$C$130,3,0))</f>
        <v xml:space="preserve"> - </v>
      </c>
      <c r="G20" s="439">
        <f ca="1">IF(ROW()-2&gt;Start.listina!$O$7,"",ROW()-2)</f>
        <v>18</v>
      </c>
      <c r="H20" s="272"/>
      <c r="I20" s="274"/>
      <c r="K20" s="275" t="str">
        <f t="shared" ca="1" si="0"/>
        <v/>
      </c>
      <c r="L20" s="275" t="str">
        <f t="shared" ca="1" si="1"/>
        <v/>
      </c>
      <c r="M20" s="275">
        <f t="shared" ca="1" si="2"/>
        <v>0</v>
      </c>
      <c r="N20" s="275">
        <f t="shared" ca="1" si="6"/>
        <v>0</v>
      </c>
      <c r="O20" s="275" t="str">
        <f t="shared" ca="1" si="3"/>
        <v/>
      </c>
      <c r="P20" s="275">
        <f t="shared" ca="1" si="4"/>
        <v>0</v>
      </c>
      <c r="Q20" s="282">
        <f t="shared" ca="1" si="5"/>
        <v>0</v>
      </c>
    </row>
    <row r="21" spans="3:17" ht="21" x14ac:dyDescent="0.4">
      <c r="C21" s="278">
        <f ca="1">IF(ROW()-2&gt;Start.listina!$O$7,"",INDIRECT(ADDRESS(3+(ROW()-3)*2,$D$2,1,1,"Centrum")))</f>
        <v>0</v>
      </c>
      <c r="D21" s="278">
        <f ca="1">IF(ROW()-2&gt;Start.listina!$O$7,"",INDIRECT(ADDRESS(4+(ROW()-3)*2,$D$2,1,1,"Centrum")))</f>
        <v>0</v>
      </c>
      <c r="E21" s="276" t="str">
        <f ca="1">IF(TYPE(VLOOKUP(C21,Centrum!$A$3:$C$130,3,0))&gt;3," - ",VLOOKUP(C21,Centrum!$A$3:$C$130,3,0))</f>
        <v xml:space="preserve"> - </v>
      </c>
      <c r="F21" s="276" t="str">
        <f ca="1">IF(TYPE(VLOOKUP(D21,Centrum!$A$3:$C$130,3,0))&gt;3," - ",VLOOKUP(D21,Centrum!$A$3:$C$130,3,0))</f>
        <v xml:space="preserve"> - </v>
      </c>
      <c r="G21" s="439">
        <f ca="1">IF(ROW()-2&gt;Start.listina!$O$7,"",ROW()-2)</f>
        <v>19</v>
      </c>
      <c r="H21" s="272"/>
      <c r="I21" s="274"/>
      <c r="K21" s="275" t="str">
        <f t="shared" ca="1" si="0"/>
        <v/>
      </c>
      <c r="L21" s="275" t="str">
        <f t="shared" ca="1" si="1"/>
        <v/>
      </c>
      <c r="M21" s="275">
        <f t="shared" ca="1" si="2"/>
        <v>0</v>
      </c>
      <c r="N21" s="275">
        <f t="shared" ca="1" si="6"/>
        <v>0</v>
      </c>
      <c r="O21" s="275" t="str">
        <f t="shared" ca="1" si="3"/>
        <v/>
      </c>
      <c r="P21" s="275">
        <f t="shared" ca="1" si="4"/>
        <v>0</v>
      </c>
      <c r="Q21" s="282">
        <f t="shared" ca="1" si="5"/>
        <v>0</v>
      </c>
    </row>
    <row r="22" spans="3:17" ht="21" x14ac:dyDescent="0.4">
      <c r="C22" s="278">
        <f ca="1">IF(ROW()-2&gt;Start.listina!$O$7,"",INDIRECT(ADDRESS(3+(ROW()-3)*2,$D$2,1,1,"Centrum")))</f>
        <v>0</v>
      </c>
      <c r="D22" s="278">
        <f ca="1">IF(ROW()-2&gt;Start.listina!$O$7,"",INDIRECT(ADDRESS(4+(ROW()-3)*2,$D$2,1,1,"Centrum")))</f>
        <v>0</v>
      </c>
      <c r="E22" s="276" t="str">
        <f ca="1">IF(TYPE(VLOOKUP(C22,Centrum!$A$3:$C$130,3,0))&gt;3," - ",VLOOKUP(C22,Centrum!$A$3:$C$130,3,0))</f>
        <v xml:space="preserve"> - </v>
      </c>
      <c r="F22" s="276" t="str">
        <f ca="1">IF(TYPE(VLOOKUP(D22,Centrum!$A$3:$C$130,3,0))&gt;3," - ",VLOOKUP(D22,Centrum!$A$3:$C$130,3,0))</f>
        <v xml:space="preserve"> - </v>
      </c>
      <c r="G22" s="439">
        <f ca="1">IF(ROW()-2&gt;Start.listina!$O$7,"",ROW()-2)</f>
        <v>20</v>
      </c>
      <c r="H22" s="272"/>
      <c r="I22" s="274"/>
      <c r="K22" s="275" t="str">
        <f t="shared" ca="1" si="0"/>
        <v/>
      </c>
      <c r="L22" s="275" t="str">
        <f t="shared" ca="1" si="1"/>
        <v/>
      </c>
      <c r="M22" s="275">
        <f t="shared" ca="1" si="2"/>
        <v>0</v>
      </c>
      <c r="N22" s="275">
        <f t="shared" ca="1" si="6"/>
        <v>0</v>
      </c>
      <c r="O22" s="275" t="str">
        <f t="shared" ca="1" si="3"/>
        <v/>
      </c>
      <c r="P22" s="275">
        <f t="shared" ca="1" si="4"/>
        <v>0</v>
      </c>
      <c r="Q22" s="282">
        <f t="shared" ca="1" si="5"/>
        <v>0</v>
      </c>
    </row>
    <row r="23" spans="3:17" ht="21" x14ac:dyDescent="0.4">
      <c r="C23" s="278">
        <f ca="1">IF(ROW()-2&gt;Start.listina!$O$7,"",INDIRECT(ADDRESS(3+(ROW()-3)*2,$D$2,1,1,"Centrum")))</f>
        <v>0</v>
      </c>
      <c r="D23" s="278">
        <f ca="1">IF(ROW()-2&gt;Start.listina!$O$7,"",INDIRECT(ADDRESS(4+(ROW()-3)*2,$D$2,1,1,"Centrum")))</f>
        <v>0</v>
      </c>
      <c r="E23" s="276" t="str">
        <f ca="1">IF(TYPE(VLOOKUP(C23,Centrum!$A$3:$C$130,3,0))&gt;3," - ",VLOOKUP(C23,Centrum!$A$3:$C$130,3,0))</f>
        <v xml:space="preserve"> - </v>
      </c>
      <c r="F23" s="276" t="str">
        <f ca="1">IF(TYPE(VLOOKUP(D23,Centrum!$A$3:$C$130,3,0))&gt;3," - ",VLOOKUP(D23,Centrum!$A$3:$C$130,3,0))</f>
        <v xml:space="preserve"> - </v>
      </c>
      <c r="G23" s="439">
        <f ca="1">IF(ROW()-2&gt;Start.listina!$O$7,"",ROW()-2)</f>
        <v>21</v>
      </c>
      <c r="H23" s="272"/>
      <c r="I23" s="274"/>
      <c r="K23" s="275" t="str">
        <f t="shared" ca="1" si="0"/>
        <v/>
      </c>
      <c r="L23" s="275" t="str">
        <f t="shared" ca="1" si="1"/>
        <v/>
      </c>
      <c r="M23" s="275">
        <f t="shared" ca="1" si="2"/>
        <v>0</v>
      </c>
      <c r="N23" s="275">
        <f t="shared" ca="1" si="6"/>
        <v>0</v>
      </c>
      <c r="O23" s="275" t="str">
        <f t="shared" ca="1" si="3"/>
        <v/>
      </c>
      <c r="P23" s="275">
        <f t="shared" ca="1" si="4"/>
        <v>0</v>
      </c>
      <c r="Q23" s="282">
        <f t="shared" ca="1" si="5"/>
        <v>0</v>
      </c>
    </row>
    <row r="24" spans="3:17" ht="21" x14ac:dyDescent="0.4">
      <c r="C24" s="278">
        <f ca="1">IF(ROW()-2&gt;Start.listina!$O$7,"",INDIRECT(ADDRESS(3+(ROW()-3)*2,$D$2,1,1,"Centrum")))</f>
        <v>0</v>
      </c>
      <c r="D24" s="278">
        <f ca="1">IF(ROW()-2&gt;Start.listina!$O$7,"",INDIRECT(ADDRESS(4+(ROW()-3)*2,$D$2,1,1,"Centrum")))</f>
        <v>0</v>
      </c>
      <c r="E24" s="276" t="str">
        <f ca="1">IF(TYPE(VLOOKUP(C24,Centrum!$A$3:$C$130,3,0))&gt;3," - ",VLOOKUP(C24,Centrum!$A$3:$C$130,3,0))</f>
        <v xml:space="preserve"> - </v>
      </c>
      <c r="F24" s="276" t="str">
        <f ca="1">IF(TYPE(VLOOKUP(D24,Centrum!$A$3:$C$130,3,0))&gt;3," - ",VLOOKUP(D24,Centrum!$A$3:$C$130,3,0))</f>
        <v xml:space="preserve"> - </v>
      </c>
      <c r="G24" s="439">
        <f ca="1">IF(ROW()-2&gt;Start.listina!$O$7,"",ROW()-2)</f>
        <v>22</v>
      </c>
      <c r="H24" s="272"/>
      <c r="I24" s="274"/>
      <c r="K24" s="275" t="str">
        <f t="shared" ca="1" si="0"/>
        <v/>
      </c>
      <c r="L24" s="275" t="str">
        <f t="shared" ca="1" si="1"/>
        <v/>
      </c>
      <c r="M24" s="275">
        <f t="shared" ca="1" si="2"/>
        <v>0</v>
      </c>
      <c r="N24" s="275">
        <f t="shared" ca="1" si="6"/>
        <v>0</v>
      </c>
      <c r="O24" s="275" t="str">
        <f t="shared" ca="1" si="3"/>
        <v/>
      </c>
      <c r="P24" s="275">
        <f t="shared" ca="1" si="4"/>
        <v>0</v>
      </c>
      <c r="Q24" s="282">
        <f t="shared" ca="1" si="5"/>
        <v>0</v>
      </c>
    </row>
    <row r="25" spans="3:17" ht="21" x14ac:dyDescent="0.4">
      <c r="C25" s="278">
        <f ca="1">IF(ROW()-2&gt;Start.listina!$O$7,"",INDIRECT(ADDRESS(3+(ROW()-3)*2,$D$2,1,1,"Centrum")))</f>
        <v>0</v>
      </c>
      <c r="D25" s="278">
        <f ca="1">IF(ROW()-2&gt;Start.listina!$O$7,"",INDIRECT(ADDRESS(4+(ROW()-3)*2,$D$2,1,1,"Centrum")))</f>
        <v>0</v>
      </c>
      <c r="E25" s="276" t="str">
        <f ca="1">IF(TYPE(VLOOKUP(C25,Centrum!$A$3:$C$130,3,0))&gt;3," - ",VLOOKUP(C25,Centrum!$A$3:$C$130,3,0))</f>
        <v xml:space="preserve"> - </v>
      </c>
      <c r="F25" s="276" t="str">
        <f ca="1">IF(TYPE(VLOOKUP(D25,Centrum!$A$3:$C$130,3,0))&gt;3," - ",VLOOKUP(D25,Centrum!$A$3:$C$130,3,0))</f>
        <v xml:space="preserve"> - </v>
      </c>
      <c r="G25" s="439">
        <f ca="1">IF(ROW()-2&gt;Start.listina!$O$7,"",ROW()-2)</f>
        <v>23</v>
      </c>
      <c r="H25" s="272"/>
      <c r="I25" s="274"/>
      <c r="K25" s="275" t="str">
        <f t="shared" ca="1" si="0"/>
        <v/>
      </c>
      <c r="L25" s="275" t="str">
        <f t="shared" ca="1" si="1"/>
        <v/>
      </c>
      <c r="M25" s="275">
        <f t="shared" ca="1" si="2"/>
        <v>0</v>
      </c>
      <c r="N25" s="275">
        <f t="shared" ca="1" si="6"/>
        <v>0</v>
      </c>
      <c r="O25" s="275" t="str">
        <f t="shared" ca="1" si="3"/>
        <v/>
      </c>
      <c r="P25" s="275">
        <f t="shared" ca="1" si="4"/>
        <v>0</v>
      </c>
      <c r="Q25" s="282">
        <f t="shared" ca="1" si="5"/>
        <v>0</v>
      </c>
    </row>
    <row r="26" spans="3:17" ht="21" x14ac:dyDescent="0.4">
      <c r="C26" s="278">
        <f ca="1">IF(ROW()-2&gt;Start.listina!$O$7,"",INDIRECT(ADDRESS(3+(ROW()-3)*2,$D$2,1,1,"Centrum")))</f>
        <v>0</v>
      </c>
      <c r="D26" s="278">
        <f ca="1">IF(ROW()-2&gt;Start.listina!$O$7,"",INDIRECT(ADDRESS(4+(ROW()-3)*2,$D$2,1,1,"Centrum")))</f>
        <v>0</v>
      </c>
      <c r="E26" s="276" t="str">
        <f ca="1">IF(TYPE(VLOOKUP(C26,Centrum!$A$3:$C$130,3,0))&gt;3," - ",VLOOKUP(C26,Centrum!$A$3:$C$130,3,0))</f>
        <v xml:space="preserve"> - </v>
      </c>
      <c r="F26" s="276" t="str">
        <f ca="1">IF(TYPE(VLOOKUP(D26,Centrum!$A$3:$C$130,3,0))&gt;3," - ",VLOOKUP(D26,Centrum!$A$3:$C$130,3,0))</f>
        <v xml:space="preserve"> - </v>
      </c>
      <c r="G26" s="439">
        <f ca="1">IF(ROW()-2&gt;Start.listina!$O$7,"",ROW()-2)</f>
        <v>24</v>
      </c>
      <c r="H26" s="272"/>
      <c r="I26" s="274"/>
      <c r="K26" s="275" t="str">
        <f t="shared" ca="1" si="0"/>
        <v/>
      </c>
      <c r="L26" s="275" t="str">
        <f t="shared" ca="1" si="1"/>
        <v/>
      </c>
      <c r="M26" s="275">
        <f t="shared" ca="1" si="2"/>
        <v>0</v>
      </c>
      <c r="N26" s="275">
        <f t="shared" ca="1" si="6"/>
        <v>0</v>
      </c>
      <c r="O26" s="275" t="str">
        <f t="shared" ca="1" si="3"/>
        <v/>
      </c>
      <c r="P26" s="275">
        <f t="shared" ca="1" si="4"/>
        <v>0</v>
      </c>
      <c r="Q26" s="282">
        <f t="shared" ca="1" si="5"/>
        <v>0</v>
      </c>
    </row>
    <row r="27" spans="3:17" ht="21" x14ac:dyDescent="0.4">
      <c r="C27" s="278">
        <f ca="1">IF(ROW()-2&gt;Start.listina!$O$7,"",INDIRECT(ADDRESS(3+(ROW()-3)*2,$D$2,1,1,"Centrum")))</f>
        <v>0</v>
      </c>
      <c r="D27" s="278">
        <f ca="1">IF(ROW()-2&gt;Start.listina!$O$7,"",INDIRECT(ADDRESS(4+(ROW()-3)*2,$D$2,1,1,"Centrum")))</f>
        <v>0</v>
      </c>
      <c r="E27" s="276" t="str">
        <f ca="1">IF(TYPE(VLOOKUP(C27,Centrum!$A$3:$C$130,3,0))&gt;3," - ",VLOOKUP(C27,Centrum!$A$3:$C$130,3,0))</f>
        <v xml:space="preserve"> - </v>
      </c>
      <c r="F27" s="276" t="str">
        <f ca="1">IF(TYPE(VLOOKUP(D27,Centrum!$A$3:$C$130,3,0))&gt;3," - ",VLOOKUP(D27,Centrum!$A$3:$C$130,3,0))</f>
        <v xml:space="preserve"> - </v>
      </c>
      <c r="G27" s="439">
        <f ca="1">IF(ROW()-2&gt;Start.listina!$O$7,"",ROW()-2)</f>
        <v>25</v>
      </c>
      <c r="H27" s="272"/>
      <c r="I27" s="274"/>
      <c r="K27" s="275" t="str">
        <f t="shared" ca="1" si="0"/>
        <v/>
      </c>
      <c r="L27" s="275" t="str">
        <f t="shared" ca="1" si="1"/>
        <v/>
      </c>
      <c r="M27" s="275">
        <f t="shared" ca="1" si="2"/>
        <v>0</v>
      </c>
      <c r="N27" s="275">
        <f t="shared" ca="1" si="6"/>
        <v>0</v>
      </c>
      <c r="O27" s="275" t="str">
        <f t="shared" ca="1" si="3"/>
        <v/>
      </c>
      <c r="P27" s="275">
        <f t="shared" ca="1" si="4"/>
        <v>0</v>
      </c>
      <c r="Q27" s="282">
        <f t="shared" ca="1" si="5"/>
        <v>0</v>
      </c>
    </row>
    <row r="28" spans="3:17" ht="21" x14ac:dyDescent="0.4">
      <c r="C28" s="278">
        <f ca="1">IF(ROW()-2&gt;Start.listina!$O$7,"",INDIRECT(ADDRESS(3+(ROW()-3)*2,$D$2,1,1,"Centrum")))</f>
        <v>0</v>
      </c>
      <c r="D28" s="278">
        <f ca="1">IF(ROW()-2&gt;Start.listina!$O$7,"",INDIRECT(ADDRESS(4+(ROW()-3)*2,$D$2,1,1,"Centrum")))</f>
        <v>0</v>
      </c>
      <c r="E28" s="276" t="str">
        <f ca="1">IF(TYPE(VLOOKUP(C28,Centrum!$A$3:$C$130,3,0))&gt;3," - ",VLOOKUP(C28,Centrum!$A$3:$C$130,3,0))</f>
        <v xml:space="preserve"> - </v>
      </c>
      <c r="F28" s="276" t="str">
        <f ca="1">IF(TYPE(VLOOKUP(D28,Centrum!$A$3:$C$130,3,0))&gt;3," - ",VLOOKUP(D28,Centrum!$A$3:$C$130,3,0))</f>
        <v xml:space="preserve"> - </v>
      </c>
      <c r="G28" s="439">
        <f ca="1">IF(ROW()-2&gt;Start.listina!$O$7,"",ROW()-2)</f>
        <v>26</v>
      </c>
      <c r="H28" s="272"/>
      <c r="I28" s="274"/>
      <c r="K28" s="275" t="str">
        <f t="shared" ca="1" si="0"/>
        <v/>
      </c>
      <c r="L28" s="275" t="str">
        <f t="shared" ca="1" si="1"/>
        <v/>
      </c>
      <c r="M28" s="275">
        <f t="shared" ca="1" si="2"/>
        <v>0</v>
      </c>
      <c r="N28" s="275">
        <f t="shared" ca="1" si="6"/>
        <v>0</v>
      </c>
      <c r="O28" s="275" t="str">
        <f t="shared" ca="1" si="3"/>
        <v/>
      </c>
      <c r="P28" s="275">
        <f t="shared" ca="1" si="4"/>
        <v>0</v>
      </c>
      <c r="Q28" s="282">
        <f t="shared" ca="1" si="5"/>
        <v>0</v>
      </c>
    </row>
    <row r="29" spans="3:17" ht="21" x14ac:dyDescent="0.4">
      <c r="C29" s="278">
        <f ca="1">IF(ROW()-2&gt;Start.listina!$O$7,"",INDIRECT(ADDRESS(3+(ROW()-3)*2,$D$2,1,1,"Centrum")))</f>
        <v>0</v>
      </c>
      <c r="D29" s="278">
        <f ca="1">IF(ROW()-2&gt;Start.listina!$O$7,"",INDIRECT(ADDRESS(4+(ROW()-3)*2,$D$2,1,1,"Centrum")))</f>
        <v>0</v>
      </c>
      <c r="E29" s="276" t="str">
        <f ca="1">IF(TYPE(VLOOKUP(C29,Centrum!$A$3:$C$130,3,0))&gt;3," - ",VLOOKUP(C29,Centrum!$A$3:$C$130,3,0))</f>
        <v xml:space="preserve"> - </v>
      </c>
      <c r="F29" s="276" t="str">
        <f ca="1">IF(TYPE(VLOOKUP(D29,Centrum!$A$3:$C$130,3,0))&gt;3," - ",VLOOKUP(D29,Centrum!$A$3:$C$130,3,0))</f>
        <v xml:space="preserve"> - </v>
      </c>
      <c r="G29" s="439">
        <f ca="1">IF(ROW()-2&gt;Start.listina!$O$7,"",ROW()-2)</f>
        <v>27</v>
      </c>
      <c r="H29" s="272"/>
      <c r="I29" s="274"/>
      <c r="K29" s="275" t="str">
        <f t="shared" ca="1" si="0"/>
        <v/>
      </c>
      <c r="L29" s="275" t="str">
        <f t="shared" ca="1" si="1"/>
        <v/>
      </c>
      <c r="M29" s="275">
        <f t="shared" ca="1" si="2"/>
        <v>0</v>
      </c>
      <c r="N29" s="275">
        <f t="shared" ca="1" si="6"/>
        <v>0</v>
      </c>
      <c r="O29" s="275" t="str">
        <f t="shared" ca="1" si="3"/>
        <v/>
      </c>
      <c r="P29" s="275">
        <f t="shared" ca="1" si="4"/>
        <v>0</v>
      </c>
      <c r="Q29" s="282">
        <f t="shared" ca="1" si="5"/>
        <v>0</v>
      </c>
    </row>
    <row r="30" spans="3:17" ht="21" x14ac:dyDescent="0.4">
      <c r="C30" s="278">
        <f ca="1">IF(ROW()-2&gt;Start.listina!$O$7,"",INDIRECT(ADDRESS(3+(ROW()-3)*2,$D$2,1,1,"Centrum")))</f>
        <v>0</v>
      </c>
      <c r="D30" s="278">
        <f ca="1">IF(ROW()-2&gt;Start.listina!$O$7,"",INDIRECT(ADDRESS(4+(ROW()-3)*2,$D$2,1,1,"Centrum")))</f>
        <v>0</v>
      </c>
      <c r="E30" s="276" t="str">
        <f ca="1">IF(TYPE(VLOOKUP(C30,Centrum!$A$3:$C$130,3,0))&gt;3," - ",VLOOKUP(C30,Centrum!$A$3:$C$130,3,0))</f>
        <v xml:space="preserve"> - </v>
      </c>
      <c r="F30" s="276" t="str">
        <f ca="1">IF(TYPE(VLOOKUP(D30,Centrum!$A$3:$C$130,3,0))&gt;3," - ",VLOOKUP(D30,Centrum!$A$3:$C$130,3,0))</f>
        <v xml:space="preserve"> - </v>
      </c>
      <c r="G30" s="439">
        <f ca="1">IF(ROW()-2&gt;Start.listina!$O$7,"",ROW()-2)</f>
        <v>28</v>
      </c>
      <c r="H30" s="272"/>
      <c r="I30" s="274"/>
      <c r="K30" s="275" t="str">
        <f t="shared" ca="1" si="0"/>
        <v/>
      </c>
      <c r="L30" s="275" t="str">
        <f t="shared" ca="1" si="1"/>
        <v/>
      </c>
      <c r="M30" s="275">
        <f t="shared" ca="1" si="2"/>
        <v>0</v>
      </c>
      <c r="N30" s="275">
        <f t="shared" ca="1" si="6"/>
        <v>0</v>
      </c>
      <c r="O30" s="275" t="str">
        <f t="shared" ca="1" si="3"/>
        <v/>
      </c>
      <c r="P30" s="275">
        <f t="shared" ca="1" si="4"/>
        <v>0</v>
      </c>
      <c r="Q30" s="282">
        <f t="shared" ca="1" si="5"/>
        <v>0</v>
      </c>
    </row>
    <row r="31" spans="3:17" ht="21" x14ac:dyDescent="0.4">
      <c r="C31" s="278">
        <f ca="1">IF(ROW()-2&gt;Start.listina!$O$7,"",INDIRECT(ADDRESS(3+(ROW()-3)*2,$D$2,1,1,"Centrum")))</f>
        <v>0</v>
      </c>
      <c r="D31" s="278">
        <f ca="1">IF(ROW()-2&gt;Start.listina!$O$7,"",INDIRECT(ADDRESS(4+(ROW()-3)*2,$D$2,1,1,"Centrum")))</f>
        <v>0</v>
      </c>
      <c r="E31" s="276" t="str">
        <f ca="1">IF(TYPE(VLOOKUP(C31,Centrum!$A$3:$C$130,3,0))&gt;3," - ",VLOOKUP(C31,Centrum!$A$3:$C$130,3,0))</f>
        <v xml:space="preserve"> - </v>
      </c>
      <c r="F31" s="276" t="str">
        <f ca="1">IF(TYPE(VLOOKUP(D31,Centrum!$A$3:$C$130,3,0))&gt;3," - ",VLOOKUP(D31,Centrum!$A$3:$C$130,3,0))</f>
        <v xml:space="preserve"> - </v>
      </c>
      <c r="G31" s="439">
        <f ca="1">IF(ROW()-2&gt;Start.listina!$O$7,"",ROW()-2)</f>
        <v>29</v>
      </c>
      <c r="H31" s="272"/>
      <c r="I31" s="274"/>
      <c r="K31" s="275" t="str">
        <f t="shared" ca="1" si="0"/>
        <v/>
      </c>
      <c r="L31" s="275" t="str">
        <f t="shared" ca="1" si="1"/>
        <v/>
      </c>
      <c r="M31" s="275">
        <f t="shared" ca="1" si="2"/>
        <v>0</v>
      </c>
      <c r="N31" s="275">
        <f t="shared" ca="1" si="6"/>
        <v>0</v>
      </c>
      <c r="O31" s="275" t="str">
        <f t="shared" ca="1" si="3"/>
        <v/>
      </c>
      <c r="P31" s="275">
        <f t="shared" ca="1" si="4"/>
        <v>0</v>
      </c>
      <c r="Q31" s="282">
        <f t="shared" ca="1" si="5"/>
        <v>0</v>
      </c>
    </row>
    <row r="32" spans="3:17" ht="21" x14ac:dyDescent="0.4">
      <c r="C32" s="278" t="str">
        <f ca="1">IF(ROW()-2&gt;Start.listina!$O$7,"",INDIRECT(ADDRESS(3+(ROW()-3)*2,$D$2,1,1,"Centrum")))</f>
        <v/>
      </c>
      <c r="D32" s="278" t="str">
        <f ca="1">IF(ROW()-2&gt;Start.listina!$O$7,"",INDIRECT(ADDRESS(4+(ROW()-3)*2,$D$2,1,1,"Centrum")))</f>
        <v/>
      </c>
      <c r="E32" s="276" t="str">
        <f ca="1">IF(TYPE(VLOOKUP(C32,Centrum!$A$3:$C$130,3,0))&gt;3," - ",VLOOKUP(C32,Centrum!$A$3:$C$130,3,0))</f>
        <v xml:space="preserve"> - </v>
      </c>
      <c r="F32" s="276" t="str">
        <f ca="1">IF(TYPE(VLOOKUP(D32,Centrum!$A$3:$C$130,3,0))&gt;3," - ",VLOOKUP(D32,Centrum!$A$3:$C$130,3,0))</f>
        <v xml:space="preserve"> - </v>
      </c>
      <c r="G32" s="439" t="str">
        <f ca="1">IF(ROW()-2&gt;Start.listina!$O$7,"",ROW()-2)</f>
        <v/>
      </c>
      <c r="H32" s="272"/>
      <c r="I32" s="274"/>
      <c r="K32" s="275" t="str">
        <f t="shared" ca="1" si="0"/>
        <v/>
      </c>
      <c r="L32" s="275" t="str">
        <f t="shared" ca="1" si="1"/>
        <v/>
      </c>
      <c r="M32" s="275">
        <f t="shared" ca="1" si="2"/>
        <v>0</v>
      </c>
      <c r="N32" s="275">
        <f t="shared" ca="1" si="6"/>
        <v>0</v>
      </c>
      <c r="O32" s="275" t="str">
        <f t="shared" ca="1" si="3"/>
        <v/>
      </c>
      <c r="P32" s="275">
        <f t="shared" ca="1" si="4"/>
        <v>0</v>
      </c>
      <c r="Q32" s="282">
        <f t="shared" ca="1" si="5"/>
        <v>0</v>
      </c>
    </row>
    <row r="33" spans="3:17" ht="21" x14ac:dyDescent="0.4">
      <c r="C33" s="278" t="str">
        <f ca="1">IF(ROW()-2&gt;Start.listina!$O$7,"",INDIRECT(ADDRESS(3+(ROW()-3)*2,$D$2,1,1,"Centrum")))</f>
        <v/>
      </c>
      <c r="D33" s="278" t="str">
        <f ca="1">IF(ROW()-2&gt;Start.listina!$O$7,"",INDIRECT(ADDRESS(4+(ROW()-3)*2,$D$2,1,1,"Centrum")))</f>
        <v/>
      </c>
      <c r="E33" s="276" t="str">
        <f ca="1">IF(TYPE(VLOOKUP(C33,Centrum!$A$3:$C$130,3,0))&gt;3," - ",VLOOKUP(C33,Centrum!$A$3:$C$130,3,0))</f>
        <v xml:space="preserve"> - </v>
      </c>
      <c r="F33" s="276" t="str">
        <f ca="1">IF(TYPE(VLOOKUP(D33,Centrum!$A$3:$C$130,3,0))&gt;3," - ",VLOOKUP(D33,Centrum!$A$3:$C$130,3,0))</f>
        <v xml:space="preserve"> - </v>
      </c>
      <c r="G33" s="439" t="str">
        <f ca="1">IF(ROW()-2&gt;Start.listina!$O$7,"",ROW()-2)</f>
        <v/>
      </c>
      <c r="H33" s="272"/>
      <c r="I33" s="274"/>
      <c r="K33" s="275" t="str">
        <f t="shared" ca="1" si="0"/>
        <v/>
      </c>
      <c r="L33" s="275" t="str">
        <f t="shared" ca="1" si="1"/>
        <v/>
      </c>
      <c r="M33" s="275">
        <f t="shared" ca="1" si="2"/>
        <v>0</v>
      </c>
      <c r="N33" s="275">
        <f t="shared" ca="1" si="6"/>
        <v>0</v>
      </c>
      <c r="O33" s="275" t="str">
        <f t="shared" ca="1" si="3"/>
        <v/>
      </c>
      <c r="P33" s="275">
        <f t="shared" ca="1" si="4"/>
        <v>0</v>
      </c>
      <c r="Q33" s="282">
        <f t="shared" ca="1" si="5"/>
        <v>0</v>
      </c>
    </row>
    <row r="34" spans="3:17" ht="21" x14ac:dyDescent="0.4">
      <c r="C34" s="278" t="str">
        <f ca="1">IF(ROW()-2&gt;Start.listina!$O$7,"",INDIRECT(ADDRESS(3+(ROW()-3)*2,$D$2,1,1,"Centrum")))</f>
        <v/>
      </c>
      <c r="D34" s="278" t="str">
        <f ca="1">IF(ROW()-2&gt;Start.listina!$O$7,"",INDIRECT(ADDRESS(4+(ROW()-3)*2,$D$2,1,1,"Centrum")))</f>
        <v/>
      </c>
      <c r="E34" s="276" t="str">
        <f ca="1">IF(TYPE(VLOOKUP(C34,Centrum!$A$3:$C$130,3,0))&gt;3," - ",VLOOKUP(C34,Centrum!$A$3:$C$130,3,0))</f>
        <v xml:space="preserve"> - </v>
      </c>
      <c r="F34" s="276" t="str">
        <f ca="1">IF(TYPE(VLOOKUP(D34,Centrum!$A$3:$C$130,3,0))&gt;3," - ",VLOOKUP(D34,Centrum!$A$3:$C$130,3,0))</f>
        <v xml:space="preserve"> - </v>
      </c>
      <c r="G34" s="439" t="str">
        <f ca="1">IF(ROW()-2&gt;Start.listina!$O$7,"",ROW()-2)</f>
        <v/>
      </c>
      <c r="H34" s="272"/>
      <c r="I34" s="274"/>
      <c r="K34" s="275" t="str">
        <f t="shared" ca="1" si="0"/>
        <v/>
      </c>
      <c r="L34" s="275" t="str">
        <f t="shared" ca="1" si="1"/>
        <v/>
      </c>
      <c r="M34" s="275">
        <f t="shared" ca="1" si="2"/>
        <v>0</v>
      </c>
      <c r="N34" s="275">
        <f t="shared" ca="1" si="6"/>
        <v>0</v>
      </c>
      <c r="O34" s="275" t="str">
        <f t="shared" ca="1" si="3"/>
        <v/>
      </c>
      <c r="P34" s="275">
        <f t="shared" ca="1" si="4"/>
        <v>0</v>
      </c>
      <c r="Q34" s="282">
        <f t="shared" ca="1" si="5"/>
        <v>0</v>
      </c>
    </row>
    <row r="35" spans="3:17" ht="21" x14ac:dyDescent="0.4">
      <c r="C35" s="278" t="str">
        <f ca="1">IF(ROW()-2&gt;Start.listina!$O$7,"",INDIRECT(ADDRESS(3+(ROW()-3)*2,$D$2,1,1,"Centrum")))</f>
        <v/>
      </c>
      <c r="D35" s="278" t="str">
        <f ca="1">IF(ROW()-2&gt;Start.listina!$O$7,"",INDIRECT(ADDRESS(4+(ROW()-3)*2,$D$2,1,1,"Centrum")))</f>
        <v/>
      </c>
      <c r="E35" s="276" t="str">
        <f ca="1">IF(TYPE(VLOOKUP(C35,Centrum!$A$3:$C$130,3,0))&gt;3," - ",VLOOKUP(C35,Centrum!$A$3:$C$130,3,0))</f>
        <v xml:space="preserve"> - </v>
      </c>
      <c r="F35" s="276" t="str">
        <f ca="1">IF(TYPE(VLOOKUP(D35,Centrum!$A$3:$C$130,3,0))&gt;3," - ",VLOOKUP(D35,Centrum!$A$3:$C$130,3,0))</f>
        <v xml:space="preserve"> - </v>
      </c>
      <c r="G35" s="439" t="str">
        <f ca="1">IF(ROW()-2&gt;Start.listina!$O$7,"",ROW()-2)</f>
        <v/>
      </c>
      <c r="H35" s="272"/>
      <c r="I35" s="274"/>
      <c r="K35" s="275" t="str">
        <f t="shared" ca="1" si="0"/>
        <v/>
      </c>
      <c r="L35" s="275" t="str">
        <f t="shared" ca="1" si="1"/>
        <v/>
      </c>
      <c r="M35" s="275">
        <f t="shared" ca="1" si="2"/>
        <v>0</v>
      </c>
      <c r="N35" s="275">
        <f t="shared" ca="1" si="6"/>
        <v>0</v>
      </c>
      <c r="O35" s="275" t="str">
        <f t="shared" ca="1" si="3"/>
        <v/>
      </c>
      <c r="P35" s="275">
        <f t="shared" ca="1" si="4"/>
        <v>0</v>
      </c>
      <c r="Q35" s="282">
        <f t="shared" ca="1" si="5"/>
        <v>0</v>
      </c>
    </row>
    <row r="36" spans="3:17" ht="21" x14ac:dyDescent="0.4">
      <c r="C36" s="278" t="str">
        <f ca="1">IF(ROW()-2&gt;Start.listina!$O$7,"",INDIRECT(ADDRESS(3+(ROW()-3)*2,$D$2,1,1,"Centrum")))</f>
        <v/>
      </c>
      <c r="D36" s="278" t="str">
        <f ca="1">IF(ROW()-2&gt;Start.listina!$O$7,"",INDIRECT(ADDRESS(4+(ROW()-3)*2,$D$2,1,1,"Centrum")))</f>
        <v/>
      </c>
      <c r="E36" s="276" t="str">
        <f ca="1">IF(TYPE(VLOOKUP(C36,Centrum!$A$3:$C$130,3,0))&gt;3," - ",VLOOKUP(C36,Centrum!$A$3:$C$130,3,0))</f>
        <v xml:space="preserve"> - </v>
      </c>
      <c r="F36" s="276" t="str">
        <f ca="1">IF(TYPE(VLOOKUP(D36,Centrum!$A$3:$C$130,3,0))&gt;3," - ",VLOOKUP(D36,Centrum!$A$3:$C$130,3,0))</f>
        <v xml:space="preserve"> - </v>
      </c>
      <c r="G36" s="439" t="str">
        <f ca="1">IF(ROW()-2&gt;Start.listina!$O$7,"",ROW()-2)</f>
        <v/>
      </c>
      <c r="H36" s="272"/>
      <c r="I36" s="274"/>
      <c r="K36" s="275" t="str">
        <f t="shared" ca="1" si="0"/>
        <v/>
      </c>
      <c r="L36" s="275" t="str">
        <f t="shared" ca="1" si="1"/>
        <v/>
      </c>
      <c r="M36" s="275">
        <f t="shared" ca="1" si="2"/>
        <v>0</v>
      </c>
      <c r="N36" s="275">
        <f t="shared" ca="1" si="6"/>
        <v>0</v>
      </c>
      <c r="O36" s="275" t="str">
        <f t="shared" ca="1" si="3"/>
        <v/>
      </c>
      <c r="P36" s="275">
        <f t="shared" ca="1" si="4"/>
        <v>0</v>
      </c>
      <c r="Q36" s="282">
        <f t="shared" ca="1" si="5"/>
        <v>0</v>
      </c>
    </row>
    <row r="37" spans="3:17" ht="21" x14ac:dyDescent="0.4">
      <c r="C37" s="278" t="str">
        <f ca="1">IF(ROW()-2&gt;Start.listina!$O$7,"",INDIRECT(ADDRESS(3+(ROW()-3)*2,$D$2,1,1,"Centrum")))</f>
        <v/>
      </c>
      <c r="D37" s="278" t="str">
        <f ca="1">IF(ROW()-2&gt;Start.listina!$O$7,"",INDIRECT(ADDRESS(4+(ROW()-3)*2,$D$2,1,1,"Centrum")))</f>
        <v/>
      </c>
      <c r="E37" s="276" t="str">
        <f ca="1">IF(TYPE(VLOOKUP(C37,Centrum!$A$3:$C$130,3,0))&gt;3," - ",VLOOKUP(C37,Centrum!$A$3:$C$130,3,0))</f>
        <v xml:space="preserve"> - </v>
      </c>
      <c r="F37" s="276" t="str">
        <f ca="1">IF(TYPE(VLOOKUP(D37,Centrum!$A$3:$C$130,3,0))&gt;3," - ",VLOOKUP(D37,Centrum!$A$3:$C$130,3,0))</f>
        <v xml:space="preserve"> - </v>
      </c>
      <c r="G37" s="439" t="str">
        <f ca="1">IF(ROW()-2&gt;Start.listina!$O$7,"",ROW()-2)</f>
        <v/>
      </c>
      <c r="H37" s="272"/>
      <c r="I37" s="274"/>
      <c r="K37" s="275" t="str">
        <f t="shared" ca="1" si="0"/>
        <v/>
      </c>
      <c r="L37" s="275" t="str">
        <f t="shared" ca="1" si="1"/>
        <v/>
      </c>
      <c r="M37" s="275">
        <f t="shared" ca="1" si="2"/>
        <v>0</v>
      </c>
      <c r="N37" s="275">
        <f t="shared" ca="1" si="6"/>
        <v>0</v>
      </c>
      <c r="O37" s="275" t="str">
        <f t="shared" ca="1" si="3"/>
        <v/>
      </c>
      <c r="P37" s="275">
        <f t="shared" ca="1" si="4"/>
        <v>0</v>
      </c>
      <c r="Q37" s="282">
        <f t="shared" ca="1" si="5"/>
        <v>0</v>
      </c>
    </row>
    <row r="38" spans="3:17" ht="21" x14ac:dyDescent="0.4">
      <c r="C38" s="278" t="str">
        <f ca="1">IF(ROW()-2&gt;Start.listina!$O$7,"",INDIRECT(ADDRESS(3+(ROW()-3)*2,$D$2,1,1,"Centrum")))</f>
        <v/>
      </c>
      <c r="D38" s="278" t="str">
        <f ca="1">IF(ROW()-2&gt;Start.listina!$O$7,"",INDIRECT(ADDRESS(4+(ROW()-3)*2,$D$2,1,1,"Centrum")))</f>
        <v/>
      </c>
      <c r="E38" s="276" t="str">
        <f ca="1">IF(TYPE(VLOOKUP(C38,Centrum!$A$3:$C$130,3,0))&gt;3," - ",VLOOKUP(C38,Centrum!$A$3:$C$130,3,0))</f>
        <v xml:space="preserve"> - </v>
      </c>
      <c r="F38" s="276" t="str">
        <f ca="1">IF(TYPE(VLOOKUP(D38,Centrum!$A$3:$C$130,3,0))&gt;3," - ",VLOOKUP(D38,Centrum!$A$3:$C$130,3,0))</f>
        <v xml:space="preserve"> - </v>
      </c>
      <c r="G38" s="439" t="str">
        <f ca="1">IF(ROW()-2&gt;Start.listina!$O$7,"",ROW()-2)</f>
        <v/>
      </c>
      <c r="H38" s="272"/>
      <c r="I38" s="274"/>
      <c r="K38" s="275" t="str">
        <f t="shared" ca="1" si="0"/>
        <v/>
      </c>
      <c r="L38" s="275" t="str">
        <f t="shared" ca="1" si="1"/>
        <v/>
      </c>
      <c r="M38" s="275">
        <f t="shared" ca="1" si="2"/>
        <v>0</v>
      </c>
      <c r="N38" s="275">
        <f t="shared" ca="1" si="6"/>
        <v>0</v>
      </c>
      <c r="O38" s="275" t="str">
        <f t="shared" ca="1" si="3"/>
        <v/>
      </c>
      <c r="P38" s="275">
        <f t="shared" ca="1" si="4"/>
        <v>0</v>
      </c>
      <c r="Q38" s="282">
        <f t="shared" ca="1" si="5"/>
        <v>0</v>
      </c>
    </row>
    <row r="39" spans="3:17" ht="21" x14ac:dyDescent="0.4">
      <c r="C39" s="278" t="str">
        <f ca="1">IF(ROW()-2&gt;Start.listina!$O$7,"",INDIRECT(ADDRESS(3+(ROW()-3)*2,$D$2,1,1,"Centrum")))</f>
        <v/>
      </c>
      <c r="D39" s="278" t="str">
        <f ca="1">IF(ROW()-2&gt;Start.listina!$O$7,"",INDIRECT(ADDRESS(4+(ROW()-3)*2,$D$2,1,1,"Centrum")))</f>
        <v/>
      </c>
      <c r="E39" s="276" t="str">
        <f ca="1">IF(TYPE(VLOOKUP(C39,Centrum!$A$3:$C$130,3,0))&gt;3," - ",VLOOKUP(C39,Centrum!$A$3:$C$130,3,0))</f>
        <v xml:space="preserve"> - </v>
      </c>
      <c r="F39" s="276" t="str">
        <f ca="1">IF(TYPE(VLOOKUP(D39,Centrum!$A$3:$C$130,3,0))&gt;3," - ",VLOOKUP(D39,Centrum!$A$3:$C$130,3,0))</f>
        <v xml:space="preserve"> - </v>
      </c>
      <c r="G39" s="439" t="str">
        <f ca="1">IF(ROW()-2&gt;Start.listina!$O$7,"",ROW()-2)</f>
        <v/>
      </c>
      <c r="H39" s="272"/>
      <c r="I39" s="274"/>
      <c r="K39" s="275" t="str">
        <f t="shared" ca="1" si="0"/>
        <v/>
      </c>
      <c r="L39" s="275" t="str">
        <f t="shared" ca="1" si="1"/>
        <v/>
      </c>
      <c r="M39" s="275">
        <f t="shared" ca="1" si="2"/>
        <v>0</v>
      </c>
      <c r="N39" s="275">
        <f t="shared" ca="1" si="6"/>
        <v>0</v>
      </c>
      <c r="O39" s="275" t="str">
        <f t="shared" ca="1" si="3"/>
        <v/>
      </c>
      <c r="P39" s="275">
        <f t="shared" ca="1" si="4"/>
        <v>0</v>
      </c>
      <c r="Q39" s="282">
        <f t="shared" ca="1" si="5"/>
        <v>0</v>
      </c>
    </row>
    <row r="40" spans="3:17" ht="21" x14ac:dyDescent="0.4">
      <c r="C40" s="278" t="str">
        <f ca="1">IF(ROW()-2&gt;Start.listina!$O$7,"",INDIRECT(ADDRESS(3+(ROW()-3)*2,$D$2,1,1,"Centrum")))</f>
        <v/>
      </c>
      <c r="D40" s="278" t="str">
        <f ca="1">IF(ROW()-2&gt;Start.listina!$O$7,"",INDIRECT(ADDRESS(4+(ROW()-3)*2,$D$2,1,1,"Centrum")))</f>
        <v/>
      </c>
      <c r="E40" s="276" t="str">
        <f ca="1">IF(TYPE(VLOOKUP(C40,Centrum!$A$3:$C$130,3,0))&gt;3," - ",VLOOKUP(C40,Centrum!$A$3:$C$130,3,0))</f>
        <v xml:space="preserve"> - </v>
      </c>
      <c r="F40" s="276" t="str">
        <f ca="1">IF(TYPE(VLOOKUP(D40,Centrum!$A$3:$C$130,3,0))&gt;3," - ",VLOOKUP(D40,Centrum!$A$3:$C$130,3,0))</f>
        <v xml:space="preserve"> - </v>
      </c>
      <c r="G40" s="439" t="str">
        <f ca="1">IF(ROW()-2&gt;Start.listina!$O$7,"",ROW()-2)</f>
        <v/>
      </c>
      <c r="H40" s="272"/>
      <c r="I40" s="274"/>
      <c r="K40" s="275" t="str">
        <f t="shared" ca="1" si="0"/>
        <v/>
      </c>
      <c r="L40" s="275" t="str">
        <f t="shared" ca="1" si="1"/>
        <v/>
      </c>
      <c r="M40" s="275">
        <f t="shared" ca="1" si="2"/>
        <v>0</v>
      </c>
      <c r="N40" s="275">
        <f t="shared" ca="1" si="6"/>
        <v>0</v>
      </c>
      <c r="O40" s="275" t="str">
        <f t="shared" ca="1" si="3"/>
        <v/>
      </c>
      <c r="P40" s="275">
        <f t="shared" ca="1" si="4"/>
        <v>0</v>
      </c>
      <c r="Q40" s="282">
        <f t="shared" ca="1" si="5"/>
        <v>0</v>
      </c>
    </row>
    <row r="41" spans="3:17" ht="21" x14ac:dyDescent="0.4">
      <c r="C41" s="278" t="str">
        <f ca="1">IF(ROW()-2&gt;Start.listina!$O$7,"",INDIRECT(ADDRESS(3+(ROW()-3)*2,$D$2,1,1,"Centrum")))</f>
        <v/>
      </c>
      <c r="D41" s="278" t="str">
        <f ca="1">IF(ROW()-2&gt;Start.listina!$O$7,"",INDIRECT(ADDRESS(4+(ROW()-3)*2,$D$2,1,1,"Centrum")))</f>
        <v/>
      </c>
      <c r="E41" s="276" t="str">
        <f ca="1">IF(TYPE(VLOOKUP(C41,Centrum!$A$3:$C$130,3,0))&gt;3," - ",VLOOKUP(C41,Centrum!$A$3:$C$130,3,0))</f>
        <v xml:space="preserve"> - </v>
      </c>
      <c r="F41" s="276" t="str">
        <f ca="1">IF(TYPE(VLOOKUP(D41,Centrum!$A$3:$C$130,3,0))&gt;3," - ",VLOOKUP(D41,Centrum!$A$3:$C$130,3,0))</f>
        <v xml:space="preserve"> - </v>
      </c>
      <c r="G41" s="439" t="str">
        <f ca="1">IF(ROW()-2&gt;Start.listina!$O$7,"",ROW()-2)</f>
        <v/>
      </c>
      <c r="H41" s="272"/>
      <c r="I41" s="274"/>
      <c r="K41" s="275" t="str">
        <f t="shared" ca="1" si="0"/>
        <v/>
      </c>
      <c r="L41" s="275" t="str">
        <f t="shared" ca="1" si="1"/>
        <v/>
      </c>
      <c r="M41" s="275">
        <f t="shared" ca="1" si="2"/>
        <v>0</v>
      </c>
      <c r="N41" s="275">
        <f t="shared" ca="1" si="6"/>
        <v>0</v>
      </c>
      <c r="O41" s="275" t="str">
        <f t="shared" ca="1" si="3"/>
        <v/>
      </c>
      <c r="P41" s="275">
        <f t="shared" ca="1" si="4"/>
        <v>0</v>
      </c>
      <c r="Q41" s="282">
        <f t="shared" ca="1" si="5"/>
        <v>0</v>
      </c>
    </row>
    <row r="42" spans="3:17" ht="21" x14ac:dyDescent="0.4">
      <c r="C42" s="278" t="str">
        <f ca="1">IF(ROW()-2&gt;Start.listina!$O$7,"",INDIRECT(ADDRESS(3+(ROW()-3)*2,$D$2,1,1,"Centrum")))</f>
        <v/>
      </c>
      <c r="D42" s="278" t="str">
        <f ca="1">IF(ROW()-2&gt;Start.listina!$O$7,"",INDIRECT(ADDRESS(4+(ROW()-3)*2,$D$2,1,1,"Centrum")))</f>
        <v/>
      </c>
      <c r="E42" s="276" t="str">
        <f ca="1">IF(TYPE(VLOOKUP(C42,Centrum!$A$3:$C$130,3,0))&gt;3," - ",VLOOKUP(C42,Centrum!$A$3:$C$130,3,0))</f>
        <v xml:space="preserve"> - </v>
      </c>
      <c r="F42" s="276" t="str">
        <f ca="1">IF(TYPE(VLOOKUP(D42,Centrum!$A$3:$C$130,3,0))&gt;3," - ",VLOOKUP(D42,Centrum!$A$3:$C$130,3,0))</f>
        <v xml:space="preserve"> - </v>
      </c>
      <c r="G42" s="439" t="str">
        <f ca="1">IF(ROW()-2&gt;Start.listina!$O$7,"",ROW()-2)</f>
        <v/>
      </c>
      <c r="H42" s="272"/>
      <c r="I42" s="274"/>
      <c r="K42" s="275" t="str">
        <f t="shared" ca="1" si="0"/>
        <v/>
      </c>
      <c r="L42" s="275" t="str">
        <f t="shared" ca="1" si="1"/>
        <v/>
      </c>
      <c r="M42" s="275">
        <f t="shared" ca="1" si="2"/>
        <v>0</v>
      </c>
      <c r="N42" s="275">
        <f t="shared" ca="1" si="6"/>
        <v>0</v>
      </c>
      <c r="O42" s="275" t="str">
        <f t="shared" ca="1" si="3"/>
        <v/>
      </c>
      <c r="P42" s="275">
        <f t="shared" ca="1" si="4"/>
        <v>0</v>
      </c>
      <c r="Q42" s="282">
        <f t="shared" ca="1" si="5"/>
        <v>0</v>
      </c>
    </row>
    <row r="43" spans="3:17" ht="21" x14ac:dyDescent="0.4">
      <c r="C43" s="278" t="str">
        <f ca="1">IF(ROW()-2&gt;Start.listina!$O$7,"",INDIRECT(ADDRESS(3+(ROW()-3)*2,$D$2,1,1,"Centrum")))</f>
        <v/>
      </c>
      <c r="D43" s="278" t="str">
        <f ca="1">IF(ROW()-2&gt;Start.listina!$O$7,"",INDIRECT(ADDRESS(4+(ROW()-3)*2,$D$2,1,1,"Centrum")))</f>
        <v/>
      </c>
      <c r="E43" s="276" t="str">
        <f ca="1">IF(TYPE(VLOOKUP(C43,Centrum!$A$3:$C$130,3,0))&gt;3," - ",VLOOKUP(C43,Centrum!$A$3:$C$130,3,0))</f>
        <v xml:space="preserve"> - </v>
      </c>
      <c r="F43" s="276" t="str">
        <f ca="1">IF(TYPE(VLOOKUP(D43,Centrum!$A$3:$C$130,3,0))&gt;3," - ",VLOOKUP(D43,Centrum!$A$3:$C$130,3,0))</f>
        <v xml:space="preserve"> - </v>
      </c>
      <c r="G43" s="439" t="str">
        <f ca="1">IF(ROW()-2&gt;Start.listina!$O$7,"",ROW()-2)</f>
        <v/>
      </c>
      <c r="H43" s="272"/>
      <c r="I43" s="274"/>
      <c r="K43" s="275" t="str">
        <f t="shared" ca="1" si="0"/>
        <v/>
      </c>
      <c r="L43" s="275" t="str">
        <f t="shared" ca="1" si="1"/>
        <v/>
      </c>
      <c r="M43" s="275">
        <f t="shared" ca="1" si="2"/>
        <v>0</v>
      </c>
      <c r="N43" s="275">
        <f t="shared" ca="1" si="6"/>
        <v>0</v>
      </c>
      <c r="O43" s="275" t="str">
        <f t="shared" ca="1" si="3"/>
        <v/>
      </c>
      <c r="P43" s="275">
        <f t="shared" ca="1" si="4"/>
        <v>0</v>
      </c>
      <c r="Q43" s="282">
        <f t="shared" ca="1" si="5"/>
        <v>0</v>
      </c>
    </row>
    <row r="44" spans="3:17" ht="21" x14ac:dyDescent="0.4">
      <c r="C44" s="278" t="str">
        <f ca="1">IF(ROW()-2&gt;Start.listina!$O$7,"",INDIRECT(ADDRESS(3+(ROW()-3)*2,$D$2,1,1,"Centrum")))</f>
        <v/>
      </c>
      <c r="D44" s="278" t="str">
        <f ca="1">IF(ROW()-2&gt;Start.listina!$O$7,"",INDIRECT(ADDRESS(4+(ROW()-3)*2,$D$2,1,1,"Centrum")))</f>
        <v/>
      </c>
      <c r="E44" s="276" t="str">
        <f ca="1">IF(TYPE(VLOOKUP(C44,Centrum!$A$3:$C$130,3,0))&gt;3," - ",VLOOKUP(C44,Centrum!$A$3:$C$130,3,0))</f>
        <v xml:space="preserve"> - </v>
      </c>
      <c r="F44" s="276" t="str">
        <f ca="1">IF(TYPE(VLOOKUP(D44,Centrum!$A$3:$C$130,3,0))&gt;3," - ",VLOOKUP(D44,Centrum!$A$3:$C$130,3,0))</f>
        <v xml:space="preserve"> - </v>
      </c>
      <c r="G44" s="439" t="str">
        <f ca="1">IF(ROW()-2&gt;Start.listina!$O$7,"",ROW()-2)</f>
        <v/>
      </c>
      <c r="H44" s="272"/>
      <c r="I44" s="274"/>
      <c r="K44" s="275" t="str">
        <f t="shared" ca="1" si="0"/>
        <v/>
      </c>
      <c r="L44" s="275" t="str">
        <f t="shared" ca="1" si="1"/>
        <v/>
      </c>
      <c r="M44" s="275">
        <f t="shared" ca="1" si="2"/>
        <v>0</v>
      </c>
      <c r="N44" s="275">
        <f t="shared" ca="1" si="6"/>
        <v>0</v>
      </c>
      <c r="O44" s="275" t="str">
        <f t="shared" ca="1" si="3"/>
        <v/>
      </c>
      <c r="P44" s="275">
        <f t="shared" ca="1" si="4"/>
        <v>0</v>
      </c>
      <c r="Q44" s="282">
        <f t="shared" ca="1" si="5"/>
        <v>0</v>
      </c>
    </row>
    <row r="45" spans="3:17" ht="21" x14ac:dyDescent="0.4">
      <c r="C45" s="278" t="str">
        <f ca="1">IF(ROW()-2&gt;Start.listina!$O$7,"",INDIRECT(ADDRESS(3+(ROW()-3)*2,$D$2,1,1,"Centrum")))</f>
        <v/>
      </c>
      <c r="D45" s="278" t="str">
        <f ca="1">IF(ROW()-2&gt;Start.listina!$O$7,"",INDIRECT(ADDRESS(4+(ROW()-3)*2,$D$2,1,1,"Centrum")))</f>
        <v/>
      </c>
      <c r="E45" s="276" t="str">
        <f ca="1">IF(TYPE(VLOOKUP(C45,Centrum!$A$3:$C$130,3,0))&gt;3," - ",VLOOKUP(C45,Centrum!$A$3:$C$130,3,0))</f>
        <v xml:space="preserve"> - </v>
      </c>
      <c r="F45" s="276" t="str">
        <f ca="1">IF(TYPE(VLOOKUP(D45,Centrum!$A$3:$C$130,3,0))&gt;3," - ",VLOOKUP(D45,Centrum!$A$3:$C$130,3,0))</f>
        <v xml:space="preserve"> - </v>
      </c>
      <c r="G45" s="439" t="str">
        <f ca="1">IF(ROW()-2&gt;Start.listina!$O$7,"",ROW()-2)</f>
        <v/>
      </c>
      <c r="H45" s="272"/>
      <c r="I45" s="274"/>
      <c r="K45" s="275" t="str">
        <f t="shared" ca="1" si="0"/>
        <v/>
      </c>
      <c r="L45" s="275" t="str">
        <f t="shared" ca="1" si="1"/>
        <v/>
      </c>
      <c r="M45" s="275">
        <f t="shared" ca="1" si="2"/>
        <v>0</v>
      </c>
      <c r="N45" s="275">
        <f t="shared" ca="1" si="6"/>
        <v>0</v>
      </c>
      <c r="O45" s="275" t="str">
        <f t="shared" ca="1" si="3"/>
        <v/>
      </c>
      <c r="P45" s="275">
        <f t="shared" ca="1" si="4"/>
        <v>0</v>
      </c>
      <c r="Q45" s="282">
        <f t="shared" ca="1" si="5"/>
        <v>0</v>
      </c>
    </row>
    <row r="46" spans="3:17" ht="21" x14ac:dyDescent="0.4">
      <c r="C46" s="278" t="str">
        <f ca="1">IF(ROW()-2&gt;Start.listina!$O$7,"",INDIRECT(ADDRESS(3+(ROW()-3)*2,$D$2,1,1,"Centrum")))</f>
        <v/>
      </c>
      <c r="D46" s="278" t="str">
        <f ca="1">IF(ROW()-2&gt;Start.listina!$O$7,"",INDIRECT(ADDRESS(4+(ROW()-3)*2,$D$2,1,1,"Centrum")))</f>
        <v/>
      </c>
      <c r="E46" s="276" t="str">
        <f ca="1">IF(TYPE(VLOOKUP(C46,Centrum!$A$3:$C$130,3,0))&gt;3," - ",VLOOKUP(C46,Centrum!$A$3:$C$130,3,0))</f>
        <v xml:space="preserve"> - </v>
      </c>
      <c r="F46" s="276" t="str">
        <f ca="1">IF(TYPE(VLOOKUP(D46,Centrum!$A$3:$C$130,3,0))&gt;3," - ",VLOOKUP(D46,Centrum!$A$3:$C$130,3,0))</f>
        <v xml:space="preserve"> - </v>
      </c>
      <c r="G46" s="439" t="str">
        <f ca="1">IF(ROW()-2&gt;Start.listina!$O$7,"",ROW()-2)</f>
        <v/>
      </c>
      <c r="H46" s="272"/>
      <c r="I46" s="274"/>
      <c r="K46" s="275" t="str">
        <f t="shared" ca="1" si="0"/>
        <v/>
      </c>
      <c r="L46" s="275" t="str">
        <f t="shared" ca="1" si="1"/>
        <v/>
      </c>
      <c r="M46" s="275">
        <f t="shared" ca="1" si="2"/>
        <v>0</v>
      </c>
      <c r="N46" s="275">
        <f t="shared" ca="1" si="6"/>
        <v>0</v>
      </c>
      <c r="O46" s="275" t="str">
        <f t="shared" ca="1" si="3"/>
        <v/>
      </c>
      <c r="P46" s="275">
        <f t="shared" ca="1" si="4"/>
        <v>0</v>
      </c>
      <c r="Q46" s="282">
        <f t="shared" ca="1" si="5"/>
        <v>0</v>
      </c>
    </row>
    <row r="47" spans="3:17" ht="21" x14ac:dyDescent="0.4">
      <c r="C47" s="278" t="str">
        <f ca="1">IF(ROW()-2&gt;Start.listina!$O$7,"",INDIRECT(ADDRESS(3+(ROW()-3)*2,$D$2,1,1,"Centrum")))</f>
        <v/>
      </c>
      <c r="D47" s="278" t="str">
        <f ca="1">IF(ROW()-2&gt;Start.listina!$O$7,"",INDIRECT(ADDRESS(4+(ROW()-3)*2,$D$2,1,1,"Centrum")))</f>
        <v/>
      </c>
      <c r="E47" s="276" t="str">
        <f ca="1">IF(TYPE(VLOOKUP(C47,Centrum!$A$3:$C$130,3,0))&gt;3," - ",VLOOKUP(C47,Centrum!$A$3:$C$130,3,0))</f>
        <v xml:space="preserve"> - </v>
      </c>
      <c r="F47" s="276" t="str">
        <f ca="1">IF(TYPE(VLOOKUP(D47,Centrum!$A$3:$C$130,3,0))&gt;3," - ",VLOOKUP(D47,Centrum!$A$3:$C$130,3,0))</f>
        <v xml:space="preserve"> - </v>
      </c>
      <c r="G47" s="439" t="str">
        <f ca="1">IF(ROW()-2&gt;Start.listina!$O$7,"",ROW()-2)</f>
        <v/>
      </c>
      <c r="H47" s="272"/>
      <c r="I47" s="274"/>
      <c r="K47" s="275" t="str">
        <f t="shared" ca="1" si="0"/>
        <v/>
      </c>
      <c r="L47" s="275" t="str">
        <f t="shared" ca="1" si="1"/>
        <v/>
      </c>
      <c r="M47" s="275">
        <f t="shared" ca="1" si="2"/>
        <v>0</v>
      </c>
      <c r="N47" s="275">
        <f t="shared" ca="1" si="6"/>
        <v>0</v>
      </c>
      <c r="O47" s="275" t="str">
        <f t="shared" ca="1" si="3"/>
        <v/>
      </c>
      <c r="P47" s="275">
        <f t="shared" ca="1" si="4"/>
        <v>0</v>
      </c>
      <c r="Q47" s="282">
        <f t="shared" ca="1" si="5"/>
        <v>0</v>
      </c>
    </row>
    <row r="48" spans="3:17" ht="21" x14ac:dyDescent="0.4">
      <c r="C48" s="278" t="str">
        <f ca="1">IF(ROW()-2&gt;Start.listina!$O$7,"",INDIRECT(ADDRESS(3+(ROW()-3)*2,$D$2,1,1,"Centrum")))</f>
        <v/>
      </c>
      <c r="D48" s="278" t="str">
        <f ca="1">IF(ROW()-2&gt;Start.listina!$O$7,"",INDIRECT(ADDRESS(4+(ROW()-3)*2,$D$2,1,1,"Centrum")))</f>
        <v/>
      </c>
      <c r="E48" s="276" t="str">
        <f ca="1">IF(TYPE(VLOOKUP(C48,Centrum!$A$3:$C$130,3,0))&gt;3," - ",VLOOKUP(C48,Centrum!$A$3:$C$130,3,0))</f>
        <v xml:space="preserve"> - </v>
      </c>
      <c r="F48" s="276" t="str">
        <f ca="1">IF(TYPE(VLOOKUP(D48,Centrum!$A$3:$C$130,3,0))&gt;3," - ",VLOOKUP(D48,Centrum!$A$3:$C$130,3,0))</f>
        <v xml:space="preserve"> - </v>
      </c>
      <c r="G48" s="439" t="str">
        <f ca="1">IF(ROW()-2&gt;Start.listina!$O$7,"",ROW()-2)</f>
        <v/>
      </c>
      <c r="H48" s="272"/>
      <c r="I48" s="274"/>
      <c r="K48" s="275" t="str">
        <f t="shared" ca="1" si="0"/>
        <v/>
      </c>
      <c r="L48" s="275" t="str">
        <f t="shared" ca="1" si="1"/>
        <v/>
      </c>
      <c r="M48" s="275">
        <f t="shared" ca="1" si="2"/>
        <v>0</v>
      </c>
      <c r="N48" s="275">
        <f t="shared" ca="1" si="6"/>
        <v>0</v>
      </c>
      <c r="O48" s="275" t="str">
        <f t="shared" ca="1" si="3"/>
        <v/>
      </c>
      <c r="P48" s="275">
        <f t="shared" ca="1" si="4"/>
        <v>0</v>
      </c>
      <c r="Q48" s="282">
        <f t="shared" ca="1" si="5"/>
        <v>0</v>
      </c>
    </row>
    <row r="49" spans="3:17" ht="21" x14ac:dyDescent="0.4">
      <c r="C49" s="278" t="str">
        <f ca="1">IF(ROW()-2&gt;Start.listina!$O$7,"",INDIRECT(ADDRESS(3+(ROW()-3)*2,$D$2,1,1,"Centrum")))</f>
        <v/>
      </c>
      <c r="D49" s="278" t="str">
        <f ca="1">IF(ROW()-2&gt;Start.listina!$O$7,"",INDIRECT(ADDRESS(4+(ROW()-3)*2,$D$2,1,1,"Centrum")))</f>
        <v/>
      </c>
      <c r="E49" s="276" t="str">
        <f ca="1">IF(TYPE(VLOOKUP(C49,Centrum!$A$3:$C$130,3,0))&gt;3," - ",VLOOKUP(C49,Centrum!$A$3:$C$130,3,0))</f>
        <v xml:space="preserve"> - </v>
      </c>
      <c r="F49" s="276" t="str">
        <f ca="1">IF(TYPE(VLOOKUP(D49,Centrum!$A$3:$C$130,3,0))&gt;3," - ",VLOOKUP(D49,Centrum!$A$3:$C$130,3,0))</f>
        <v xml:space="preserve"> - </v>
      </c>
      <c r="G49" s="439" t="str">
        <f ca="1">IF(ROW()-2&gt;Start.listina!$O$7,"",ROW()-2)</f>
        <v/>
      </c>
      <c r="H49" s="272"/>
      <c r="I49" s="274"/>
      <c r="K49" s="275" t="str">
        <f t="shared" ca="1" si="0"/>
        <v/>
      </c>
      <c r="L49" s="275" t="str">
        <f t="shared" ca="1" si="1"/>
        <v/>
      </c>
      <c r="M49" s="275">
        <f t="shared" ca="1" si="2"/>
        <v>0</v>
      </c>
      <c r="N49" s="275">
        <f t="shared" ca="1" si="6"/>
        <v>0</v>
      </c>
      <c r="O49" s="275" t="str">
        <f t="shared" ca="1" si="3"/>
        <v/>
      </c>
      <c r="P49" s="275">
        <f t="shared" ca="1" si="4"/>
        <v>0</v>
      </c>
      <c r="Q49" s="282">
        <f t="shared" ca="1" si="5"/>
        <v>0</v>
      </c>
    </row>
    <row r="50" spans="3:17" ht="21" x14ac:dyDescent="0.4">
      <c r="C50" s="278" t="str">
        <f ca="1">IF(ROW()-2&gt;Start.listina!$O$7,"",INDIRECT(ADDRESS(3+(ROW()-3)*2,$D$2,1,1,"Centrum")))</f>
        <v/>
      </c>
      <c r="D50" s="278" t="str">
        <f ca="1">IF(ROW()-2&gt;Start.listina!$O$7,"",INDIRECT(ADDRESS(4+(ROW()-3)*2,$D$2,1,1,"Centrum")))</f>
        <v/>
      </c>
      <c r="E50" s="276" t="str">
        <f ca="1">IF(TYPE(VLOOKUP(C50,Centrum!$A$3:$C$130,3,0))&gt;3," - ",VLOOKUP(C50,Centrum!$A$3:$C$130,3,0))</f>
        <v xml:space="preserve"> - </v>
      </c>
      <c r="F50" s="276" t="str">
        <f ca="1">IF(TYPE(VLOOKUP(D50,Centrum!$A$3:$C$130,3,0))&gt;3," - ",VLOOKUP(D50,Centrum!$A$3:$C$130,3,0))</f>
        <v xml:space="preserve"> - </v>
      </c>
      <c r="G50" s="439" t="str">
        <f ca="1">IF(ROW()-2&gt;Start.listina!$O$7,"",ROW()-2)</f>
        <v/>
      </c>
      <c r="H50" s="272"/>
      <c r="I50" s="274"/>
      <c r="K50" s="275" t="str">
        <f t="shared" ca="1" si="0"/>
        <v/>
      </c>
      <c r="L50" s="275" t="str">
        <f t="shared" ca="1" si="1"/>
        <v/>
      </c>
      <c r="M50" s="275">
        <f t="shared" ca="1" si="2"/>
        <v>0</v>
      </c>
      <c r="N50" s="275">
        <f t="shared" ca="1" si="6"/>
        <v>0</v>
      </c>
      <c r="O50" s="275" t="str">
        <f t="shared" ca="1" si="3"/>
        <v/>
      </c>
      <c r="P50" s="275">
        <f t="shared" ca="1" si="4"/>
        <v>0</v>
      </c>
      <c r="Q50" s="282">
        <f t="shared" ca="1" si="5"/>
        <v>0</v>
      </c>
    </row>
    <row r="51" spans="3:17" ht="21" x14ac:dyDescent="0.4">
      <c r="C51" s="278" t="str">
        <f ca="1">IF(ROW()-2&gt;Start.listina!$O$7,"",INDIRECT(ADDRESS(3+(ROW()-3)*2,$D$2,1,1,"Centrum")))</f>
        <v/>
      </c>
      <c r="D51" s="278" t="str">
        <f ca="1">IF(ROW()-2&gt;Start.listina!$O$7,"",INDIRECT(ADDRESS(4+(ROW()-3)*2,$D$2,1,1,"Centrum")))</f>
        <v/>
      </c>
      <c r="E51" s="276" t="str">
        <f ca="1">IF(TYPE(VLOOKUP(C51,Centrum!$A$3:$C$130,3,0))&gt;3," - ",VLOOKUP(C51,Centrum!$A$3:$C$130,3,0))</f>
        <v xml:space="preserve"> - </v>
      </c>
      <c r="F51" s="276" t="str">
        <f ca="1">IF(TYPE(VLOOKUP(D51,Centrum!$A$3:$C$130,3,0))&gt;3," - ",VLOOKUP(D51,Centrum!$A$3:$C$130,3,0))</f>
        <v xml:space="preserve"> - </v>
      </c>
      <c r="G51" s="439" t="str">
        <f ca="1">IF(ROW()-2&gt;Start.listina!$O$7,"",ROW()-2)</f>
        <v/>
      </c>
      <c r="H51" s="272"/>
      <c r="I51" s="274"/>
      <c r="K51" s="275" t="str">
        <f t="shared" ca="1" si="0"/>
        <v/>
      </c>
      <c r="L51" s="275" t="str">
        <f t="shared" ca="1" si="1"/>
        <v/>
      </c>
      <c r="M51" s="275">
        <f t="shared" ca="1" si="2"/>
        <v>0</v>
      </c>
      <c r="N51" s="275">
        <f t="shared" ca="1" si="6"/>
        <v>0</v>
      </c>
      <c r="O51" s="275" t="str">
        <f t="shared" ca="1" si="3"/>
        <v/>
      </c>
      <c r="P51" s="275">
        <f t="shared" ca="1" si="4"/>
        <v>0</v>
      </c>
      <c r="Q51" s="282">
        <f t="shared" ca="1" si="5"/>
        <v>0</v>
      </c>
    </row>
    <row r="52" spans="3:17" ht="21" x14ac:dyDescent="0.4">
      <c r="C52" s="278" t="str">
        <f ca="1">IF(ROW()-2&gt;Start.listina!$O$7,"",INDIRECT(ADDRESS(3+(ROW()-3)*2,$D$2,1,1,"Centrum")))</f>
        <v/>
      </c>
      <c r="D52" s="278" t="str">
        <f ca="1">IF(ROW()-2&gt;Start.listina!$O$7,"",INDIRECT(ADDRESS(4+(ROW()-3)*2,$D$2,1,1,"Centrum")))</f>
        <v/>
      </c>
      <c r="E52" s="276" t="str">
        <f ca="1">IF(TYPE(VLOOKUP(C52,Centrum!$A$3:$C$130,3,0))&gt;3," - ",VLOOKUP(C52,Centrum!$A$3:$C$130,3,0))</f>
        <v xml:space="preserve"> - </v>
      </c>
      <c r="F52" s="276" t="str">
        <f ca="1">IF(TYPE(VLOOKUP(D52,Centrum!$A$3:$C$130,3,0))&gt;3," - ",VLOOKUP(D52,Centrum!$A$3:$C$130,3,0))</f>
        <v xml:space="preserve"> - </v>
      </c>
      <c r="G52" s="439" t="str">
        <f ca="1">IF(ROW()-2&gt;Start.listina!$O$7,"",ROW()-2)</f>
        <v/>
      </c>
      <c r="H52" s="272"/>
      <c r="I52" s="274"/>
      <c r="K52" s="275" t="str">
        <f t="shared" ca="1" si="0"/>
        <v/>
      </c>
      <c r="L52" s="275" t="str">
        <f t="shared" ca="1" si="1"/>
        <v/>
      </c>
      <c r="M52" s="275">
        <f t="shared" ca="1" si="2"/>
        <v>0</v>
      </c>
      <c r="N52" s="275">
        <f t="shared" ca="1" si="6"/>
        <v>0</v>
      </c>
      <c r="O52" s="275" t="str">
        <f t="shared" ca="1" si="3"/>
        <v/>
      </c>
      <c r="P52" s="275">
        <f t="shared" ca="1" si="4"/>
        <v>0</v>
      </c>
      <c r="Q52" s="282">
        <f t="shared" ca="1" si="5"/>
        <v>0</v>
      </c>
    </row>
    <row r="53" spans="3:17" ht="21" x14ac:dyDescent="0.4">
      <c r="C53" s="278" t="str">
        <f ca="1">IF(ROW()-2&gt;Start.listina!$O$7,"",INDIRECT(ADDRESS(3+(ROW()-3)*2,$D$2,1,1,"Centrum")))</f>
        <v/>
      </c>
      <c r="D53" s="278" t="str">
        <f ca="1">IF(ROW()-2&gt;Start.listina!$O$7,"",INDIRECT(ADDRESS(4+(ROW()-3)*2,$D$2,1,1,"Centrum")))</f>
        <v/>
      </c>
      <c r="E53" s="276" t="str">
        <f ca="1">IF(TYPE(VLOOKUP(C53,Centrum!$A$3:$C$130,3,0))&gt;3," - ",VLOOKUP(C53,Centrum!$A$3:$C$130,3,0))</f>
        <v xml:space="preserve"> - </v>
      </c>
      <c r="F53" s="276" t="str">
        <f ca="1">IF(TYPE(VLOOKUP(D53,Centrum!$A$3:$C$130,3,0))&gt;3," - ",VLOOKUP(D53,Centrum!$A$3:$C$130,3,0))</f>
        <v xml:space="preserve"> - </v>
      </c>
      <c r="G53" s="439" t="str">
        <f ca="1">IF(ROW()-2&gt;Start.listina!$O$7,"",ROW()-2)</f>
        <v/>
      </c>
      <c r="H53" s="272"/>
      <c r="I53" s="274"/>
      <c r="K53" s="275" t="str">
        <f t="shared" ca="1" si="0"/>
        <v/>
      </c>
      <c r="L53" s="275" t="str">
        <f t="shared" ca="1" si="1"/>
        <v/>
      </c>
      <c r="M53" s="275">
        <f t="shared" ca="1" si="2"/>
        <v>0</v>
      </c>
      <c r="N53" s="275">
        <f t="shared" ca="1" si="6"/>
        <v>0</v>
      </c>
      <c r="O53" s="275" t="str">
        <f t="shared" ca="1" si="3"/>
        <v/>
      </c>
      <c r="P53" s="275">
        <f t="shared" ca="1" si="4"/>
        <v>0</v>
      </c>
      <c r="Q53" s="282">
        <f t="shared" ca="1" si="5"/>
        <v>0</v>
      </c>
    </row>
    <row r="54" spans="3:17" ht="21" x14ac:dyDescent="0.4">
      <c r="C54" s="278" t="str">
        <f ca="1">IF(ROW()-2&gt;Start.listina!$O$7,"",INDIRECT(ADDRESS(3+(ROW()-3)*2,$D$2,1,1,"Centrum")))</f>
        <v/>
      </c>
      <c r="D54" s="278" t="str">
        <f ca="1">IF(ROW()-2&gt;Start.listina!$O$7,"",INDIRECT(ADDRESS(4+(ROW()-3)*2,$D$2,1,1,"Centrum")))</f>
        <v/>
      </c>
      <c r="E54" s="276" t="str">
        <f ca="1">IF(TYPE(VLOOKUP(C54,Centrum!$A$3:$C$130,3,0))&gt;3," - ",VLOOKUP(C54,Centrum!$A$3:$C$130,3,0))</f>
        <v xml:space="preserve"> - </v>
      </c>
      <c r="F54" s="276" t="str">
        <f ca="1">IF(TYPE(VLOOKUP(D54,Centrum!$A$3:$C$130,3,0))&gt;3," - ",VLOOKUP(D54,Centrum!$A$3:$C$130,3,0))</f>
        <v xml:space="preserve"> - </v>
      </c>
      <c r="G54" s="439" t="str">
        <f ca="1">IF(ROW()-2&gt;Start.listina!$O$7,"",ROW()-2)</f>
        <v/>
      </c>
      <c r="H54" s="272"/>
      <c r="I54" s="274"/>
      <c r="K54" s="275" t="str">
        <f t="shared" ca="1" si="0"/>
        <v/>
      </c>
      <c r="L54" s="275" t="str">
        <f t="shared" ca="1" si="1"/>
        <v/>
      </c>
      <c r="M54" s="275">
        <f t="shared" ca="1" si="2"/>
        <v>0</v>
      </c>
      <c r="N54" s="275">
        <f t="shared" ca="1" si="6"/>
        <v>0</v>
      </c>
      <c r="O54" s="275" t="str">
        <f t="shared" ca="1" si="3"/>
        <v/>
      </c>
      <c r="P54" s="275">
        <f t="shared" ca="1" si="4"/>
        <v>0</v>
      </c>
      <c r="Q54" s="282">
        <f t="shared" ca="1" si="5"/>
        <v>0</v>
      </c>
    </row>
    <row r="55" spans="3:17" ht="21" x14ac:dyDescent="0.4">
      <c r="C55" s="278" t="str">
        <f ca="1">IF(ROW()-2&gt;Start.listina!$O$7,"",INDIRECT(ADDRESS(3+(ROW()-3)*2,$D$2,1,1,"Centrum")))</f>
        <v/>
      </c>
      <c r="D55" s="278" t="str">
        <f ca="1">IF(ROW()-2&gt;Start.listina!$O$7,"",INDIRECT(ADDRESS(4+(ROW()-3)*2,$D$2,1,1,"Centrum")))</f>
        <v/>
      </c>
      <c r="E55" s="276" t="str">
        <f ca="1">IF(TYPE(VLOOKUP(C55,Centrum!$A$3:$C$130,3,0))&gt;3," - ",VLOOKUP(C55,Centrum!$A$3:$C$130,3,0))</f>
        <v xml:space="preserve"> - </v>
      </c>
      <c r="F55" s="276" t="str">
        <f ca="1">IF(TYPE(VLOOKUP(D55,Centrum!$A$3:$C$130,3,0))&gt;3," - ",VLOOKUP(D55,Centrum!$A$3:$C$130,3,0))</f>
        <v xml:space="preserve"> - </v>
      </c>
      <c r="G55" s="439" t="str">
        <f ca="1">IF(ROW()-2&gt;Start.listina!$O$7,"",ROW()-2)</f>
        <v/>
      </c>
      <c r="H55" s="272"/>
      <c r="I55" s="274"/>
      <c r="K55" s="275" t="str">
        <f t="shared" ca="1" si="0"/>
        <v/>
      </c>
      <c r="L55" s="275" t="str">
        <f t="shared" ca="1" si="1"/>
        <v/>
      </c>
      <c r="M55" s="275">
        <f t="shared" ca="1" si="2"/>
        <v>0</v>
      </c>
      <c r="N55" s="275">
        <f t="shared" ca="1" si="6"/>
        <v>0</v>
      </c>
      <c r="O55" s="275" t="str">
        <f t="shared" ca="1" si="3"/>
        <v/>
      </c>
      <c r="P55" s="275">
        <f t="shared" ca="1" si="4"/>
        <v>0</v>
      </c>
      <c r="Q55" s="282">
        <f t="shared" ca="1" si="5"/>
        <v>0</v>
      </c>
    </row>
    <row r="56" spans="3:17" ht="21" x14ac:dyDescent="0.4">
      <c r="C56" s="278" t="str">
        <f ca="1">IF(ROW()-2&gt;Start.listina!$O$7,"",INDIRECT(ADDRESS(3+(ROW()-3)*2,$D$2,1,1,"Centrum")))</f>
        <v/>
      </c>
      <c r="D56" s="278" t="str">
        <f ca="1">IF(ROW()-2&gt;Start.listina!$O$7,"",INDIRECT(ADDRESS(4+(ROW()-3)*2,$D$2,1,1,"Centrum")))</f>
        <v/>
      </c>
      <c r="E56" s="276" t="str">
        <f ca="1">IF(TYPE(VLOOKUP(C56,Centrum!$A$3:$C$130,3,0))&gt;3," - ",VLOOKUP(C56,Centrum!$A$3:$C$130,3,0))</f>
        <v xml:space="preserve"> - </v>
      </c>
      <c r="F56" s="276" t="str">
        <f ca="1">IF(TYPE(VLOOKUP(D56,Centrum!$A$3:$C$130,3,0))&gt;3," - ",VLOOKUP(D56,Centrum!$A$3:$C$130,3,0))</f>
        <v xml:space="preserve"> - </v>
      </c>
      <c r="G56" s="439" t="str">
        <f ca="1">IF(ROW()-2&gt;Start.listina!$O$7,"",ROW()-2)</f>
        <v/>
      </c>
      <c r="H56" s="272"/>
      <c r="I56" s="274"/>
      <c r="K56" s="275" t="str">
        <f t="shared" ca="1" si="0"/>
        <v/>
      </c>
      <c r="L56" s="275" t="str">
        <f t="shared" ca="1" si="1"/>
        <v/>
      </c>
      <c r="M56" s="275">
        <f t="shared" ca="1" si="2"/>
        <v>0</v>
      </c>
      <c r="N56" s="275">
        <f t="shared" ca="1" si="6"/>
        <v>0</v>
      </c>
      <c r="O56" s="275" t="str">
        <f t="shared" ca="1" si="3"/>
        <v/>
      </c>
      <c r="P56" s="275">
        <f t="shared" ca="1" si="4"/>
        <v>0</v>
      </c>
      <c r="Q56" s="282">
        <f t="shared" ca="1" si="5"/>
        <v>0</v>
      </c>
    </row>
    <row r="57" spans="3:17" ht="21" x14ac:dyDescent="0.4">
      <c r="C57" s="278" t="str">
        <f ca="1">IF(ROW()-2&gt;Start.listina!$O$7,"",INDIRECT(ADDRESS(3+(ROW()-3)*2,$D$2,1,1,"Centrum")))</f>
        <v/>
      </c>
      <c r="D57" s="278" t="str">
        <f ca="1">IF(ROW()-2&gt;Start.listina!$O$7,"",INDIRECT(ADDRESS(4+(ROW()-3)*2,$D$2,1,1,"Centrum")))</f>
        <v/>
      </c>
      <c r="E57" s="276" t="str">
        <f ca="1">IF(TYPE(VLOOKUP(C57,Centrum!$A$3:$C$130,3,0))&gt;3," - ",VLOOKUP(C57,Centrum!$A$3:$C$130,3,0))</f>
        <v xml:space="preserve"> - </v>
      </c>
      <c r="F57" s="276" t="str">
        <f ca="1">IF(TYPE(VLOOKUP(D57,Centrum!$A$3:$C$130,3,0))&gt;3," - ",VLOOKUP(D57,Centrum!$A$3:$C$130,3,0))</f>
        <v xml:space="preserve"> - </v>
      </c>
      <c r="G57" s="439" t="str">
        <f ca="1">IF(ROW()-2&gt;Start.listina!$O$7,"",ROW()-2)</f>
        <v/>
      </c>
      <c r="H57" s="272"/>
      <c r="I57" s="274"/>
      <c r="K57" s="275" t="str">
        <f t="shared" ca="1" si="0"/>
        <v/>
      </c>
      <c r="L57" s="275" t="str">
        <f t="shared" ca="1" si="1"/>
        <v/>
      </c>
      <c r="M57" s="275">
        <f t="shared" ca="1" si="2"/>
        <v>0</v>
      </c>
      <c r="N57" s="275">
        <f t="shared" ca="1" si="6"/>
        <v>0</v>
      </c>
      <c r="O57" s="275" t="str">
        <f t="shared" ca="1" si="3"/>
        <v/>
      </c>
      <c r="P57" s="275">
        <f t="shared" ca="1" si="4"/>
        <v>0</v>
      </c>
      <c r="Q57" s="282">
        <f t="shared" ca="1" si="5"/>
        <v>0</v>
      </c>
    </row>
    <row r="58" spans="3:17" ht="21" x14ac:dyDescent="0.4">
      <c r="C58" s="278" t="str">
        <f ca="1">IF(ROW()-2&gt;Start.listina!$O$7,"",INDIRECT(ADDRESS(3+(ROW()-3)*2,$D$2,1,1,"Centrum")))</f>
        <v/>
      </c>
      <c r="D58" s="278" t="str">
        <f ca="1">IF(ROW()-2&gt;Start.listina!$O$7,"",INDIRECT(ADDRESS(4+(ROW()-3)*2,$D$2,1,1,"Centrum")))</f>
        <v/>
      </c>
      <c r="E58" s="276" t="str">
        <f ca="1">IF(TYPE(VLOOKUP(C58,Centrum!$A$3:$C$130,3,0))&gt;3," - ",VLOOKUP(C58,Centrum!$A$3:$C$130,3,0))</f>
        <v xml:space="preserve"> - </v>
      </c>
      <c r="F58" s="276" t="str">
        <f ca="1">IF(TYPE(VLOOKUP(D58,Centrum!$A$3:$C$130,3,0))&gt;3," - ",VLOOKUP(D58,Centrum!$A$3:$C$130,3,0))</f>
        <v xml:space="preserve"> - </v>
      </c>
      <c r="G58" s="439" t="str">
        <f ca="1">IF(ROW()-2&gt;Start.listina!$O$7,"",ROW()-2)</f>
        <v/>
      </c>
      <c r="H58" s="272"/>
      <c r="I58" s="274"/>
      <c r="K58" s="275" t="str">
        <f t="shared" ca="1" si="0"/>
        <v/>
      </c>
      <c r="L58" s="275" t="str">
        <f t="shared" ca="1" si="1"/>
        <v/>
      </c>
      <c r="M58" s="275">
        <f t="shared" ca="1" si="2"/>
        <v>0</v>
      </c>
      <c r="N58" s="275">
        <f t="shared" ca="1" si="6"/>
        <v>0</v>
      </c>
      <c r="O58" s="275" t="str">
        <f t="shared" ca="1" si="3"/>
        <v/>
      </c>
      <c r="P58" s="275">
        <f t="shared" ca="1" si="4"/>
        <v>0</v>
      </c>
      <c r="Q58" s="282">
        <f t="shared" ca="1" si="5"/>
        <v>0</v>
      </c>
    </row>
    <row r="59" spans="3:17" ht="21" x14ac:dyDescent="0.4">
      <c r="C59" s="278" t="str">
        <f ca="1">IF(ROW()-2&gt;Start.listina!$O$7,"",INDIRECT(ADDRESS(3+(ROW()-3)*2,$D$2,1,1,"Centrum")))</f>
        <v/>
      </c>
      <c r="D59" s="278" t="str">
        <f ca="1">IF(ROW()-2&gt;Start.listina!$O$7,"",INDIRECT(ADDRESS(4+(ROW()-3)*2,$D$2,1,1,"Centrum")))</f>
        <v/>
      </c>
      <c r="E59" s="276" t="str">
        <f ca="1">IF(TYPE(VLOOKUP(C59,Centrum!$A$3:$C$130,3,0))&gt;3," - ",VLOOKUP(C59,Centrum!$A$3:$C$130,3,0))</f>
        <v xml:space="preserve"> - </v>
      </c>
      <c r="F59" s="276" t="str">
        <f ca="1">IF(TYPE(VLOOKUP(D59,Centrum!$A$3:$C$130,3,0))&gt;3," - ",VLOOKUP(D59,Centrum!$A$3:$C$130,3,0))</f>
        <v xml:space="preserve"> - </v>
      </c>
      <c r="G59" s="439" t="str">
        <f ca="1">IF(ROW()-2&gt;Start.listina!$O$7,"",ROW()-2)</f>
        <v/>
      </c>
      <c r="H59" s="272"/>
      <c r="I59" s="274"/>
      <c r="K59" s="275" t="str">
        <f t="shared" ca="1" si="0"/>
        <v/>
      </c>
      <c r="L59" s="275" t="str">
        <f t="shared" ca="1" si="1"/>
        <v/>
      </c>
      <c r="M59" s="275">
        <f t="shared" ca="1" si="2"/>
        <v>0</v>
      </c>
      <c r="N59" s="275">
        <f t="shared" ca="1" si="6"/>
        <v>0</v>
      </c>
      <c r="O59" s="275" t="str">
        <f t="shared" ca="1" si="3"/>
        <v/>
      </c>
      <c r="P59" s="275">
        <f t="shared" ca="1" si="4"/>
        <v>0</v>
      </c>
      <c r="Q59" s="282">
        <f t="shared" ca="1" si="5"/>
        <v>0</v>
      </c>
    </row>
    <row r="60" spans="3:17" ht="21" x14ac:dyDescent="0.4">
      <c r="C60" s="278" t="str">
        <f ca="1">IF(ROW()-2&gt;Start.listina!$O$7,"",INDIRECT(ADDRESS(3+(ROW()-3)*2,$D$2,1,1,"Centrum")))</f>
        <v/>
      </c>
      <c r="D60" s="278" t="str">
        <f ca="1">IF(ROW()-2&gt;Start.listina!$O$7,"",INDIRECT(ADDRESS(4+(ROW()-3)*2,$D$2,1,1,"Centrum")))</f>
        <v/>
      </c>
      <c r="E60" s="276" t="str">
        <f ca="1">IF(TYPE(VLOOKUP(C60,Centrum!$A$3:$C$130,3,0))&gt;3," - ",VLOOKUP(C60,Centrum!$A$3:$C$130,3,0))</f>
        <v xml:space="preserve"> - </v>
      </c>
      <c r="F60" s="276" t="str">
        <f ca="1">IF(TYPE(VLOOKUP(D60,Centrum!$A$3:$C$130,3,0))&gt;3," - ",VLOOKUP(D60,Centrum!$A$3:$C$130,3,0))</f>
        <v xml:space="preserve"> - </v>
      </c>
      <c r="G60" s="439" t="str">
        <f ca="1">IF(ROW()-2&gt;Start.listina!$O$7,"",ROW()-2)</f>
        <v/>
      </c>
      <c r="H60" s="272"/>
      <c r="I60" s="274"/>
      <c r="K60" s="275" t="str">
        <f t="shared" ca="1" si="0"/>
        <v/>
      </c>
      <c r="L60" s="275" t="str">
        <f t="shared" ca="1" si="1"/>
        <v/>
      </c>
      <c r="M60" s="275">
        <f t="shared" ca="1" si="2"/>
        <v>0</v>
      </c>
      <c r="N60" s="275">
        <f t="shared" ca="1" si="6"/>
        <v>0</v>
      </c>
      <c r="O60" s="275" t="str">
        <f t="shared" ca="1" si="3"/>
        <v/>
      </c>
      <c r="P60" s="275">
        <f t="shared" ca="1" si="4"/>
        <v>0</v>
      </c>
      <c r="Q60" s="282">
        <f t="shared" ca="1" si="5"/>
        <v>0</v>
      </c>
    </row>
    <row r="61" spans="3:17" ht="21" x14ac:dyDescent="0.4">
      <c r="C61" s="278" t="str">
        <f ca="1">IF(ROW()-2&gt;Start.listina!$O$7,"",INDIRECT(ADDRESS(3+(ROW()-3)*2,$D$2,1,1,"Centrum")))</f>
        <v/>
      </c>
      <c r="D61" s="278" t="str">
        <f ca="1">IF(ROW()-2&gt;Start.listina!$O$7,"",INDIRECT(ADDRESS(4+(ROW()-3)*2,$D$2,1,1,"Centrum")))</f>
        <v/>
      </c>
      <c r="E61" s="276" t="str">
        <f ca="1">IF(TYPE(VLOOKUP(C61,Centrum!$A$3:$C$130,3,0))&gt;3," - ",VLOOKUP(C61,Centrum!$A$3:$C$130,3,0))</f>
        <v xml:space="preserve"> - </v>
      </c>
      <c r="F61" s="276" t="str">
        <f ca="1">IF(TYPE(VLOOKUP(D61,Centrum!$A$3:$C$130,3,0))&gt;3," - ",VLOOKUP(D61,Centrum!$A$3:$C$130,3,0))</f>
        <v xml:space="preserve"> - </v>
      </c>
      <c r="G61" s="439" t="str">
        <f ca="1">IF(ROW()-2&gt;Start.listina!$O$7,"",ROW()-2)</f>
        <v/>
      </c>
      <c r="H61" s="272"/>
      <c r="I61" s="274"/>
      <c r="K61" s="275" t="str">
        <f t="shared" ca="1" si="0"/>
        <v/>
      </c>
      <c r="L61" s="275" t="str">
        <f t="shared" ca="1" si="1"/>
        <v/>
      </c>
      <c r="M61" s="275">
        <f t="shared" ca="1" si="2"/>
        <v>0</v>
      </c>
      <c r="N61" s="275">
        <f t="shared" ca="1" si="6"/>
        <v>0</v>
      </c>
      <c r="O61" s="275" t="str">
        <f t="shared" ca="1" si="3"/>
        <v/>
      </c>
      <c r="P61" s="275">
        <f t="shared" ca="1" si="4"/>
        <v>0</v>
      </c>
      <c r="Q61" s="282">
        <f t="shared" ca="1" si="5"/>
        <v>0</v>
      </c>
    </row>
    <row r="62" spans="3:17" ht="21" x14ac:dyDescent="0.4">
      <c r="C62" s="278" t="str">
        <f ca="1">IF(ROW()-2&gt;Start.listina!$O$7,"",INDIRECT(ADDRESS(3+(ROW()-3)*2,$D$2,1,1,"Centrum")))</f>
        <v/>
      </c>
      <c r="D62" s="278" t="str">
        <f ca="1">IF(ROW()-2&gt;Start.listina!$O$7,"",INDIRECT(ADDRESS(4+(ROW()-3)*2,$D$2,1,1,"Centrum")))</f>
        <v/>
      </c>
      <c r="E62" s="276" t="str">
        <f ca="1">IF(TYPE(VLOOKUP(C62,Centrum!$A$3:$C$130,3,0))&gt;3," - ",VLOOKUP(C62,Centrum!$A$3:$C$130,3,0))</f>
        <v xml:space="preserve"> - </v>
      </c>
      <c r="F62" s="276" t="str">
        <f ca="1">IF(TYPE(VLOOKUP(D62,Centrum!$A$3:$C$130,3,0))&gt;3," - ",VLOOKUP(D62,Centrum!$A$3:$C$130,3,0))</f>
        <v xml:space="preserve"> - </v>
      </c>
      <c r="G62" s="439" t="str">
        <f ca="1">IF(ROW()-2&gt;Start.listina!$O$7,"",ROW()-2)</f>
        <v/>
      </c>
      <c r="H62" s="272"/>
      <c r="I62" s="274"/>
      <c r="K62" s="275" t="str">
        <f t="shared" ca="1" si="0"/>
        <v/>
      </c>
      <c r="L62" s="275" t="str">
        <f t="shared" ca="1" si="1"/>
        <v/>
      </c>
      <c r="M62" s="275">
        <f t="shared" ca="1" si="2"/>
        <v>0</v>
      </c>
      <c r="N62" s="275">
        <f t="shared" ca="1" si="6"/>
        <v>0</v>
      </c>
      <c r="O62" s="275" t="str">
        <f t="shared" ca="1" si="3"/>
        <v/>
      </c>
      <c r="P62" s="275">
        <f t="shared" ca="1" si="4"/>
        <v>0</v>
      </c>
      <c r="Q62" s="282">
        <f t="shared" ca="1" si="5"/>
        <v>0</v>
      </c>
    </row>
    <row r="63" spans="3:17" ht="21" x14ac:dyDescent="0.4">
      <c r="C63" s="278" t="str">
        <f ca="1">IF(ROW()-2&gt;Start.listina!$O$7,"",INDIRECT(ADDRESS(3+(ROW()-3)*2,$D$2,1,1,"Centrum")))</f>
        <v/>
      </c>
      <c r="D63" s="278" t="str">
        <f ca="1">IF(ROW()-2&gt;Start.listina!$O$7,"",INDIRECT(ADDRESS(4+(ROW()-3)*2,$D$2,1,1,"Centrum")))</f>
        <v/>
      </c>
      <c r="E63" s="276" t="str">
        <f ca="1">IF(TYPE(VLOOKUP(C63,Centrum!$A$3:$C$130,3,0))&gt;3," - ",VLOOKUP(C63,Centrum!$A$3:$C$130,3,0))</f>
        <v xml:space="preserve"> - </v>
      </c>
      <c r="F63" s="276" t="str">
        <f ca="1">IF(TYPE(VLOOKUP(D63,Centrum!$A$3:$C$130,3,0))&gt;3," - ",VLOOKUP(D63,Centrum!$A$3:$C$130,3,0))</f>
        <v xml:space="preserve"> - </v>
      </c>
      <c r="G63" s="439" t="str">
        <f ca="1">IF(ROW()-2&gt;Start.listina!$O$7,"",ROW()-2)</f>
        <v/>
      </c>
      <c r="H63" s="272"/>
      <c r="I63" s="274"/>
      <c r="K63" s="275" t="str">
        <f t="shared" ca="1" si="0"/>
        <v/>
      </c>
      <c r="L63" s="275" t="str">
        <f t="shared" ca="1" si="1"/>
        <v/>
      </c>
      <c r="M63" s="275">
        <f t="shared" ca="1" si="2"/>
        <v>0</v>
      </c>
      <c r="N63" s="275">
        <f t="shared" ca="1" si="6"/>
        <v>0</v>
      </c>
      <c r="O63" s="275" t="str">
        <f t="shared" ca="1" si="3"/>
        <v/>
      </c>
      <c r="P63" s="275">
        <f t="shared" ca="1" si="4"/>
        <v>0</v>
      </c>
      <c r="Q63" s="282">
        <f t="shared" ca="1" si="5"/>
        <v>0</v>
      </c>
    </row>
    <row r="64" spans="3:17" ht="21" x14ac:dyDescent="0.4">
      <c r="C64" s="278" t="str">
        <f ca="1">IF(ROW()-2&gt;Start.listina!$O$7,"",INDIRECT(ADDRESS(3+(ROW()-3)*2,$D$2,1,1,"Centrum")))</f>
        <v/>
      </c>
      <c r="D64" s="278" t="str">
        <f ca="1">IF(ROW()-2&gt;Start.listina!$O$7,"",INDIRECT(ADDRESS(4+(ROW()-3)*2,$D$2,1,1,"Centrum")))</f>
        <v/>
      </c>
      <c r="E64" s="276" t="str">
        <f ca="1">IF(TYPE(VLOOKUP(C64,Centrum!$A$3:$C$130,3,0))&gt;3," - ",VLOOKUP(C64,Centrum!$A$3:$C$130,3,0))</f>
        <v xml:space="preserve"> - </v>
      </c>
      <c r="F64" s="276" t="str">
        <f ca="1">IF(TYPE(VLOOKUP(D64,Centrum!$A$3:$C$130,3,0))&gt;3," - ",VLOOKUP(D64,Centrum!$A$3:$C$130,3,0))</f>
        <v xml:space="preserve"> - </v>
      </c>
      <c r="G64" s="439" t="str">
        <f ca="1">IF(ROW()-2&gt;Start.listina!$O$7,"",ROW()-2)</f>
        <v/>
      </c>
      <c r="H64" s="272"/>
      <c r="I64" s="274"/>
      <c r="K64" s="275" t="str">
        <f t="shared" ca="1" si="0"/>
        <v/>
      </c>
      <c r="L64" s="275" t="str">
        <f t="shared" ca="1" si="1"/>
        <v/>
      </c>
      <c r="M64" s="275">
        <f t="shared" ca="1" si="2"/>
        <v>0</v>
      </c>
      <c r="N64" s="275">
        <f t="shared" ca="1" si="6"/>
        <v>0</v>
      </c>
      <c r="O64" s="275" t="str">
        <f t="shared" ca="1" si="3"/>
        <v/>
      </c>
      <c r="P64" s="275">
        <f t="shared" ca="1" si="4"/>
        <v>0</v>
      </c>
      <c r="Q64" s="282">
        <f t="shared" ca="1" si="5"/>
        <v>0</v>
      </c>
    </row>
    <row r="65" spans="3:17" ht="21" x14ac:dyDescent="0.4">
      <c r="C65" s="278" t="str">
        <f ca="1">IF(ROW()-2&gt;Start.listina!$O$7,"",INDIRECT(ADDRESS(3+(ROW()-3)*2,$D$2,1,1,"Centrum")))</f>
        <v/>
      </c>
      <c r="D65" s="278" t="str">
        <f ca="1">IF(ROW()-2&gt;Start.listina!$O$7,"",INDIRECT(ADDRESS(4+(ROW()-3)*2,$D$2,1,1,"Centrum")))</f>
        <v/>
      </c>
      <c r="E65" s="276" t="str">
        <f ca="1">IF(TYPE(VLOOKUP(C65,Centrum!$A$3:$C$130,3,0))&gt;3," - ",VLOOKUP(C65,Centrum!$A$3:$C$130,3,0))</f>
        <v xml:space="preserve"> - </v>
      </c>
      <c r="F65" s="276" t="str">
        <f ca="1">IF(TYPE(VLOOKUP(D65,Centrum!$A$3:$C$130,3,0))&gt;3," - ",VLOOKUP(D65,Centrum!$A$3:$C$130,3,0))</f>
        <v xml:space="preserve"> - </v>
      </c>
      <c r="G65" s="439" t="str">
        <f ca="1">IF(ROW()-2&gt;Start.listina!$O$7,"",ROW()-2)</f>
        <v/>
      </c>
      <c r="H65" s="272"/>
      <c r="I65" s="274"/>
      <c r="K65" s="275" t="str">
        <f t="shared" ca="1" si="0"/>
        <v/>
      </c>
      <c r="L65" s="275" t="str">
        <f t="shared" ca="1" si="1"/>
        <v/>
      </c>
      <c r="M65" s="275">
        <f t="shared" ca="1" si="2"/>
        <v>0</v>
      </c>
      <c r="N65" s="275">
        <f t="shared" ca="1" si="6"/>
        <v>0</v>
      </c>
      <c r="O65" s="275" t="str">
        <f t="shared" ca="1" si="3"/>
        <v/>
      </c>
      <c r="P65" s="275">
        <f t="shared" ca="1" si="4"/>
        <v>0</v>
      </c>
      <c r="Q65" s="282">
        <f t="shared" ca="1" si="5"/>
        <v>0</v>
      </c>
    </row>
    <row r="66" spans="3:17" ht="21" x14ac:dyDescent="0.4">
      <c r="C66" s="278" t="str">
        <f ca="1">IF(ROW()-2&gt;Start.listina!$O$7,"",INDIRECT(ADDRESS(3+(ROW()-3)*2,$D$2,1,1,"Centrum")))</f>
        <v/>
      </c>
      <c r="D66" s="278" t="str">
        <f ca="1">IF(ROW()-2&gt;Start.listina!$O$7,"",INDIRECT(ADDRESS(4+(ROW()-3)*2,$D$2,1,1,"Centrum")))</f>
        <v/>
      </c>
      <c r="E66" s="276" t="str">
        <f ca="1">IF(TYPE(VLOOKUP(C66,Centrum!$A$3:$C$130,3,0))&gt;3," - ",VLOOKUP(C66,Centrum!$A$3:$C$130,3,0))</f>
        <v xml:space="preserve"> - </v>
      </c>
      <c r="F66" s="276" t="str">
        <f ca="1">IF(TYPE(VLOOKUP(D66,Centrum!$A$3:$C$130,3,0))&gt;3," - ",VLOOKUP(D66,Centrum!$A$3:$C$130,3,0))</f>
        <v xml:space="preserve"> - </v>
      </c>
      <c r="G66" s="439" t="str">
        <f ca="1">IF(ROW()-2&gt;Start.listina!$O$7,"",ROW()-2)</f>
        <v/>
      </c>
      <c r="H66" s="272"/>
      <c r="I66" s="274"/>
      <c r="K66" s="275" t="str">
        <f ca="1">IF(TRIM($F66)="-","",$D66)</f>
        <v/>
      </c>
      <c r="L66" s="275" t="str">
        <f ca="1">IF(TRIM($E66)="-","",$C66)</f>
        <v/>
      </c>
      <c r="M66" s="275">
        <f ca="1">IF(AND(TRIM($E66)&lt;&gt;"-",$H66&gt;$I66),1,0)</f>
        <v>0</v>
      </c>
      <c r="N66" s="275">
        <f t="shared" ca="1" si="6"/>
        <v>0</v>
      </c>
      <c r="O66" s="275" t="str">
        <f ca="1">IF(TRIM($F66)="-","",$D66)</f>
        <v/>
      </c>
      <c r="P66" s="275">
        <f ca="1">IF(AND(TRIM($F66)&lt;&gt;"-",$I66&gt;$H66),1,0)</f>
        <v>0</v>
      </c>
      <c r="Q66" s="282">
        <f ca="1">IF(TRIM($F66)="-",0,$I66-$H66)</f>
        <v>0</v>
      </c>
    </row>
  </sheetData>
  <sheetProtection password="CA1B" sheet="1" formatCells="0" formatColumns="0" formatRows="0"/>
  <mergeCells count="2">
    <mergeCell ref="H1:I1"/>
    <mergeCell ref="H2:I2"/>
  </mergeCells>
  <phoneticPr fontId="0" type="noConversion"/>
  <conditionalFormatting sqref="J1:J2">
    <cfRule type="cellIs" dxfId="80" priority="1" stopIfTrue="1" operator="greaterThan">
      <formula>0</formula>
    </cfRule>
  </conditionalFormatting>
  <conditionalFormatting sqref="E3:E66">
    <cfRule type="expression" dxfId="79" priority="2" stopIfTrue="1">
      <formula>IF($H3&gt;$I3,TRUE,FALSE)</formula>
    </cfRule>
  </conditionalFormatting>
  <conditionalFormatting sqref="F3:F66">
    <cfRule type="expression" dxfId="78" priority="3" stopIfTrue="1">
      <formula>IF($I3&gt;$H3,TRUE,FALSE)</formula>
    </cfRule>
  </conditionalFormatting>
  <pageMargins left="0.78740157499999996" right="0.78740157499999996" top="0.49" bottom="0.63" header="0.4921259845" footer="0.4921259845"/>
  <pageSetup paperSize="9" scale="93" fitToHeight="2"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3554" r:id="rId4" name="Button 2">
              <controlPr defaultSize="0" print="0" autoFill="0" autoPict="0" macro="[0]!Kolo6">
                <anchor moveWithCells="1">
                  <from>
                    <xdr:col>9</xdr:col>
                    <xdr:colOff>48986</xdr:colOff>
                    <xdr:row>0</xdr:row>
                    <xdr:rowOff>136071</xdr:rowOff>
                  </from>
                  <to>
                    <xdr:col>9</xdr:col>
                    <xdr:colOff>1017814</xdr:colOff>
                    <xdr:row>1</xdr:row>
                    <xdr:rowOff>440871</xdr:rowOff>
                  </to>
                </anchor>
              </controlPr>
            </control>
          </mc:Choice>
        </mc:AlternateContent>
        <mc:AlternateContent xmlns:mc="http://schemas.openxmlformats.org/markup-compatibility/2006">
          <mc:Choice Requires="x14">
            <control shapeId="23555" r:id="rId5" name="Button 3">
              <controlPr defaultSize="0" print="0" autoFill="0" autoPict="0" macro="[0]!TrideniPostupuoKO">
                <anchor moveWithCells="1">
                  <from>
                    <xdr:col>9</xdr:col>
                    <xdr:colOff>48986</xdr:colOff>
                    <xdr:row>2</xdr:row>
                    <xdr:rowOff>114300</xdr:rowOff>
                  </from>
                  <to>
                    <xdr:col>9</xdr:col>
                    <xdr:colOff>1017814</xdr:colOff>
                    <xdr:row>5</xdr:row>
                    <xdr:rowOff>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List6"/>
  <dimension ref="A1:AF42"/>
  <sheetViews>
    <sheetView topLeftCell="B8" workbookViewId="0">
      <selection activeCell="C8" sqref="C8"/>
    </sheetView>
  </sheetViews>
  <sheetFormatPr defaultRowHeight="12" x14ac:dyDescent="0.4"/>
  <cols>
    <col min="1" max="1" width="9" hidden="1" customWidth="1"/>
    <col min="2" max="2" width="11" customWidth="1"/>
  </cols>
  <sheetData>
    <row r="1" spans="1:32" hidden="1" x14ac:dyDescent="0.4">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row>
    <row r="2" spans="1:32" hidden="1" x14ac:dyDescent="0.4"/>
    <row r="3" spans="1:32" hidden="1" x14ac:dyDescent="0.4"/>
    <row r="4" spans="1:32" hidden="1" x14ac:dyDescent="0.4"/>
    <row r="5" spans="1:32" hidden="1" x14ac:dyDescent="0.4"/>
    <row r="6" spans="1:32" hidden="1" x14ac:dyDescent="0.4"/>
    <row r="7" spans="1:32" hidden="1" x14ac:dyDescent="0.4"/>
    <row r="8" spans="1:32" x14ac:dyDescent="0.4">
      <c r="D8" s="133" t="s">
        <v>1645</v>
      </c>
      <c r="E8" s="293">
        <f>Start.listina!U6</f>
        <v>1</v>
      </c>
    </row>
    <row r="9" spans="1:32" x14ac:dyDescent="0.4">
      <c r="C9" s="480" t="s">
        <v>1646</v>
      </c>
      <c r="D9" s="480"/>
      <c r="E9" s="481"/>
    </row>
    <row r="10" spans="1:32" x14ac:dyDescent="0.4">
      <c r="A10" s="1" t="s">
        <v>1647</v>
      </c>
      <c r="B10" s="1" t="s">
        <v>1648</v>
      </c>
    </row>
    <row r="11" spans="1:32" x14ac:dyDescent="0.4">
      <c r="A11" s="1" t="s">
        <v>1649</v>
      </c>
      <c r="B11" s="1">
        <v>1</v>
      </c>
      <c r="C11" s="294">
        <f t="shared" ref="C11:C42" ca="1" si="0">999999*RAND()</f>
        <v>481557.29191705305</v>
      </c>
      <c r="D11" s="1"/>
      <c r="E11" s="295" t="str">
        <f t="shared" ref="E11:E42" si="1">IF(D11+$E$8-1=0,"",D11+$E$8-1)</f>
        <v/>
      </c>
    </row>
    <row r="12" spans="1:32" x14ac:dyDescent="0.4">
      <c r="A12" s="1" t="s">
        <v>1650</v>
      </c>
      <c r="B12" s="1">
        <v>2</v>
      </c>
      <c r="C12" s="294">
        <f t="shared" ca="1" si="0"/>
        <v>799847.80472006102</v>
      </c>
      <c r="D12" s="1"/>
      <c r="E12" s="295" t="str">
        <f t="shared" si="1"/>
        <v/>
      </c>
    </row>
    <row r="13" spans="1:32" x14ac:dyDescent="0.4">
      <c r="A13" s="1" t="s">
        <v>1651</v>
      </c>
      <c r="B13" s="1">
        <v>3</v>
      </c>
      <c r="C13" s="294">
        <f t="shared" ca="1" si="0"/>
        <v>771594.40016294725</v>
      </c>
      <c r="D13" s="1"/>
      <c r="E13" s="295" t="str">
        <f t="shared" si="1"/>
        <v/>
      </c>
    </row>
    <row r="14" spans="1:32" x14ac:dyDescent="0.4">
      <c r="A14" s="1" t="s">
        <v>1652</v>
      </c>
      <c r="B14" s="1">
        <v>4</v>
      </c>
      <c r="C14" s="294">
        <f t="shared" ca="1" si="0"/>
        <v>651126.03700532357</v>
      </c>
      <c r="D14" s="1"/>
      <c r="E14" s="295" t="str">
        <f t="shared" si="1"/>
        <v/>
      </c>
    </row>
    <row r="15" spans="1:32" x14ac:dyDescent="0.4">
      <c r="A15" s="1" t="s">
        <v>1653</v>
      </c>
      <c r="B15" s="1">
        <v>5</v>
      </c>
      <c r="C15" s="294">
        <f t="shared" ca="1" si="0"/>
        <v>748258.05596820847</v>
      </c>
      <c r="D15" s="1"/>
      <c r="E15" s="295" t="str">
        <f t="shared" si="1"/>
        <v/>
      </c>
    </row>
    <row r="16" spans="1:32" x14ac:dyDescent="0.4">
      <c r="A16" s="1" t="s">
        <v>1654</v>
      </c>
      <c r="B16" s="1">
        <v>6</v>
      </c>
      <c r="C16" s="294">
        <f t="shared" ca="1" si="0"/>
        <v>359872.78538530302</v>
      </c>
      <c r="D16" s="1"/>
      <c r="E16" s="295" t="str">
        <f t="shared" si="1"/>
        <v/>
      </c>
    </row>
    <row r="17" spans="1:5" x14ac:dyDescent="0.4">
      <c r="A17" s="1" t="s">
        <v>1655</v>
      </c>
      <c r="B17" s="1">
        <v>7</v>
      </c>
      <c r="C17" s="294">
        <f t="shared" ca="1" si="0"/>
        <v>411980.960030902</v>
      </c>
      <c r="D17" s="1"/>
      <c r="E17" s="295" t="str">
        <f t="shared" si="1"/>
        <v/>
      </c>
    </row>
    <row r="18" spans="1:5" x14ac:dyDescent="0.4">
      <c r="A18" s="1" t="s">
        <v>1656</v>
      </c>
      <c r="B18" s="1">
        <v>8</v>
      </c>
      <c r="C18" s="294">
        <f t="shared" ca="1" si="0"/>
        <v>119202.05052268581</v>
      </c>
      <c r="D18" s="1"/>
      <c r="E18" s="295" t="str">
        <f t="shared" si="1"/>
        <v/>
      </c>
    </row>
    <row r="19" spans="1:5" x14ac:dyDescent="0.4">
      <c r="A19" s="1" t="s">
        <v>1657</v>
      </c>
      <c r="B19" s="1">
        <v>9</v>
      </c>
      <c r="C19" s="294">
        <f t="shared" ca="1" si="0"/>
        <v>644051.60247581243</v>
      </c>
      <c r="D19" s="1"/>
      <c r="E19" s="295" t="str">
        <f t="shared" si="1"/>
        <v/>
      </c>
    </row>
    <row r="20" spans="1:5" x14ac:dyDescent="0.4">
      <c r="A20" s="1" t="s">
        <v>546</v>
      </c>
      <c r="B20" s="1">
        <v>10</v>
      </c>
      <c r="C20" s="294">
        <f t="shared" ca="1" si="0"/>
        <v>478255.52847236104</v>
      </c>
      <c r="D20" s="1"/>
      <c r="E20" s="295" t="str">
        <f t="shared" si="1"/>
        <v/>
      </c>
    </row>
    <row r="21" spans="1:5" x14ac:dyDescent="0.4">
      <c r="A21" s="1" t="s">
        <v>1658</v>
      </c>
      <c r="B21" s="1">
        <v>11</v>
      </c>
      <c r="C21" s="294">
        <f t="shared" ca="1" si="0"/>
        <v>627927.28383788187</v>
      </c>
      <c r="D21" s="1"/>
      <c r="E21" s="295" t="str">
        <f t="shared" si="1"/>
        <v/>
      </c>
    </row>
    <row r="22" spans="1:5" x14ac:dyDescent="0.4">
      <c r="A22" s="1" t="s">
        <v>1659</v>
      </c>
      <c r="B22" s="1">
        <v>12</v>
      </c>
      <c r="C22" s="294">
        <f t="shared" ca="1" si="0"/>
        <v>31571.170347557698</v>
      </c>
      <c r="D22" s="1"/>
      <c r="E22" s="295" t="str">
        <f t="shared" si="1"/>
        <v/>
      </c>
    </row>
    <row r="23" spans="1:5" x14ac:dyDescent="0.4">
      <c r="A23" s="1" t="s">
        <v>1660</v>
      </c>
      <c r="B23" s="1">
        <v>13</v>
      </c>
      <c r="C23" s="294">
        <f t="shared" ca="1" si="0"/>
        <v>904082.22002623777</v>
      </c>
      <c r="D23" s="1"/>
      <c r="E23" s="295" t="str">
        <f t="shared" si="1"/>
        <v/>
      </c>
    </row>
    <row r="24" spans="1:5" x14ac:dyDescent="0.4">
      <c r="A24" s="1" t="s">
        <v>1661</v>
      </c>
      <c r="B24" s="1">
        <v>14</v>
      </c>
      <c r="C24" s="294">
        <f t="shared" ca="1" si="0"/>
        <v>55311.250852080258</v>
      </c>
      <c r="D24" s="1"/>
      <c r="E24" s="295" t="str">
        <f t="shared" si="1"/>
        <v/>
      </c>
    </row>
    <row r="25" spans="1:5" x14ac:dyDescent="0.4">
      <c r="A25" s="1" t="s">
        <v>1662</v>
      </c>
      <c r="B25" s="1">
        <v>15</v>
      </c>
      <c r="C25" s="294">
        <f t="shared" ca="1" si="0"/>
        <v>902784.15720953734</v>
      </c>
      <c r="D25" s="1"/>
      <c r="E25" s="295" t="str">
        <f t="shared" si="1"/>
        <v/>
      </c>
    </row>
    <row r="26" spans="1:5" x14ac:dyDescent="0.4">
      <c r="A26" s="1" t="s">
        <v>1663</v>
      </c>
      <c r="B26" s="1">
        <v>16</v>
      </c>
      <c r="C26" s="294">
        <f t="shared" ca="1" si="0"/>
        <v>923658.53323801141</v>
      </c>
      <c r="D26" s="1"/>
      <c r="E26" s="295" t="str">
        <f t="shared" si="1"/>
        <v/>
      </c>
    </row>
    <row r="27" spans="1:5" x14ac:dyDescent="0.4">
      <c r="A27" s="1" t="s">
        <v>1664</v>
      </c>
      <c r="B27" s="1">
        <v>17</v>
      </c>
      <c r="C27" s="294">
        <f t="shared" ca="1" si="0"/>
        <v>524822.63505843363</v>
      </c>
      <c r="D27" s="1"/>
      <c r="E27" s="295" t="str">
        <f t="shared" si="1"/>
        <v/>
      </c>
    </row>
    <row r="28" spans="1:5" x14ac:dyDescent="0.4">
      <c r="A28" s="1" t="s">
        <v>1665</v>
      </c>
      <c r="B28" s="1">
        <v>18</v>
      </c>
      <c r="C28" s="294">
        <f t="shared" ca="1" si="0"/>
        <v>497626.83638337877</v>
      </c>
      <c r="D28" s="1"/>
      <c r="E28" s="295" t="str">
        <f t="shared" si="1"/>
        <v/>
      </c>
    </row>
    <row r="29" spans="1:5" x14ac:dyDescent="0.4">
      <c r="A29" s="1" t="s">
        <v>372</v>
      </c>
      <c r="B29" s="1">
        <v>19</v>
      </c>
      <c r="C29" s="294">
        <f t="shared" ca="1" si="0"/>
        <v>602264.904749215</v>
      </c>
      <c r="D29" s="1"/>
      <c r="E29" s="295" t="str">
        <f t="shared" si="1"/>
        <v/>
      </c>
    </row>
    <row r="30" spans="1:5" x14ac:dyDescent="0.4">
      <c r="A30" s="1" t="s">
        <v>1666</v>
      </c>
      <c r="B30" s="1">
        <v>20</v>
      </c>
      <c r="C30" s="294">
        <f t="shared" ca="1" si="0"/>
        <v>623367.67451620358</v>
      </c>
      <c r="D30" s="1"/>
      <c r="E30" s="295" t="str">
        <f t="shared" si="1"/>
        <v/>
      </c>
    </row>
    <row r="31" spans="1:5" x14ac:dyDescent="0.4">
      <c r="A31" s="1" t="s">
        <v>1667</v>
      </c>
      <c r="B31" s="1">
        <v>21</v>
      </c>
      <c r="C31" s="294">
        <f t="shared" ca="1" si="0"/>
        <v>749465.6338097062</v>
      </c>
      <c r="D31" s="1"/>
      <c r="E31" s="295" t="str">
        <f t="shared" si="1"/>
        <v/>
      </c>
    </row>
    <row r="32" spans="1:5" x14ac:dyDescent="0.4">
      <c r="A32" s="1" t="s">
        <v>375</v>
      </c>
      <c r="B32" s="1">
        <v>22</v>
      </c>
      <c r="C32" s="294">
        <f t="shared" ca="1" si="0"/>
        <v>213355.61884621036</v>
      </c>
      <c r="D32" s="1"/>
      <c r="E32" s="295" t="str">
        <f t="shared" si="1"/>
        <v/>
      </c>
    </row>
    <row r="33" spans="1:5" x14ac:dyDescent="0.4">
      <c r="A33" s="1" t="s">
        <v>1668</v>
      </c>
      <c r="B33" s="1">
        <v>23</v>
      </c>
      <c r="C33" s="294">
        <f t="shared" ca="1" si="0"/>
        <v>215786.41354342765</v>
      </c>
      <c r="D33" s="1"/>
      <c r="E33" s="295" t="str">
        <f t="shared" si="1"/>
        <v/>
      </c>
    </row>
    <row r="34" spans="1:5" x14ac:dyDescent="0.4">
      <c r="A34" s="1" t="s">
        <v>1512</v>
      </c>
      <c r="B34" s="1">
        <v>24</v>
      </c>
      <c r="C34" s="294">
        <f t="shared" ca="1" si="0"/>
        <v>389619.21362351906</v>
      </c>
      <c r="D34" s="1"/>
      <c r="E34" s="295" t="str">
        <f t="shared" si="1"/>
        <v/>
      </c>
    </row>
    <row r="35" spans="1:5" x14ac:dyDescent="0.4">
      <c r="A35" s="1" t="s">
        <v>1669</v>
      </c>
      <c r="B35" s="1">
        <v>25</v>
      </c>
      <c r="C35" s="294">
        <f t="shared" ca="1" si="0"/>
        <v>206777.16571856759</v>
      </c>
      <c r="D35" s="1"/>
      <c r="E35" s="295" t="str">
        <f t="shared" si="1"/>
        <v/>
      </c>
    </row>
    <row r="36" spans="1:5" x14ac:dyDescent="0.4">
      <c r="A36" s="1" t="s">
        <v>378</v>
      </c>
      <c r="B36" s="1">
        <v>26</v>
      </c>
      <c r="C36" s="294">
        <f t="shared" ca="1" si="0"/>
        <v>549692.42783669615</v>
      </c>
      <c r="D36" s="1"/>
      <c r="E36" s="295" t="str">
        <f t="shared" si="1"/>
        <v/>
      </c>
    </row>
    <row r="37" spans="1:5" x14ac:dyDescent="0.4">
      <c r="A37" s="1" t="s">
        <v>1670</v>
      </c>
      <c r="B37" s="1">
        <v>27</v>
      </c>
      <c r="C37" s="294">
        <f t="shared" ca="1" si="0"/>
        <v>383894.16339725954</v>
      </c>
      <c r="D37" s="1"/>
      <c r="E37" s="295" t="str">
        <f t="shared" si="1"/>
        <v/>
      </c>
    </row>
    <row r="38" spans="1:5" x14ac:dyDescent="0.4">
      <c r="A38" s="1" t="s">
        <v>1671</v>
      </c>
      <c r="B38" s="1">
        <v>28</v>
      </c>
      <c r="C38" s="294">
        <f t="shared" ca="1" si="0"/>
        <v>757394.15444305283</v>
      </c>
      <c r="D38" s="1"/>
      <c r="E38" s="295" t="str">
        <f t="shared" si="1"/>
        <v/>
      </c>
    </row>
    <row r="39" spans="1:5" x14ac:dyDescent="0.4">
      <c r="A39" s="1" t="s">
        <v>1672</v>
      </c>
      <c r="B39" s="1">
        <v>29</v>
      </c>
      <c r="C39" s="294">
        <f t="shared" ca="1" si="0"/>
        <v>522593.33833967708</v>
      </c>
      <c r="D39" s="1"/>
      <c r="E39" s="295" t="str">
        <f t="shared" si="1"/>
        <v/>
      </c>
    </row>
    <row r="40" spans="1:5" x14ac:dyDescent="0.4">
      <c r="A40" s="1" t="s">
        <v>1673</v>
      </c>
      <c r="B40" s="1">
        <v>30</v>
      </c>
      <c r="C40" s="294">
        <f t="shared" ca="1" si="0"/>
        <v>258533.93974113269</v>
      </c>
      <c r="D40" s="1"/>
      <c r="E40" s="295" t="str">
        <f t="shared" si="1"/>
        <v/>
      </c>
    </row>
    <row r="41" spans="1:5" x14ac:dyDescent="0.4">
      <c r="A41" s="1" t="s">
        <v>1674</v>
      </c>
      <c r="B41" s="1">
        <v>31</v>
      </c>
      <c r="C41" s="294">
        <f t="shared" ca="1" si="0"/>
        <v>665120.78399206023</v>
      </c>
      <c r="D41" s="1"/>
      <c r="E41" s="295" t="str">
        <f t="shared" si="1"/>
        <v/>
      </c>
    </row>
    <row r="42" spans="1:5" x14ac:dyDescent="0.4">
      <c r="A42" s="1" t="s">
        <v>1675</v>
      </c>
      <c r="B42" s="1">
        <v>32</v>
      </c>
      <c r="C42" s="294">
        <f t="shared" ca="1" si="0"/>
        <v>98166.884124135133</v>
      </c>
      <c r="D42" s="1"/>
      <c r="E42" s="295" t="str">
        <f t="shared" si="1"/>
        <v/>
      </c>
    </row>
  </sheetData>
  <sheetProtection sheet="1" objects="1" scenarios="1"/>
  <mergeCells count="1">
    <mergeCell ref="C9:E9"/>
  </mergeCells>
  <phoneticPr fontId="0" type="noConversion"/>
  <pageMargins left="0.78740157499999996" right="0.78740157499999996" top="0.984251969" bottom="0.984251969" header="0.4921259845" footer="0.4921259845"/>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List62">
    <pageSetUpPr fitToPage="1"/>
  </sheetPr>
  <dimension ref="A1:AJ133"/>
  <sheetViews>
    <sheetView workbookViewId="0">
      <pane xSplit="4" ySplit="3" topLeftCell="E4" activePane="bottomRight" state="frozen"/>
      <selection pane="topRight" activeCell="G8" sqref="G8"/>
      <selection pane="bottomLeft" activeCell="G8" sqref="G8"/>
      <selection pane="bottomRight" activeCell="H34" sqref="H34"/>
    </sheetView>
  </sheetViews>
  <sheetFormatPr defaultRowHeight="12" x14ac:dyDescent="0.4"/>
  <cols>
    <col min="1" max="1" width="6.4140625" customWidth="1"/>
    <col min="2" max="2" width="1.75" customWidth="1"/>
    <col min="3" max="3" width="5.4140625" customWidth="1"/>
    <col min="4" max="4" width="28.4140625" customWidth="1"/>
    <col min="5" max="5" width="5" customWidth="1"/>
    <col min="6" max="6" width="2.4140625" customWidth="1"/>
    <col min="7" max="7" width="5.4140625" customWidth="1"/>
    <col min="8" max="8" width="28.4140625" customWidth="1"/>
    <col min="9" max="9" width="5" customWidth="1"/>
    <col min="10" max="10" width="2.4140625" customWidth="1"/>
    <col min="11" max="11" width="5.4140625" customWidth="1"/>
    <col min="12" max="12" width="28.4140625" customWidth="1"/>
    <col min="13" max="13" width="5" customWidth="1"/>
    <col min="14" max="14" width="2.4140625" customWidth="1"/>
    <col min="15" max="15" width="5.4140625" customWidth="1"/>
    <col min="16" max="16" width="28.4140625" customWidth="1"/>
    <col min="17" max="17" width="5" customWidth="1"/>
    <col min="18" max="18" width="2.4140625" customWidth="1"/>
    <col min="19" max="19" width="5.4140625" customWidth="1"/>
    <col min="20" max="20" width="28.4140625" customWidth="1"/>
    <col min="21" max="21" width="5" customWidth="1"/>
    <col min="22" max="22" width="2.4140625" customWidth="1"/>
    <col min="23" max="23" width="5.4140625" customWidth="1"/>
    <col min="24" max="24" width="25.4140625" customWidth="1"/>
    <col min="25" max="25" width="5" customWidth="1"/>
    <col min="26" max="26" width="2.4140625" customWidth="1"/>
    <col min="27" max="27" width="0.25" customWidth="1"/>
    <col min="28" max="28" width="25.4140625" customWidth="1"/>
    <col min="29" max="29" width="5" customWidth="1"/>
    <col min="33" max="34" width="25.4140625" customWidth="1"/>
    <col min="35" max="35" width="5" customWidth="1"/>
  </cols>
  <sheetData>
    <row r="1" spans="1:36" ht="12.45" thickBot="1" x14ac:dyDescent="0.45">
      <c r="B1" s="27"/>
      <c r="C1" s="54"/>
      <c r="D1" s="54"/>
      <c r="E1" s="54"/>
      <c r="F1" s="54"/>
      <c r="G1" s="54"/>
      <c r="H1" s="54"/>
      <c r="I1" s="54"/>
      <c r="J1" s="54"/>
      <c r="K1" s="54"/>
      <c r="L1" s="54"/>
      <c r="M1" s="54"/>
      <c r="N1" s="54"/>
      <c r="O1" s="54"/>
      <c r="P1" s="54"/>
      <c r="Q1" s="54"/>
      <c r="R1" s="54"/>
      <c r="S1" s="54"/>
      <c r="T1" s="54"/>
      <c r="U1" s="54"/>
      <c r="V1" s="54"/>
      <c r="W1" s="54"/>
      <c r="Y1" s="54"/>
      <c r="Z1" s="54"/>
      <c r="AA1" s="54"/>
      <c r="AB1" s="54"/>
      <c r="AC1" s="54"/>
      <c r="AD1" s="54"/>
      <c r="AE1" s="54"/>
      <c r="AF1" s="54"/>
      <c r="AG1" s="54"/>
      <c r="AH1" s="54"/>
      <c r="AI1" s="54"/>
      <c r="AJ1" s="54"/>
    </row>
    <row r="2" spans="1:36" ht="32.5" customHeight="1" thickBot="1" x14ac:dyDescent="1.1000000000000001">
      <c r="A2" s="50"/>
      <c r="B2" s="251"/>
      <c r="C2" s="252">
        <v>64</v>
      </c>
      <c r="D2" s="131" t="s">
        <v>1676</v>
      </c>
      <c r="E2" s="15"/>
      <c r="F2" s="15"/>
      <c r="G2" s="187">
        <v>32</v>
      </c>
      <c r="H2" s="131" t="s">
        <v>1676</v>
      </c>
      <c r="I2" s="15"/>
      <c r="J2" s="16"/>
      <c r="K2" s="187">
        <v>16</v>
      </c>
      <c r="L2" s="131" t="s">
        <v>1676</v>
      </c>
      <c r="M2" s="16"/>
      <c r="N2" s="16"/>
      <c r="O2" s="187">
        <v>8</v>
      </c>
      <c r="P2" s="131" t="s">
        <v>1676</v>
      </c>
      <c r="Q2" s="15"/>
      <c r="R2" s="16"/>
      <c r="S2" s="187">
        <v>4</v>
      </c>
      <c r="T2" s="131" t="s">
        <v>1677</v>
      </c>
      <c r="U2" s="16"/>
      <c r="V2" s="16"/>
      <c r="W2" s="187">
        <v>2</v>
      </c>
      <c r="X2" s="131" t="s">
        <v>1678</v>
      </c>
      <c r="Y2" s="16"/>
      <c r="Z2" s="16"/>
      <c r="AA2" s="187">
        <v>1</v>
      </c>
      <c r="AB2" s="146" t="s">
        <v>1679</v>
      </c>
      <c r="AC2" s="16"/>
      <c r="AD2" s="16"/>
      <c r="AE2" s="16"/>
      <c r="AF2" s="16"/>
      <c r="AG2" s="16"/>
      <c r="AH2" s="16"/>
      <c r="AI2" s="16"/>
      <c r="AJ2" s="16"/>
    </row>
    <row r="3" spans="1:36" ht="28.95" customHeight="1" thickBot="1" x14ac:dyDescent="0.5">
      <c r="A3" s="28"/>
      <c r="B3" s="31"/>
      <c r="C3" s="213"/>
      <c r="D3" s="296" t="s">
        <v>1680</v>
      </c>
      <c r="E3" s="297" t="str">
        <f ca="1">IF(OR(TRIM(D4)="-",TRIM(D5)="-"),"",VLOOKUP(MIN(C4,C5),Hřiště!$B$11:$E$42,4,0))</f>
        <v/>
      </c>
      <c r="F3" s="51"/>
      <c r="G3" s="52"/>
      <c r="H3" s="93"/>
      <c r="I3" s="53"/>
      <c r="J3" s="51"/>
      <c r="K3" s="51"/>
      <c r="L3" s="93"/>
      <c r="M3" s="53"/>
      <c r="N3" s="51"/>
      <c r="O3" s="51"/>
      <c r="P3" s="93"/>
      <c r="Q3" s="53"/>
      <c r="R3" s="51"/>
      <c r="S3" s="51"/>
      <c r="T3" s="93"/>
      <c r="U3" s="53"/>
      <c r="V3" s="51"/>
      <c r="W3" s="51"/>
      <c r="X3" s="57"/>
      <c r="Y3" s="53"/>
      <c r="Z3" s="51"/>
      <c r="AA3" s="51"/>
      <c r="AB3" s="53"/>
      <c r="AC3" s="53"/>
      <c r="AD3" s="51"/>
      <c r="AE3" s="51"/>
      <c r="AF3" s="51"/>
      <c r="AG3" s="53"/>
      <c r="AH3" s="53"/>
      <c r="AI3" s="53"/>
      <c r="AJ3" s="51"/>
    </row>
    <row r="4" spans="1:36" ht="18" thickBot="1" x14ac:dyDescent="0.45">
      <c r="A4" s="86">
        <f ca="1">VLOOKUP(C4,Postupy!$A$3:$C$66,3,0)</f>
        <v>4</v>
      </c>
      <c r="B4" s="147"/>
      <c r="C4" s="78">
        <v>1</v>
      </c>
      <c r="D4" s="79" t="str">
        <f ca="1">VLOOKUP(C4,Postupy!$A$3:$B$66,2,0)</f>
        <v>4 1. KPK Vrchlabí - Srnský Lubomír</v>
      </c>
      <c r="E4" s="129"/>
      <c r="F4" s="148"/>
      <c r="G4" s="149"/>
      <c r="H4" s="150"/>
      <c r="I4" s="199"/>
      <c r="J4" s="149"/>
      <c r="K4" s="149"/>
      <c r="L4" s="149"/>
      <c r="M4" s="199"/>
      <c r="N4" s="149"/>
      <c r="O4" s="149"/>
      <c r="P4" s="149"/>
      <c r="Q4" s="199"/>
      <c r="R4" s="149"/>
      <c r="S4" s="149"/>
      <c r="T4" s="149"/>
      <c r="U4" s="149"/>
      <c r="V4" s="149"/>
      <c r="W4" s="149"/>
      <c r="X4" s="17"/>
      <c r="Y4" s="16"/>
      <c r="Z4" s="16"/>
      <c r="AA4" s="16"/>
      <c r="AB4" s="16"/>
      <c r="AC4" s="16"/>
      <c r="AD4" s="16"/>
      <c r="AE4" s="16"/>
      <c r="AF4" s="16"/>
      <c r="AG4" s="16"/>
      <c r="AH4" s="16"/>
      <c r="AI4" s="16"/>
      <c r="AJ4" s="16"/>
    </row>
    <row r="5" spans="1:36" ht="18.899999999999999" thickTop="1" thickBot="1" x14ac:dyDescent="0.5">
      <c r="A5" s="86" t="str">
        <f ca="1">VLOOKUP(C5,Postupy!$A$3:$C$66,3,0)</f>
        <v/>
      </c>
      <c r="B5" s="147"/>
      <c r="C5" s="80">
        <v>64</v>
      </c>
      <c r="D5" s="81" t="str">
        <f ca="1">VLOOKUP(C5,Postupy!$A$3:$B$66,2,0)</f>
        <v xml:space="preserve"> - </v>
      </c>
      <c r="E5" s="130"/>
      <c r="F5" s="151"/>
      <c r="G5" s="152"/>
      <c r="H5" s="296" t="s">
        <v>1680</v>
      </c>
      <c r="I5" s="297" t="str">
        <f ca="1">IF(OR(TRIM(H6)="-",TRIM(H7)="-"),"",VLOOKUP(MIN(G6,G7),Hřiště!$B$11:$E$42,4,0))</f>
        <v/>
      </c>
      <c r="J5" s="149"/>
      <c r="K5" s="149"/>
      <c r="L5" s="149"/>
      <c r="M5" s="199"/>
      <c r="N5" s="149"/>
      <c r="O5" s="149"/>
      <c r="P5" s="154"/>
      <c r="Q5" s="199"/>
      <c r="R5" s="149"/>
      <c r="S5" s="149"/>
      <c r="T5" s="149"/>
      <c r="U5" s="149"/>
      <c r="V5" s="149"/>
      <c r="W5" s="149"/>
      <c r="X5" s="17"/>
      <c r="Y5" s="16"/>
      <c r="Z5" s="16"/>
      <c r="AA5" s="16"/>
      <c r="AB5" s="16"/>
      <c r="AC5" s="16"/>
      <c r="AD5" s="16"/>
      <c r="AE5" s="16"/>
      <c r="AF5" s="16"/>
      <c r="AG5" s="16"/>
      <c r="AH5" s="16"/>
      <c r="AI5" s="16"/>
      <c r="AJ5" s="16"/>
    </row>
    <row r="6" spans="1:36" ht="18" thickBot="1" x14ac:dyDescent="0.45">
      <c r="A6" s="76"/>
      <c r="B6" s="155"/>
      <c r="C6" s="155">
        <f>C4+C5</f>
        <v>65</v>
      </c>
      <c r="D6" s="156"/>
      <c r="E6" s="196"/>
      <c r="F6" s="157"/>
      <c r="G6" s="78">
        <v>1</v>
      </c>
      <c r="H6" s="79" t="str">
        <f ca="1">IF(OR(TRIM(D4)="-",TRIM(D5)="-"), IF(TRIM(D4)="-",D5,D4),IF(AND(E4="",E5="")," ",IF(N(E4)=N(E5)," ",IF(N(E4)&gt;N(E5),D4,D5))))</f>
        <v>4 1. KPK Vrchlabí - Srnský Lubomír</v>
      </c>
      <c r="I6" s="129"/>
      <c r="J6" s="148"/>
      <c r="K6" s="149"/>
      <c r="L6" s="154"/>
      <c r="M6" s="199"/>
      <c r="N6" s="149"/>
      <c r="O6" s="149"/>
      <c r="P6" s="154"/>
      <c r="Q6" s="199"/>
      <c r="R6" s="149"/>
      <c r="S6" s="149"/>
      <c r="T6" s="149"/>
      <c r="U6" s="149"/>
      <c r="V6" s="149"/>
      <c r="W6" s="158"/>
      <c r="X6" s="16"/>
      <c r="Y6" s="16"/>
      <c r="Z6" s="16"/>
      <c r="AA6" s="16"/>
      <c r="AB6" s="16"/>
      <c r="AC6" s="16"/>
      <c r="AD6" s="16"/>
      <c r="AE6" s="16"/>
      <c r="AF6" s="16"/>
      <c r="AG6" s="16"/>
      <c r="AH6" s="16"/>
      <c r="AI6" s="16"/>
      <c r="AJ6" s="16"/>
    </row>
    <row r="7" spans="1:36" ht="18.899999999999999" thickTop="1" thickBot="1" x14ac:dyDescent="0.5">
      <c r="A7" s="75"/>
      <c r="B7" s="159"/>
      <c r="C7" s="160"/>
      <c r="D7" s="296" t="s">
        <v>1680</v>
      </c>
      <c r="E7" s="297" t="str">
        <f ca="1">IF(OR(TRIM(D8)="-",TRIM(D9)="-"),"",VLOOKUP(MIN(C8,C9),Hřiště!$B$11:$E$42,4,0))</f>
        <v/>
      </c>
      <c r="F7" s="157"/>
      <c r="G7" s="80">
        <v>32</v>
      </c>
      <c r="H7" s="81" t="str">
        <f ca="1">IF(OR(TRIM(D8)="-",TRIM(D9)="-"), IF(TRIM(D8)="-",D9,D8),IF(AND(E8="",E9="")," ",IF(N(E8)=N(E9)," ",IF(N(E8)&gt;N(E9),D8,D9))))</f>
        <v xml:space="preserve"> - </v>
      </c>
      <c r="I7" s="130"/>
      <c r="J7" s="151"/>
      <c r="K7" s="161"/>
      <c r="L7" s="162"/>
      <c r="M7" s="197"/>
      <c r="N7" s="149"/>
      <c r="O7" s="149"/>
      <c r="P7" s="154"/>
      <c r="Q7" s="199"/>
      <c r="R7" s="149"/>
      <c r="S7" s="149"/>
      <c r="T7" s="149"/>
      <c r="U7" s="149"/>
      <c r="V7" s="149"/>
      <c r="W7" s="158"/>
      <c r="X7" s="16"/>
      <c r="Y7" s="16"/>
      <c r="Z7" s="16"/>
      <c r="AA7" s="16"/>
      <c r="AB7" s="16"/>
      <c r="AC7" s="16"/>
      <c r="AD7" s="16"/>
      <c r="AE7" s="16"/>
      <c r="AF7" s="16"/>
      <c r="AG7" s="16"/>
      <c r="AH7" s="16"/>
      <c r="AI7" s="16"/>
      <c r="AJ7" s="16"/>
    </row>
    <row r="8" spans="1:36" ht="18" thickBot="1" x14ac:dyDescent="0.45">
      <c r="A8" s="86" t="str">
        <f ca="1">VLOOKUP(C8,Postupy!$A$3:$C$66,3,0)</f>
        <v/>
      </c>
      <c r="B8" s="147"/>
      <c r="C8" s="78">
        <v>33</v>
      </c>
      <c r="D8" s="79" t="str">
        <f ca="1">VLOOKUP(C8,Postupy!$A$3:$B$66,2,0)</f>
        <v xml:space="preserve"> - </v>
      </c>
      <c r="E8" s="129"/>
      <c r="F8" s="163"/>
      <c r="G8" s="164"/>
      <c r="H8" s="165"/>
      <c r="I8" s="200"/>
      <c r="J8" s="158"/>
      <c r="K8" s="161"/>
      <c r="L8" s="162"/>
      <c r="M8" s="197"/>
      <c r="N8" s="149"/>
      <c r="O8" s="149"/>
      <c r="P8" s="154"/>
      <c r="Q8" s="199"/>
      <c r="R8" s="149"/>
      <c r="S8" s="149"/>
      <c r="T8" s="149"/>
      <c r="U8" s="149"/>
      <c r="V8" s="149"/>
      <c r="W8" s="158"/>
      <c r="X8" s="16"/>
      <c r="Y8" s="16"/>
      <c r="Z8" s="16"/>
      <c r="AA8" s="16"/>
      <c r="AB8" s="16"/>
      <c r="AC8" s="16"/>
      <c r="AD8" s="16"/>
      <c r="AE8" s="16"/>
      <c r="AF8" s="16"/>
      <c r="AG8" s="16"/>
      <c r="AH8" s="16"/>
      <c r="AI8" s="16"/>
      <c r="AJ8" s="16"/>
    </row>
    <row r="9" spans="1:36" ht="18.899999999999999" thickTop="1" thickBot="1" x14ac:dyDescent="0.5">
      <c r="A9" s="86" t="str">
        <f ca="1">VLOOKUP(C9,Postupy!$A$3:$C$66,3,0)</f>
        <v/>
      </c>
      <c r="B9" s="147"/>
      <c r="C9" s="80">
        <v>32</v>
      </c>
      <c r="D9" s="81" t="str">
        <f ca="1">VLOOKUP(C9,Postupy!$A$3:$B$66,2,0)</f>
        <v xml:space="preserve"> - </v>
      </c>
      <c r="E9" s="130"/>
      <c r="F9" s="150"/>
      <c r="G9" s="149"/>
      <c r="H9" s="166"/>
      <c r="I9" s="200"/>
      <c r="J9" s="158"/>
      <c r="K9" s="152"/>
      <c r="L9" s="296" t="s">
        <v>1680</v>
      </c>
      <c r="M9" s="297" t="str">
        <f ca="1">IF(OR(TRIM(L10)="-",TRIM(L11)="-"),"",VLOOKUP(MIN(K10,K11),Hřiště!$B$11:$E$42,4,0))</f>
        <v/>
      </c>
      <c r="N9" s="168"/>
      <c r="O9" s="149"/>
      <c r="P9" s="154"/>
      <c r="Q9" s="199"/>
      <c r="R9" s="149"/>
      <c r="S9" s="149"/>
      <c r="T9" s="149"/>
      <c r="U9" s="149"/>
      <c r="V9" s="149"/>
      <c r="W9" s="158"/>
      <c r="X9" s="16"/>
      <c r="Y9" s="16"/>
      <c r="Z9" s="16"/>
      <c r="AA9" s="16"/>
      <c r="AB9" s="16"/>
      <c r="AC9" s="16"/>
      <c r="AD9" s="16"/>
      <c r="AE9" s="16"/>
      <c r="AF9" s="16"/>
      <c r="AG9" s="16"/>
      <c r="AH9" s="16"/>
      <c r="AI9" s="16"/>
      <c r="AJ9" s="16"/>
    </row>
    <row r="10" spans="1:36" ht="18" thickBot="1" x14ac:dyDescent="0.45">
      <c r="A10" s="76"/>
      <c r="B10" s="155"/>
      <c r="C10" s="155">
        <f>C8+C9</f>
        <v>65</v>
      </c>
      <c r="D10" s="156"/>
      <c r="E10" s="196"/>
      <c r="F10" s="259">
        <f>C6+C10</f>
        <v>130</v>
      </c>
      <c r="G10" s="149"/>
      <c r="H10" s="169"/>
      <c r="I10" s="199"/>
      <c r="J10" s="149"/>
      <c r="K10" s="78">
        <v>1</v>
      </c>
      <c r="L10" s="79" t="str">
        <f ca="1">IF(OR(TRIM(H6)="-",TRIM(H7)="-"), IF(TRIM(H6)="-",H7,H6),IF(AND(I6="",I7="")," ",IF(N(I6)=N(I7)," ",IF(N(I6)&gt;N(I7),H6,H7))))</f>
        <v>4 1. KPK Vrchlabí - Srnský Lubomír</v>
      </c>
      <c r="M10" s="129"/>
      <c r="N10" s="148"/>
      <c r="O10" s="40"/>
      <c r="P10" s="162"/>
      <c r="Q10" s="197"/>
      <c r="R10" s="149"/>
      <c r="S10" s="149"/>
      <c r="T10" s="149"/>
      <c r="U10" s="149"/>
      <c r="V10" s="149"/>
      <c r="W10" s="158"/>
      <c r="X10" s="16"/>
      <c r="Y10" s="16"/>
      <c r="Z10" s="16"/>
      <c r="AA10" s="16"/>
      <c r="AB10" s="16"/>
      <c r="AC10" s="16"/>
      <c r="AD10" s="15"/>
      <c r="AE10" s="16"/>
      <c r="AF10" s="16"/>
      <c r="AG10" s="16"/>
      <c r="AH10" s="16"/>
      <c r="AI10" s="16"/>
      <c r="AJ10" s="15"/>
    </row>
    <row r="11" spans="1:36" ht="18.899999999999999" thickTop="1" thickBot="1" x14ac:dyDescent="0.5">
      <c r="A11" s="75"/>
      <c r="B11" s="159"/>
      <c r="C11" s="160"/>
      <c r="D11" s="296" t="s">
        <v>1680</v>
      </c>
      <c r="E11" s="297" t="str">
        <f ca="1">IF(OR(TRIM(D12)="-",TRIM(D13)="-"),"",VLOOKUP(MIN(C12,C13),Hřiště!$B$11:$E$42,4,0))</f>
        <v/>
      </c>
      <c r="F11" s="149"/>
      <c r="G11" s="149"/>
      <c r="H11" s="169"/>
      <c r="I11" s="199"/>
      <c r="J11" s="149"/>
      <c r="K11" s="80">
        <v>16</v>
      </c>
      <c r="L11" s="81" t="str">
        <f ca="1">IF(OR(TRIM(H14)="-",TRIM(H15)="-"), IF(TRIM(H14)="-",H15,H14),IF(AND(I14="",I15="")," ",IF(N(I14)=N(I15)," ",IF(N(I14)&gt;N(I15),H14,H15))))</f>
        <v>24 SK Pétanque Řepy - Váňová Věra</v>
      </c>
      <c r="M11" s="130"/>
      <c r="N11" s="151"/>
      <c r="O11" s="161"/>
      <c r="P11" s="162"/>
      <c r="Q11" s="197"/>
      <c r="R11" s="149"/>
      <c r="S11" s="149"/>
      <c r="T11" s="149"/>
      <c r="U11" s="149"/>
      <c r="V11" s="149"/>
      <c r="W11" s="158"/>
      <c r="X11" s="16"/>
      <c r="Y11" s="16"/>
      <c r="Z11" s="16"/>
      <c r="AA11" s="16"/>
      <c r="AB11" s="16"/>
      <c r="AC11" s="16"/>
      <c r="AD11" s="15"/>
      <c r="AE11" s="16"/>
      <c r="AF11" s="16"/>
      <c r="AG11" s="16"/>
      <c r="AH11" s="16"/>
      <c r="AI11" s="16"/>
      <c r="AJ11" s="15"/>
    </row>
    <row r="12" spans="1:36" ht="18.45" thickTop="1" thickBot="1" x14ac:dyDescent="0.45">
      <c r="A12" s="86" t="str">
        <f ca="1">VLOOKUP(C12,Postupy!$A$3:$C$66,3,0)</f>
        <v/>
      </c>
      <c r="B12" s="147"/>
      <c r="C12" s="78">
        <v>17</v>
      </c>
      <c r="D12" s="79" t="str">
        <f ca="1">VLOOKUP(C12,Postupy!$A$3:$B$66,2,0)</f>
        <v xml:space="preserve"> - </v>
      </c>
      <c r="E12" s="129"/>
      <c r="F12" s="152"/>
      <c r="G12" s="149"/>
      <c r="H12" s="166"/>
      <c r="I12" s="200"/>
      <c r="J12" s="158"/>
      <c r="K12" s="170"/>
      <c r="L12" s="171"/>
      <c r="M12" s="201"/>
      <c r="N12" s="149"/>
      <c r="O12" s="161"/>
      <c r="P12" s="162"/>
      <c r="Q12" s="197"/>
      <c r="R12" s="149"/>
      <c r="S12" s="149"/>
      <c r="T12" s="149"/>
      <c r="U12" s="149"/>
      <c r="V12" s="149"/>
      <c r="W12" s="158"/>
      <c r="X12" s="16"/>
      <c r="Y12" s="16"/>
      <c r="Z12" s="16"/>
      <c r="AA12" s="16"/>
      <c r="AB12" s="16"/>
      <c r="AC12" s="16"/>
      <c r="AD12" s="15"/>
      <c r="AE12" s="16"/>
      <c r="AF12" s="16"/>
      <c r="AG12" s="16"/>
      <c r="AH12" s="16"/>
      <c r="AI12" s="16"/>
      <c r="AJ12" s="15"/>
    </row>
    <row r="13" spans="1:36" ht="18.899999999999999" thickTop="1" thickBot="1" x14ac:dyDescent="0.5">
      <c r="A13" s="86" t="str">
        <f ca="1">VLOOKUP(C13,Postupy!$A$3:$C$66,3,0)</f>
        <v/>
      </c>
      <c r="B13" s="147"/>
      <c r="C13" s="80">
        <v>48</v>
      </c>
      <c r="D13" s="81" t="str">
        <f ca="1">VLOOKUP(C13,Postupy!$A$3:$B$66,2,0)</f>
        <v xml:space="preserve"> - </v>
      </c>
      <c r="E13" s="130"/>
      <c r="F13" s="172" t="s">
        <v>1681</v>
      </c>
      <c r="G13" s="152"/>
      <c r="H13" s="296" t="s">
        <v>1680</v>
      </c>
      <c r="I13" s="297" t="str">
        <f ca="1">IF(OR(TRIM(H14)="-",TRIM(H15)="-"),"",VLOOKUP(MIN(G14,G15),Hřiště!$B$11:$E$42,4,0))</f>
        <v/>
      </c>
      <c r="J13" s="158"/>
      <c r="K13" s="161"/>
      <c r="L13" s="169"/>
      <c r="M13" s="197"/>
      <c r="N13" s="149"/>
      <c r="O13" s="161"/>
      <c r="P13" s="162"/>
      <c r="Q13" s="197"/>
      <c r="R13" s="149"/>
      <c r="S13" s="149"/>
      <c r="T13" s="149"/>
      <c r="U13" s="149"/>
      <c r="V13" s="149"/>
      <c r="W13" s="158"/>
      <c r="X13" s="16"/>
      <c r="Y13" s="16"/>
      <c r="Z13" s="16"/>
      <c r="AA13" s="16"/>
      <c r="AB13" s="16"/>
      <c r="AC13" s="16"/>
      <c r="AD13" s="15"/>
      <c r="AE13" s="16"/>
      <c r="AF13" s="16"/>
      <c r="AG13" s="16"/>
      <c r="AH13" s="16"/>
      <c r="AI13" s="16"/>
      <c r="AJ13" s="15"/>
    </row>
    <row r="14" spans="1:36" ht="18" thickBot="1" x14ac:dyDescent="0.45">
      <c r="A14" s="76"/>
      <c r="B14" s="155"/>
      <c r="C14" s="155">
        <f>C12+C13</f>
        <v>65</v>
      </c>
      <c r="D14" s="156"/>
      <c r="E14" s="196"/>
      <c r="F14" s="157"/>
      <c r="G14" s="78">
        <v>17</v>
      </c>
      <c r="H14" s="79" t="str">
        <f ca="1">IF(OR(TRIM(D12)="-",TRIM(D13)="-"), IF(TRIM(D12)="-",D13,D12),IF(AND(E12="",E13="")," ",IF(N(E12)=N(E13)," ",IF(N(E12)&gt;N(E13),D12,D13))))</f>
        <v xml:space="preserve"> - </v>
      </c>
      <c r="I14" s="129"/>
      <c r="J14" s="163"/>
      <c r="K14" s="161"/>
      <c r="L14" s="169"/>
      <c r="M14" s="197"/>
      <c r="N14" s="149"/>
      <c r="O14" s="161"/>
      <c r="P14" s="162"/>
      <c r="Q14" s="197"/>
      <c r="R14" s="149"/>
      <c r="S14" s="149"/>
      <c r="T14" s="149"/>
      <c r="U14" s="149"/>
      <c r="V14" s="149"/>
      <c r="W14" s="158"/>
      <c r="X14" s="16"/>
      <c r="Y14" s="16"/>
      <c r="Z14" s="16"/>
      <c r="AA14" s="16"/>
      <c r="AB14" s="16"/>
      <c r="AC14" s="16"/>
      <c r="AD14" s="15"/>
      <c r="AE14" s="16"/>
      <c r="AF14" s="16"/>
      <c r="AG14" s="16"/>
      <c r="AH14" s="16"/>
      <c r="AI14" s="16"/>
      <c r="AJ14" s="15"/>
    </row>
    <row r="15" spans="1:36" ht="18.899999999999999" thickTop="1" thickBot="1" x14ac:dyDescent="0.5">
      <c r="A15" s="75"/>
      <c r="B15" s="159"/>
      <c r="C15" s="160"/>
      <c r="D15" s="296" t="s">
        <v>1680</v>
      </c>
      <c r="E15" s="297" t="str">
        <f ca="1">IF(OR(TRIM(D16)="-",TRIM(D17)="-"),"",VLOOKUP(MIN(C16,C17),Hřiště!$B$11:$E$42,4,0))</f>
        <v/>
      </c>
      <c r="F15" s="168"/>
      <c r="G15" s="80">
        <v>16</v>
      </c>
      <c r="H15" s="81" t="str">
        <f ca="1">IF(OR(TRIM(D16)="-",TRIM(D17)="-"), IF(TRIM(D16)="-",D17,D16),IF(AND(E16="",E17="")," ",IF(N(E16)=N(E17)," ",IF(N(E16)&gt;N(E17),D16,D17))))</f>
        <v>24 SK Pétanque Řepy - Váňová Věra</v>
      </c>
      <c r="I15" s="130"/>
      <c r="J15" s="150"/>
      <c r="K15" s="149"/>
      <c r="L15" s="169"/>
      <c r="M15" s="199"/>
      <c r="N15" s="149"/>
      <c r="O15" s="161"/>
      <c r="P15" s="162"/>
      <c r="Q15" s="197"/>
      <c r="R15" s="149"/>
      <c r="S15" s="149"/>
      <c r="T15" s="149"/>
      <c r="U15" s="149"/>
      <c r="V15" s="149"/>
      <c r="W15" s="158"/>
      <c r="X15" s="16"/>
      <c r="Y15" s="16"/>
      <c r="Z15" s="16"/>
      <c r="AA15" s="16"/>
      <c r="AB15" s="16"/>
      <c r="AC15" s="16"/>
      <c r="AD15" s="16"/>
      <c r="AE15" s="16"/>
      <c r="AF15" s="16"/>
      <c r="AG15" s="16"/>
      <c r="AH15" s="16"/>
      <c r="AI15" s="16"/>
      <c r="AJ15" s="16"/>
    </row>
    <row r="16" spans="1:36" ht="18.45" thickTop="1" thickBot="1" x14ac:dyDescent="0.45">
      <c r="A16" s="86" t="str">
        <f ca="1">VLOOKUP(C16,Postupy!$A$3:$C$66,3,0)</f>
        <v/>
      </c>
      <c r="B16" s="147"/>
      <c r="C16" s="78">
        <v>49</v>
      </c>
      <c r="D16" s="79" t="str">
        <f ca="1">VLOOKUP(C16,Postupy!$A$3:$B$66,2,0)</f>
        <v xml:space="preserve"> - </v>
      </c>
      <c r="E16" s="129"/>
      <c r="F16" s="173"/>
      <c r="G16" s="170"/>
      <c r="H16" s="171"/>
      <c r="I16" s="201"/>
      <c r="J16" s="149"/>
      <c r="K16" s="149"/>
      <c r="L16" s="166"/>
      <c r="M16" s="199"/>
      <c r="N16" s="149"/>
      <c r="O16" s="161"/>
      <c r="P16" s="162"/>
      <c r="Q16" s="197"/>
      <c r="R16" s="149"/>
      <c r="S16" s="149"/>
      <c r="T16" s="149"/>
      <c r="U16" s="149"/>
      <c r="V16" s="149"/>
      <c r="W16" s="158"/>
      <c r="X16" s="16"/>
      <c r="Y16" s="16"/>
      <c r="Z16" s="16"/>
      <c r="AA16" s="16"/>
      <c r="AB16" s="16"/>
      <c r="AC16" s="16"/>
      <c r="AD16" s="16"/>
      <c r="AE16" s="16"/>
      <c r="AF16" s="16"/>
      <c r="AG16" s="16"/>
      <c r="AH16" s="16"/>
      <c r="AI16" s="16"/>
      <c r="AJ16" s="16"/>
    </row>
    <row r="17" spans="1:36" ht="18.899999999999999" thickTop="1" thickBot="1" x14ac:dyDescent="0.5">
      <c r="A17" s="86">
        <f ca="1">VLOOKUP(C17,Postupy!$A$3:$C$66,3,0)</f>
        <v>24</v>
      </c>
      <c r="B17" s="147"/>
      <c r="C17" s="80">
        <v>16</v>
      </c>
      <c r="D17" s="81" t="str">
        <f ca="1">VLOOKUP(C17,Postupy!$A$3:$B$66,2,0)</f>
        <v>24 SK Pétanque Řepy - Váňová Věra</v>
      </c>
      <c r="E17" s="130"/>
      <c r="F17" s="174"/>
      <c r="G17" s="149"/>
      <c r="H17" s="166"/>
      <c r="I17" s="199"/>
      <c r="J17" s="149"/>
      <c r="K17" s="149"/>
      <c r="L17" s="175"/>
      <c r="M17" s="200"/>
      <c r="N17" s="158"/>
      <c r="O17" s="152"/>
      <c r="P17" s="296" t="s">
        <v>1680</v>
      </c>
      <c r="Q17" s="297" t="str">
        <f ca="1">IF(OR(TRIM(P18)="-",TRIM(P19)="-"),"",VLOOKUP(MIN(O18,O19),Hřiště!$B$11:$E$42,4,0))</f>
        <v/>
      </c>
      <c r="S17" s="168"/>
      <c r="T17" s="168"/>
      <c r="U17" s="168"/>
      <c r="V17" s="149"/>
      <c r="W17" s="158"/>
      <c r="X17" s="16"/>
      <c r="Y17" s="16"/>
      <c r="Z17" s="16"/>
      <c r="AA17" s="16"/>
      <c r="AB17" s="16"/>
      <c r="AC17" s="16"/>
      <c r="AD17" s="16"/>
      <c r="AE17" s="16"/>
      <c r="AF17" s="16"/>
      <c r="AG17" s="16"/>
      <c r="AH17" s="16"/>
      <c r="AI17" s="16"/>
      <c r="AJ17" s="16"/>
    </row>
    <row r="18" spans="1:36" ht="18" thickBot="1" x14ac:dyDescent="0.45">
      <c r="A18" s="76"/>
      <c r="B18" s="155"/>
      <c r="C18" s="155">
        <f>C16+C17</f>
        <v>65</v>
      </c>
      <c r="D18" s="156"/>
      <c r="E18" s="196"/>
      <c r="F18" s="259">
        <f>C14+C18</f>
        <v>130</v>
      </c>
      <c r="G18" s="149"/>
      <c r="H18" s="169"/>
      <c r="I18" s="199"/>
      <c r="J18" s="149"/>
      <c r="K18" s="149"/>
      <c r="L18" s="176"/>
      <c r="M18" s="200"/>
      <c r="N18" s="158"/>
      <c r="O18" s="78">
        <v>1</v>
      </c>
      <c r="P18" s="79" t="str">
        <f ca="1">IF(OR(TRIM(L10)="-",TRIM(L11)="-"), IF(TRIM(L10)="-",L11,L10),IF(AND(M10="",M11="")," ",IF(N(M10)=N(M11)," ",IF(N(M10)&gt;N(M11),L10,L11))))</f>
        <v xml:space="preserve"> </v>
      </c>
      <c r="Q18" s="129"/>
      <c r="R18" s="158"/>
      <c r="S18" s="149"/>
      <c r="T18" s="149"/>
      <c r="U18" s="149"/>
      <c r="V18" s="149"/>
      <c r="W18" s="158"/>
      <c r="X18" s="16"/>
      <c r="Y18" s="16"/>
      <c r="Z18" s="16"/>
      <c r="AA18" s="16"/>
      <c r="AB18" s="16"/>
      <c r="AC18" s="16"/>
      <c r="AD18" s="16"/>
      <c r="AE18" s="16"/>
      <c r="AF18" s="16"/>
      <c r="AG18" s="16"/>
      <c r="AH18" s="16"/>
      <c r="AI18" s="16"/>
      <c r="AJ18" s="16"/>
    </row>
    <row r="19" spans="1:36" ht="18.899999999999999" thickTop="1" thickBot="1" x14ac:dyDescent="0.5">
      <c r="A19" s="75"/>
      <c r="B19" s="159"/>
      <c r="C19" s="160"/>
      <c r="D19" s="296" t="s">
        <v>1680</v>
      </c>
      <c r="E19" s="297" t="str">
        <f ca="1">IF(OR(TRIM(D20)="-",TRIM(D21)="-"),"",VLOOKUP(MIN(C20,C21),Hřiště!$B$11:$E$42,4,0))</f>
        <v/>
      </c>
      <c r="F19" s="149"/>
      <c r="G19" s="149"/>
      <c r="H19" s="169"/>
      <c r="I19" s="199"/>
      <c r="J19" s="149"/>
      <c r="K19" s="149"/>
      <c r="L19" s="176"/>
      <c r="M19" s="200"/>
      <c r="N19" s="157"/>
      <c r="O19" s="80">
        <v>8</v>
      </c>
      <c r="P19" s="81" t="str">
        <f ca="1">IF(OR(TRIM(L26)="-",TRIM(L27)="-"),IF(TRIM(L26)="-",L27,L26),IF(AND(M26="",M27="")," ",IF(N(M26)=N(M27)," ",IF(N(M26)&gt;N(M27),L26,L27))))</f>
        <v xml:space="preserve"> </v>
      </c>
      <c r="Q19" s="130"/>
      <c r="R19" s="151"/>
      <c r="S19" s="177"/>
      <c r="T19" s="149"/>
      <c r="U19" s="149"/>
      <c r="V19" s="149"/>
      <c r="W19" s="158"/>
      <c r="X19" s="16"/>
      <c r="Y19" s="16"/>
      <c r="Z19" s="16"/>
      <c r="AA19" s="16"/>
      <c r="AB19" s="16"/>
      <c r="AC19" s="16"/>
      <c r="AD19" s="16"/>
      <c r="AE19" s="16"/>
      <c r="AF19" s="16"/>
      <c r="AG19" s="16"/>
      <c r="AH19" s="16"/>
      <c r="AI19" s="16"/>
      <c r="AJ19" s="16"/>
    </row>
    <row r="20" spans="1:36" ht="18.45" thickTop="1" thickBot="1" x14ac:dyDescent="0.45">
      <c r="A20" s="86">
        <f ca="1">VLOOKUP(C20,Postupy!$A$3:$C$66,3,0)</f>
        <v>34</v>
      </c>
      <c r="B20" s="147"/>
      <c r="C20" s="78">
        <v>9</v>
      </c>
      <c r="D20" s="79" t="str">
        <f ca="1">VLOOKUP(C20,Postupy!$A$3:$B$66,2,0)</f>
        <v>34 1. KPK Vrchlabí - Šebek Viktor</v>
      </c>
      <c r="E20" s="129"/>
      <c r="F20" s="152"/>
      <c r="G20" s="149"/>
      <c r="H20" s="166"/>
      <c r="I20" s="199"/>
      <c r="J20" s="149"/>
      <c r="K20" s="149"/>
      <c r="L20" s="176"/>
      <c r="M20" s="200"/>
      <c r="N20" s="157"/>
      <c r="O20" s="170"/>
      <c r="P20" s="171"/>
      <c r="Q20" s="197"/>
      <c r="R20" s="158"/>
      <c r="S20" s="177"/>
      <c r="T20" s="153"/>
      <c r="U20" s="158"/>
      <c r="V20" s="149"/>
      <c r="W20" s="158"/>
      <c r="X20" s="16"/>
      <c r="Y20" s="16"/>
      <c r="Z20" s="16"/>
      <c r="AA20" s="16"/>
      <c r="AB20" s="16"/>
      <c r="AC20" s="15"/>
      <c r="AD20" s="16"/>
      <c r="AE20" s="16"/>
      <c r="AF20" s="16"/>
      <c r="AG20" s="16"/>
      <c r="AH20" s="16"/>
      <c r="AI20" s="15"/>
      <c r="AJ20" s="16"/>
    </row>
    <row r="21" spans="1:36" ht="18.899999999999999" thickTop="1" thickBot="1" x14ac:dyDescent="0.5">
      <c r="A21" s="86" t="str">
        <f ca="1">VLOOKUP(C21,Postupy!$A$3:$C$66,3,0)</f>
        <v/>
      </c>
      <c r="B21" s="147"/>
      <c r="C21" s="80">
        <v>56</v>
      </c>
      <c r="D21" s="81" t="str">
        <f ca="1">VLOOKUP(C21,Postupy!$A$3:$B$66,2,0)</f>
        <v xml:space="preserve"> - </v>
      </c>
      <c r="E21" s="130"/>
      <c r="F21" s="178"/>
      <c r="G21" s="152"/>
      <c r="H21" s="296" t="s">
        <v>1680</v>
      </c>
      <c r="I21" s="297" t="str">
        <f ca="1">IF(OR(TRIM(H22)="-",TRIM(H23)="-"),"",VLOOKUP(MIN(G22,G23),Hřiště!$B$11:$E$42,4,0))</f>
        <v/>
      </c>
      <c r="J21" s="149"/>
      <c r="K21" s="149"/>
      <c r="L21" s="176"/>
      <c r="M21" s="200"/>
      <c r="N21" s="157"/>
      <c r="O21" s="40"/>
      <c r="P21" s="169"/>
      <c r="Q21" s="200"/>
      <c r="R21" s="158"/>
      <c r="S21" s="177"/>
      <c r="T21" s="153"/>
      <c r="U21" s="158"/>
      <c r="V21" s="149"/>
      <c r="W21" s="158"/>
      <c r="X21" s="16"/>
      <c r="Y21" s="16"/>
      <c r="Z21" s="16"/>
      <c r="AA21" s="16"/>
      <c r="AB21" s="16"/>
      <c r="AC21" s="15"/>
      <c r="AD21" s="16"/>
      <c r="AE21" s="16"/>
      <c r="AF21" s="16"/>
      <c r="AG21" s="16"/>
      <c r="AH21" s="16"/>
      <c r="AI21" s="15"/>
      <c r="AJ21" s="16"/>
    </row>
    <row r="22" spans="1:36" ht="18.45" thickTop="1" thickBot="1" x14ac:dyDescent="0.45">
      <c r="A22" s="76"/>
      <c r="B22" s="155"/>
      <c r="C22" s="155">
        <f>C20+C21</f>
        <v>65</v>
      </c>
      <c r="D22" s="156"/>
      <c r="E22" s="196"/>
      <c r="F22" s="157"/>
      <c r="G22" s="78">
        <v>9</v>
      </c>
      <c r="H22" s="79" t="str">
        <f ca="1">IF(OR(TRIM(D20)="-",TRIM(D21)="-"), IF(TRIM(D20)="-",D21,D20),IF(AND(E20="",E21="")," ",IF(N(E20)=N(E21)," ",IF(N(E20)&gt;N(E21),D20,D21))))</f>
        <v>34 1. KPK Vrchlabí - Šebek Viktor</v>
      </c>
      <c r="I22" s="129"/>
      <c r="J22" s="148"/>
      <c r="K22" s="149"/>
      <c r="L22" s="176"/>
      <c r="M22" s="200"/>
      <c r="N22" s="157"/>
      <c r="O22" s="40"/>
      <c r="P22" s="169"/>
      <c r="Q22" s="200"/>
      <c r="R22" s="158"/>
      <c r="S22" s="177"/>
      <c r="T22" s="153"/>
      <c r="U22" s="158"/>
      <c r="V22" s="149"/>
      <c r="W22" s="158"/>
      <c r="X22" s="16"/>
      <c r="Y22" s="16"/>
      <c r="Z22" s="16"/>
      <c r="AA22" s="16"/>
      <c r="AB22" s="16"/>
      <c r="AC22" s="15"/>
      <c r="AD22" s="16"/>
      <c r="AE22" s="16"/>
      <c r="AF22" s="16"/>
      <c r="AG22" s="16"/>
      <c r="AH22" s="16"/>
      <c r="AI22" s="15"/>
      <c r="AJ22" s="16"/>
    </row>
    <row r="23" spans="1:36" ht="18.899999999999999" thickTop="1" thickBot="1" x14ac:dyDescent="0.5">
      <c r="A23" s="75"/>
      <c r="B23" s="159"/>
      <c r="C23" s="160"/>
      <c r="D23" s="296" t="s">
        <v>1680</v>
      </c>
      <c r="E23" s="297" t="str">
        <f ca="1">IF(OR(TRIM(D24)="-",TRIM(D25)="-"),"",VLOOKUP(MIN(C24,C25),Hřiště!$B$11:$E$42,4,0))</f>
        <v/>
      </c>
      <c r="F23" s="157"/>
      <c r="G23" s="80">
        <v>24</v>
      </c>
      <c r="H23" s="81" t="str">
        <f ca="1">IF(OR(TRIM(D24)="-",TRIM(D25)="-"), IF(TRIM(D24)="-",D25,D24),IF(AND(E24="",E25="")," ",IF(N(E24)=N(E25)," ",IF(N(E24)&gt;N(E25),D24,D25))))</f>
        <v xml:space="preserve"> - </v>
      </c>
      <c r="I23" s="130"/>
      <c r="J23" s="151"/>
      <c r="K23" s="161"/>
      <c r="L23" s="179"/>
      <c r="M23" s="200"/>
      <c r="N23" s="157"/>
      <c r="O23" s="40"/>
      <c r="P23" s="166"/>
      <c r="Q23" s="200"/>
      <c r="R23" s="158"/>
      <c r="S23" s="177"/>
      <c r="T23" s="153"/>
      <c r="U23" s="158"/>
      <c r="V23" s="149"/>
      <c r="W23" s="158"/>
      <c r="X23" s="16"/>
      <c r="Y23" s="16"/>
      <c r="Z23" s="16"/>
      <c r="AA23" s="16"/>
      <c r="AB23" s="16"/>
      <c r="AC23" s="16"/>
      <c r="AD23" s="16"/>
      <c r="AE23" s="16"/>
      <c r="AF23" s="16"/>
      <c r="AG23" s="16"/>
      <c r="AH23" s="16"/>
      <c r="AI23" s="16"/>
      <c r="AJ23" s="16"/>
    </row>
    <row r="24" spans="1:36" ht="18.45" thickTop="1" thickBot="1" x14ac:dyDescent="0.45">
      <c r="A24" s="86" t="str">
        <f ca="1">VLOOKUP(C24,Postupy!$A$3:$C$66,3,0)</f>
        <v/>
      </c>
      <c r="B24" s="147"/>
      <c r="C24" s="78">
        <v>41</v>
      </c>
      <c r="D24" s="79" t="str">
        <f ca="1">VLOOKUP(C24,Postupy!$A$3:$B$66,2,0)</f>
        <v xml:space="preserve"> - </v>
      </c>
      <c r="E24" s="129"/>
      <c r="F24" s="163"/>
      <c r="G24" s="164"/>
      <c r="H24" s="171"/>
      <c r="I24" s="202"/>
      <c r="J24" s="158"/>
      <c r="K24" s="161"/>
      <c r="L24" s="180"/>
      <c r="M24" s="200"/>
      <c r="N24" s="157"/>
      <c r="O24" s="40"/>
      <c r="P24" s="175"/>
      <c r="Q24" s="200"/>
      <c r="R24" s="158"/>
      <c r="S24" s="177"/>
      <c r="T24" s="153"/>
      <c r="U24" s="158"/>
      <c r="V24" s="149"/>
      <c r="W24" s="158"/>
      <c r="X24" s="16"/>
      <c r="Y24" s="16"/>
      <c r="Z24" s="16"/>
      <c r="AA24" s="16"/>
      <c r="AB24" s="16"/>
      <c r="AC24" s="16"/>
      <c r="AD24" s="16"/>
      <c r="AE24" s="16"/>
      <c r="AF24" s="16"/>
      <c r="AG24" s="16"/>
      <c r="AH24" s="16"/>
      <c r="AI24" s="16"/>
      <c r="AJ24" s="16"/>
    </row>
    <row r="25" spans="1:36" ht="18.899999999999999" thickTop="1" thickBot="1" x14ac:dyDescent="0.5">
      <c r="A25" s="86" t="str">
        <f ca="1">VLOOKUP(C25,Postupy!$A$3:$C$66,3,0)</f>
        <v/>
      </c>
      <c r="B25" s="147"/>
      <c r="C25" s="80">
        <v>24</v>
      </c>
      <c r="D25" s="81" t="str">
        <f ca="1">VLOOKUP(C25,Postupy!$A$3:$B$66,2,0)</f>
        <v xml:space="preserve"> - </v>
      </c>
      <c r="E25" s="130"/>
      <c r="F25" s="150"/>
      <c r="G25" s="149"/>
      <c r="H25" s="166"/>
      <c r="I25" s="200"/>
      <c r="J25" s="158"/>
      <c r="K25" s="152"/>
      <c r="L25" s="296" t="s">
        <v>1680</v>
      </c>
      <c r="M25" s="297" t="str">
        <f ca="1">IF(OR(TRIM(L26)="-",TRIM(L27)="-"),"",VLOOKUP(MIN(K26,K27),Hřiště!$B$11:$E$42,4,0))</f>
        <v/>
      </c>
      <c r="N25" s="181"/>
      <c r="O25" s="40"/>
      <c r="P25" s="179"/>
      <c r="Q25" s="200"/>
      <c r="R25" s="158"/>
      <c r="S25" s="177"/>
      <c r="T25" s="153"/>
      <c r="U25" s="158"/>
      <c r="V25" s="149"/>
      <c r="W25" s="158"/>
      <c r="X25" s="16"/>
      <c r="Y25" s="16"/>
      <c r="Z25" s="16"/>
      <c r="AA25" s="16"/>
      <c r="AB25" s="16"/>
      <c r="AC25" s="16"/>
      <c r="AD25" s="16"/>
      <c r="AE25" s="16"/>
      <c r="AF25" s="16"/>
      <c r="AG25" s="16"/>
      <c r="AH25" s="16"/>
      <c r="AI25" s="16"/>
      <c r="AJ25" s="16"/>
    </row>
    <row r="26" spans="1:36" ht="18.45" thickTop="1" thickBot="1" x14ac:dyDescent="0.45">
      <c r="A26" s="76"/>
      <c r="B26" s="155"/>
      <c r="C26" s="155">
        <f>C24+C25</f>
        <v>65</v>
      </c>
      <c r="D26" s="156"/>
      <c r="E26" s="196"/>
      <c r="F26" s="259">
        <f>C22+C26</f>
        <v>130</v>
      </c>
      <c r="G26" s="149"/>
      <c r="H26" s="169"/>
      <c r="I26" s="199"/>
      <c r="J26" s="149"/>
      <c r="K26" s="78">
        <v>9</v>
      </c>
      <c r="L26" s="79" t="str">
        <f ca="1">IF(OR(TRIM(H22)="-",TRIM(H23)="-"), IF(TRIM(H22)="-",H23,H22),IF(AND(I22="",I23="")," ",IF(N(I22)=N(I23)," ",IF(N(I22)&gt;N(I23),H22,H23))))</f>
        <v>34 1. KPK Vrchlabí - Šebek Viktor</v>
      </c>
      <c r="M26" s="129"/>
      <c r="N26" s="163"/>
      <c r="O26" s="149"/>
      <c r="P26" s="176"/>
      <c r="Q26" s="200"/>
      <c r="R26" s="158"/>
      <c r="S26" s="177"/>
      <c r="T26" s="153"/>
      <c r="U26" s="149"/>
      <c r="V26" s="149"/>
      <c r="W26" s="149"/>
      <c r="X26" s="16"/>
      <c r="Y26" s="17"/>
      <c r="Z26" s="16"/>
      <c r="AA26" s="16"/>
      <c r="AB26" s="16"/>
      <c r="AC26" s="17"/>
      <c r="AD26" s="16"/>
      <c r="AE26" s="16"/>
      <c r="AF26" s="16"/>
      <c r="AG26" s="16"/>
      <c r="AH26" s="16"/>
      <c r="AI26" s="17"/>
      <c r="AJ26" s="16"/>
    </row>
    <row r="27" spans="1:36" ht="18.899999999999999" thickTop="1" thickBot="1" x14ac:dyDescent="0.5">
      <c r="A27" s="75"/>
      <c r="B27" s="159"/>
      <c r="C27" s="160"/>
      <c r="D27" s="296" t="s">
        <v>1680</v>
      </c>
      <c r="E27" s="297" t="str">
        <f ca="1">IF(OR(TRIM(D28)="-",TRIM(D29)="-"),"",VLOOKUP(MIN(C28,C29),Hřiště!$B$11:$E$42,4,0))</f>
        <v/>
      </c>
      <c r="F27" s="149"/>
      <c r="G27" s="149"/>
      <c r="H27" s="169"/>
      <c r="I27" s="199"/>
      <c r="J27" s="149"/>
      <c r="K27" s="80">
        <v>8</v>
      </c>
      <c r="L27" s="81" t="str">
        <f ca="1">IF(OR(TRIM(H30)="-",TRIM(H31)="-"), IF(TRIM(H30)="-",H31,H30),IF(AND(I30="",I31="")," ",IF(N(I30)=N(I31)," ",IF(N(I30)&gt;N(I31),H30,H31))))</f>
        <v>28 PC Sokol PP Hr. Králové - Hochmann Lukáš</v>
      </c>
      <c r="M27" s="130"/>
      <c r="N27" s="150"/>
      <c r="O27" s="149"/>
      <c r="P27" s="176"/>
      <c r="Q27" s="200"/>
      <c r="R27" s="158"/>
      <c r="S27" s="177"/>
      <c r="T27" s="153"/>
      <c r="U27" s="149"/>
      <c r="V27" s="149"/>
      <c r="W27" s="149"/>
      <c r="X27" s="16"/>
      <c r="Y27" s="17"/>
      <c r="Z27" s="16"/>
      <c r="AA27" s="16"/>
      <c r="AB27" s="16"/>
      <c r="AC27" s="17"/>
      <c r="AD27" s="16"/>
      <c r="AE27" s="16"/>
      <c r="AF27" s="16"/>
      <c r="AG27" s="16"/>
      <c r="AH27" s="16"/>
      <c r="AI27" s="17"/>
      <c r="AJ27" s="16"/>
    </row>
    <row r="28" spans="1:36" ht="18.45" thickTop="1" thickBot="1" x14ac:dyDescent="0.45">
      <c r="A28" s="86" t="str">
        <f ca="1">VLOOKUP(C28,Postupy!$A$3:$C$66,3,0)</f>
        <v/>
      </c>
      <c r="B28" s="147"/>
      <c r="C28" s="78">
        <v>25</v>
      </c>
      <c r="D28" s="79" t="str">
        <f ca="1">VLOOKUP(C28,Postupy!$A$3:$B$66,2,0)</f>
        <v xml:space="preserve"> - </v>
      </c>
      <c r="E28" s="129"/>
      <c r="F28" s="152"/>
      <c r="G28" s="149"/>
      <c r="H28" s="166"/>
      <c r="I28" s="199"/>
      <c r="J28" s="158"/>
      <c r="K28" s="170"/>
      <c r="L28" s="171"/>
      <c r="M28" s="201"/>
      <c r="N28" s="149"/>
      <c r="O28" s="149"/>
      <c r="P28" s="176"/>
      <c r="Q28" s="200"/>
      <c r="R28" s="158"/>
      <c r="S28" s="177"/>
      <c r="T28" s="167"/>
      <c r="U28" s="158"/>
      <c r="V28" s="149"/>
      <c r="W28" s="158"/>
      <c r="X28" s="16"/>
      <c r="Y28" s="16"/>
      <c r="Z28" s="16"/>
      <c r="AA28" s="16"/>
      <c r="AB28" s="16"/>
      <c r="AC28" s="16"/>
      <c r="AD28" s="16"/>
      <c r="AE28" s="16"/>
      <c r="AF28" s="16"/>
      <c r="AG28" s="16"/>
      <c r="AH28" s="16"/>
      <c r="AI28" s="16"/>
      <c r="AJ28" s="16"/>
    </row>
    <row r="29" spans="1:36" ht="18.899999999999999" thickTop="1" thickBot="1" x14ac:dyDescent="0.5">
      <c r="A29" s="86" t="str">
        <f ca="1">VLOOKUP(C29,Postupy!$A$3:$C$66,3,0)</f>
        <v/>
      </c>
      <c r="B29" s="147"/>
      <c r="C29" s="80">
        <v>40</v>
      </c>
      <c r="D29" s="81" t="str">
        <f ca="1">VLOOKUP(C29,Postupy!$A$3:$B$66,2,0)</f>
        <v xml:space="preserve"> - </v>
      </c>
      <c r="E29" s="130"/>
      <c r="F29" s="172" t="s">
        <v>1681</v>
      </c>
      <c r="G29" s="152"/>
      <c r="H29" s="296" t="s">
        <v>1680</v>
      </c>
      <c r="I29" s="297" t="str">
        <f ca="1">IF(OR(TRIM(H30)="-",TRIM(H31)="-"),"",VLOOKUP(MIN(G30,G31),Hřiště!$B$11:$E$42,4,0))</f>
        <v/>
      </c>
      <c r="J29" s="158"/>
      <c r="K29" s="161"/>
      <c r="L29" s="169"/>
      <c r="M29" s="197"/>
      <c r="N29" s="149"/>
      <c r="O29" s="149"/>
      <c r="P29" s="176"/>
      <c r="Q29" s="200"/>
      <c r="R29" s="158"/>
      <c r="S29" s="177"/>
      <c r="T29" s="167"/>
      <c r="U29" s="158"/>
      <c r="V29" s="149"/>
      <c r="W29" s="158"/>
      <c r="X29" s="33"/>
      <c r="Y29" s="16"/>
      <c r="Z29" s="16"/>
      <c r="AA29" s="16"/>
      <c r="AB29" s="16"/>
      <c r="AC29" s="16"/>
      <c r="AD29" s="16"/>
      <c r="AE29" s="16"/>
      <c r="AF29" s="16"/>
      <c r="AG29" s="16"/>
      <c r="AH29" s="16"/>
      <c r="AI29" s="16"/>
      <c r="AJ29" s="16"/>
    </row>
    <row r="30" spans="1:36" ht="18.45" thickTop="1" thickBot="1" x14ac:dyDescent="0.45">
      <c r="A30" s="76"/>
      <c r="B30" s="155"/>
      <c r="C30" s="155">
        <f>C28+C29</f>
        <v>65</v>
      </c>
      <c r="D30" s="156"/>
      <c r="E30" s="196"/>
      <c r="F30" s="22"/>
      <c r="G30" s="78">
        <v>25</v>
      </c>
      <c r="H30" s="79" t="str">
        <f ca="1">IF(OR(TRIM(D28)="-",TRIM(D29)="-"), IF(TRIM(D28)="-",D29,D28),IF(AND(E28="",E29="")," ",IF(N(E28)=N(E29)," ",IF(N(E28)&gt;N(E29),D28,D29))))</f>
        <v xml:space="preserve"> - </v>
      </c>
      <c r="I30" s="129"/>
      <c r="J30" s="163"/>
      <c r="K30" s="161"/>
      <c r="L30" s="169"/>
      <c r="M30" s="197"/>
      <c r="N30" s="149"/>
      <c r="O30" s="149"/>
      <c r="P30" s="176"/>
      <c r="Q30" s="200"/>
      <c r="R30" s="158"/>
      <c r="S30" s="177"/>
      <c r="T30" s="167"/>
      <c r="U30" s="158"/>
      <c r="V30" s="149"/>
      <c r="W30" s="158"/>
      <c r="X30" s="33"/>
      <c r="Y30" s="16"/>
      <c r="Z30" s="16"/>
      <c r="AA30" s="16"/>
      <c r="AB30" s="16"/>
      <c r="AC30" s="16"/>
      <c r="AD30" s="16"/>
      <c r="AE30" s="16"/>
      <c r="AF30" s="16"/>
      <c r="AG30" s="16"/>
      <c r="AH30" s="16"/>
      <c r="AI30" s="16"/>
      <c r="AJ30" s="16"/>
    </row>
    <row r="31" spans="1:36" ht="18.899999999999999" thickTop="1" thickBot="1" x14ac:dyDescent="0.5">
      <c r="A31" s="75"/>
      <c r="B31" s="159"/>
      <c r="C31" s="160"/>
      <c r="D31" s="296" t="s">
        <v>1680</v>
      </c>
      <c r="E31" s="297" t="str">
        <f ca="1">IF(OR(TRIM(D32)="-",TRIM(D33)="-"),"",VLOOKUP(MIN(C32,C33),Hřiště!$B$11:$E$42,4,0))</f>
        <v/>
      </c>
      <c r="F31" s="168"/>
      <c r="G31" s="80">
        <v>8</v>
      </c>
      <c r="H31" s="81" t="str">
        <f ca="1">IF(OR(TRIM(D32)="-",TRIM(D33)="-"), IF(TRIM(D32)="-",D33,D32),IF(AND(E32="",E33="")," ",IF(N(E32)=N(E33)," ",IF(N(E32)&gt;N(E33),D32,D33))))</f>
        <v>28 PC Sokol PP Hr. Králové - Hochmann Lukáš</v>
      </c>
      <c r="I31" s="130"/>
      <c r="J31" s="150"/>
      <c r="K31" s="149"/>
      <c r="L31" s="169"/>
      <c r="M31" s="199"/>
      <c r="N31" s="149"/>
      <c r="O31" s="149"/>
      <c r="P31" s="176"/>
      <c r="Q31" s="200"/>
      <c r="R31" s="158"/>
      <c r="S31" s="177"/>
      <c r="T31" s="167"/>
      <c r="U31" s="158"/>
      <c r="V31" s="149"/>
      <c r="W31" s="158"/>
      <c r="X31" s="33"/>
      <c r="Y31" s="16"/>
      <c r="Z31" s="16"/>
      <c r="AA31" s="16"/>
      <c r="AB31" s="16"/>
      <c r="AC31" s="16"/>
      <c r="AD31" s="16"/>
      <c r="AE31" s="16"/>
      <c r="AF31" s="16"/>
      <c r="AG31" s="16"/>
      <c r="AH31" s="16"/>
      <c r="AI31" s="16"/>
      <c r="AJ31" s="16"/>
    </row>
    <row r="32" spans="1:36" ht="18.45" thickTop="1" thickBot="1" x14ac:dyDescent="0.45">
      <c r="A32" s="86" t="str">
        <f ca="1">VLOOKUP(C32,Postupy!$A$3:$C$66,3,0)</f>
        <v/>
      </c>
      <c r="B32" s="147"/>
      <c r="C32" s="78">
        <v>57</v>
      </c>
      <c r="D32" s="79" t="str">
        <f ca="1">VLOOKUP(C32,Postupy!$A$3:$B$66,2,0)</f>
        <v xml:space="preserve"> - </v>
      </c>
      <c r="E32" s="129"/>
      <c r="F32" s="163"/>
      <c r="G32" s="170"/>
      <c r="H32" s="171"/>
      <c r="I32" s="201"/>
      <c r="J32" s="149"/>
      <c r="K32" s="149"/>
      <c r="L32" s="166"/>
      <c r="M32" s="199"/>
      <c r="N32" s="149"/>
      <c r="O32" s="149"/>
      <c r="P32" s="176"/>
      <c r="Q32" s="200"/>
      <c r="R32" s="158"/>
      <c r="S32" s="177"/>
      <c r="T32" s="167"/>
      <c r="U32" s="158"/>
      <c r="V32" s="149"/>
      <c r="W32" s="158"/>
      <c r="X32" s="33"/>
      <c r="Y32" s="16"/>
      <c r="Z32" s="16"/>
      <c r="AA32" s="16"/>
      <c r="AB32" s="16"/>
      <c r="AC32" s="16"/>
      <c r="AD32" s="16"/>
      <c r="AE32" s="16"/>
      <c r="AF32" s="16"/>
      <c r="AG32" s="16"/>
      <c r="AH32" s="16"/>
      <c r="AI32" s="16"/>
      <c r="AJ32" s="16"/>
    </row>
    <row r="33" spans="1:36" ht="18.899999999999999" thickTop="1" thickBot="1" x14ac:dyDescent="0.5">
      <c r="A33" s="86">
        <f ca="1">VLOOKUP(C33,Postupy!$A$3:$C$66,3,0)</f>
        <v>28</v>
      </c>
      <c r="B33" s="147"/>
      <c r="C33" s="80">
        <v>8</v>
      </c>
      <c r="D33" s="81" t="str">
        <f ca="1">VLOOKUP(C33,Postupy!$A$3:$B$66,2,0)</f>
        <v>28 PC Sokol PP Hr. Králové - Hochmann Lukáš</v>
      </c>
      <c r="E33" s="130"/>
      <c r="F33" s="174"/>
      <c r="G33" s="149"/>
      <c r="H33" s="166"/>
      <c r="I33" s="199"/>
      <c r="J33" s="149"/>
      <c r="K33" s="149"/>
      <c r="L33" s="175"/>
      <c r="M33" s="199"/>
      <c r="N33" s="149"/>
      <c r="O33" s="149"/>
      <c r="P33" s="176"/>
      <c r="Q33" s="200"/>
      <c r="R33" s="158"/>
      <c r="S33" s="177"/>
      <c r="T33" s="296" t="s">
        <v>1680</v>
      </c>
      <c r="U33" s="297" t="str">
        <f ca="1">IF(OR(TRIM(T34)="-",TRIM(T35)="-"),"",VLOOKUP(MIN(S34,S35),Hřiště!$B$11:$E$42,4,0))</f>
        <v/>
      </c>
      <c r="V33" s="149"/>
      <c r="W33" s="149"/>
      <c r="X33" s="16"/>
      <c r="Y33" s="16"/>
      <c r="Z33" s="16"/>
      <c r="AA33" s="16"/>
      <c r="AB33" s="16"/>
      <c r="AC33" s="16"/>
      <c r="AD33" s="16"/>
      <c r="AE33" s="16"/>
      <c r="AF33" s="16"/>
      <c r="AG33" s="16"/>
      <c r="AH33" s="16"/>
      <c r="AI33" s="16"/>
      <c r="AJ33" s="16"/>
    </row>
    <row r="34" spans="1:36" ht="18.45" thickTop="1" thickBot="1" x14ac:dyDescent="0.45">
      <c r="A34" s="76"/>
      <c r="B34" s="155"/>
      <c r="C34" s="155">
        <f>C32+C33</f>
        <v>65</v>
      </c>
      <c r="D34" s="156"/>
      <c r="E34" s="196"/>
      <c r="F34" s="259">
        <f>C30+C34</f>
        <v>130</v>
      </c>
      <c r="G34" s="149"/>
      <c r="H34" s="169"/>
      <c r="I34" s="199"/>
      <c r="J34" s="149"/>
      <c r="K34" s="149"/>
      <c r="L34" s="182"/>
      <c r="M34" s="199"/>
      <c r="N34" s="149"/>
      <c r="O34" s="149"/>
      <c r="P34" s="182"/>
      <c r="Q34" s="199"/>
      <c r="R34" s="149"/>
      <c r="S34" s="37">
        <v>1</v>
      </c>
      <c r="T34" s="79" t="str">
        <f ca="1">IF(OR(TRIM(P18)="-",TRIM(P19)="-"), IF(TRIM(P18)="-",P19,P18),IF(AND(Q18="",Q19="")," ",IF(N(Q18)=N(Q19)," ",IF(N(Q18)&gt;N(Q19),P18,P19))))</f>
        <v xml:space="preserve"> </v>
      </c>
      <c r="U34" s="129"/>
      <c r="V34" s="158"/>
      <c r="W34" s="149"/>
      <c r="X34" s="16"/>
      <c r="Y34" s="16"/>
      <c r="Z34" s="16"/>
      <c r="AA34" s="16"/>
      <c r="AB34" s="16"/>
      <c r="AC34" s="16"/>
      <c r="AD34" s="16"/>
      <c r="AE34" s="16"/>
      <c r="AF34" s="16"/>
      <c r="AG34" s="16"/>
      <c r="AH34" s="16"/>
      <c r="AI34" s="16"/>
      <c r="AJ34" s="16"/>
    </row>
    <row r="35" spans="1:36" ht="18.899999999999999" thickTop="1" thickBot="1" x14ac:dyDescent="0.5">
      <c r="A35" s="75"/>
      <c r="B35" s="159"/>
      <c r="C35" s="160"/>
      <c r="D35" s="296" t="s">
        <v>1680</v>
      </c>
      <c r="E35" s="297" t="str">
        <f ca="1">IF(OR(TRIM(D36)="-",TRIM(D37)="-"),"",VLOOKUP(MIN(C36,C37),Hřiště!$B$11:$E$42,4,0))</f>
        <v/>
      </c>
      <c r="F35" s="22"/>
      <c r="G35" s="149"/>
      <c r="H35" s="169"/>
      <c r="I35" s="199"/>
      <c r="J35" s="149"/>
      <c r="K35" s="149"/>
      <c r="L35" s="182"/>
      <c r="M35" s="199"/>
      <c r="N35" s="149"/>
      <c r="O35" s="149"/>
      <c r="P35" s="182"/>
      <c r="Q35" s="199"/>
      <c r="R35" s="149"/>
      <c r="S35" s="80">
        <v>4</v>
      </c>
      <c r="T35" s="81" t="str">
        <f ca="1">IF(OR(TRIM(P50)="-",TRIM(P51)="-"), IF(TRIM(P50)="-",P51,P50),IF(AND(Q50="",Q51="")," ",IF(N(Q50)=N(Q51)," ",IF(N(Q50)&gt;N(Q51),P50,P51))))</f>
        <v xml:space="preserve"> </v>
      </c>
      <c r="U35" s="130"/>
      <c r="V35" s="151"/>
      <c r="W35" s="177"/>
      <c r="X35" s="16"/>
      <c r="Y35" s="16"/>
      <c r="Z35" s="16"/>
      <c r="AA35" s="16"/>
      <c r="AB35" s="16"/>
      <c r="AC35" s="16"/>
      <c r="AD35" s="16"/>
      <c r="AE35" s="16"/>
      <c r="AF35" s="16"/>
      <c r="AG35" s="16"/>
      <c r="AH35" s="16"/>
      <c r="AI35" s="16"/>
      <c r="AJ35" s="16"/>
    </row>
    <row r="36" spans="1:36" ht="18.45" thickTop="1" thickBot="1" x14ac:dyDescent="0.45">
      <c r="A36" s="86">
        <f ca="1">VLOOKUP(C36,Postupy!$A$3:$C$66,3,0)</f>
        <v>23</v>
      </c>
      <c r="B36" s="147"/>
      <c r="C36" s="78">
        <v>5</v>
      </c>
      <c r="D36" s="79" t="str">
        <f ca="1">VLOOKUP(C36,Postupy!$A$3:$B$66,2,0)</f>
        <v>23 PC Kolová - Horáček Jindřich</v>
      </c>
      <c r="E36" s="129"/>
      <c r="F36" s="152"/>
      <c r="G36" s="149"/>
      <c r="H36" s="166"/>
      <c r="I36" s="199"/>
      <c r="J36" s="149"/>
      <c r="K36" s="149"/>
      <c r="L36" s="182"/>
      <c r="M36" s="199"/>
      <c r="N36" s="149"/>
      <c r="O36" s="149"/>
      <c r="P36" s="176"/>
      <c r="Q36" s="200"/>
      <c r="R36" s="158"/>
      <c r="S36" s="170"/>
      <c r="T36" s="183"/>
      <c r="U36" s="40"/>
      <c r="V36" s="158"/>
      <c r="W36" s="177"/>
      <c r="X36" s="16"/>
      <c r="Y36" s="16"/>
      <c r="Z36" s="16"/>
      <c r="AA36" s="16"/>
      <c r="AB36" s="16"/>
      <c r="AC36" s="16"/>
      <c r="AD36" s="16"/>
      <c r="AE36" s="16"/>
      <c r="AF36" s="16"/>
      <c r="AG36" s="16"/>
      <c r="AH36" s="16"/>
      <c r="AI36" s="16"/>
      <c r="AJ36" s="16"/>
    </row>
    <row r="37" spans="1:36" ht="18.899999999999999" thickTop="1" thickBot="1" x14ac:dyDescent="0.5">
      <c r="A37" s="86" t="str">
        <f ca="1">VLOOKUP(C37,Postupy!$A$3:$C$66,3,0)</f>
        <v/>
      </c>
      <c r="B37" s="147"/>
      <c r="C37" s="80">
        <v>60</v>
      </c>
      <c r="D37" s="81" t="str">
        <f ca="1">VLOOKUP(C37,Postupy!$A$3:$B$66,2,0)</f>
        <v xml:space="preserve"> - </v>
      </c>
      <c r="E37" s="130"/>
      <c r="F37" s="178"/>
      <c r="G37" s="152"/>
      <c r="H37" s="296" t="s">
        <v>1680</v>
      </c>
      <c r="I37" s="297" t="str">
        <f ca="1">IF(OR(TRIM(H38)="-",TRIM(H39)="-"),"",VLOOKUP(MIN(G38,G39),Hřiště!$B$11:$E$42,4,0))</f>
        <v/>
      </c>
      <c r="J37" s="149"/>
      <c r="K37" s="149"/>
      <c r="L37" s="182"/>
      <c r="M37" s="199"/>
      <c r="N37" s="149"/>
      <c r="O37" s="149"/>
      <c r="P37" s="176"/>
      <c r="Q37" s="200"/>
      <c r="R37" s="158"/>
      <c r="S37" s="161"/>
      <c r="T37" s="154"/>
      <c r="U37" s="40"/>
      <c r="V37" s="158"/>
      <c r="W37" s="177"/>
      <c r="X37" s="33"/>
      <c r="Y37" s="16"/>
      <c r="Z37" s="16"/>
      <c r="AA37" s="16"/>
      <c r="AB37" s="16"/>
      <c r="AC37" s="16"/>
      <c r="AD37" s="16"/>
      <c r="AE37" s="16"/>
      <c r="AF37" s="16"/>
      <c r="AG37" s="16"/>
      <c r="AH37" s="16"/>
      <c r="AI37" s="16"/>
      <c r="AJ37" s="16"/>
    </row>
    <row r="38" spans="1:36" ht="18.45" thickTop="1" thickBot="1" x14ac:dyDescent="0.45">
      <c r="A38" s="76"/>
      <c r="B38" s="155"/>
      <c r="C38" s="155">
        <f>C36+C37</f>
        <v>65</v>
      </c>
      <c r="D38" s="156"/>
      <c r="E38" s="196"/>
      <c r="F38" s="157"/>
      <c r="G38" s="78">
        <v>5</v>
      </c>
      <c r="H38" s="79" t="str">
        <f ca="1">IF(OR(TRIM(D36)="-",TRIM(D37)="-"), IF(TRIM(D36)="-",D37,D36),IF(AND(E36="",E37="")," ",IF(N(E36)=N(E37)," ",IF(N(E36)&gt;N(E37),D36,D37))))</f>
        <v>23 PC Kolová - Horáček Jindřich</v>
      </c>
      <c r="I38" s="129"/>
      <c r="J38" s="148"/>
      <c r="K38" s="149"/>
      <c r="L38" s="182"/>
      <c r="M38" s="199"/>
      <c r="N38" s="149"/>
      <c r="O38" s="149"/>
      <c r="P38" s="176"/>
      <c r="Q38" s="200"/>
      <c r="R38" s="158"/>
      <c r="S38" s="161"/>
      <c r="T38" s="154"/>
      <c r="U38" s="40"/>
      <c r="V38" s="158"/>
      <c r="W38" s="177"/>
      <c r="X38" s="16"/>
      <c r="Y38" s="16"/>
      <c r="Z38" s="16"/>
      <c r="AA38" s="16"/>
      <c r="AB38" s="16"/>
      <c r="AC38" s="16"/>
      <c r="AD38" s="16"/>
      <c r="AE38" s="16"/>
      <c r="AF38" s="16"/>
      <c r="AG38" s="16"/>
      <c r="AH38" s="16"/>
      <c r="AI38" s="16"/>
      <c r="AJ38" s="16"/>
    </row>
    <row r="39" spans="1:36" ht="18.899999999999999" thickTop="1" thickBot="1" x14ac:dyDescent="0.5">
      <c r="A39" s="75"/>
      <c r="B39" s="159"/>
      <c r="C39" s="160"/>
      <c r="D39" s="296" t="s">
        <v>1680</v>
      </c>
      <c r="E39" s="297" t="str">
        <f ca="1">IF(OR(TRIM(D40)="-",TRIM(D41)="-"),"",VLOOKUP(MIN(C40,C41),Hřiště!$B$11:$E$42,4,0))</f>
        <v/>
      </c>
      <c r="F39" s="157"/>
      <c r="G39" s="80">
        <v>28</v>
      </c>
      <c r="H39" s="81" t="str">
        <f ca="1">IF(OR(TRIM(D40)="-",TRIM(D41)="-"), IF(TRIM(D40)="-",D41,D40),IF(AND(E40="",E41="")," ",IF(N(E40)=N(E41)," ",IF(N(E40)&gt;N(E41),D40,D41))))</f>
        <v xml:space="preserve"> - </v>
      </c>
      <c r="I39" s="130"/>
      <c r="J39" s="151"/>
      <c r="K39" s="161"/>
      <c r="L39" s="156"/>
      <c r="M39" s="197"/>
      <c r="N39" s="149"/>
      <c r="O39" s="149"/>
      <c r="P39" s="176"/>
      <c r="Q39" s="200"/>
      <c r="R39" s="158"/>
      <c r="S39" s="161"/>
      <c r="T39" s="154"/>
      <c r="U39" s="40"/>
      <c r="V39" s="158"/>
      <c r="W39" s="177"/>
      <c r="X39" s="16"/>
      <c r="Y39" s="16"/>
      <c r="Z39" s="16"/>
      <c r="AA39" s="16"/>
      <c r="AB39" s="16"/>
      <c r="AC39" s="16"/>
      <c r="AD39" s="16"/>
      <c r="AE39" s="16"/>
      <c r="AF39" s="16"/>
      <c r="AG39" s="16"/>
      <c r="AH39" s="16"/>
      <c r="AI39" s="16"/>
      <c r="AJ39" s="16"/>
    </row>
    <row r="40" spans="1:36" ht="18.45" thickTop="1" thickBot="1" x14ac:dyDescent="0.45">
      <c r="A40" s="86" t="str">
        <f ca="1">VLOOKUP(C40,Postupy!$A$3:$C$66,3,0)</f>
        <v/>
      </c>
      <c r="B40" s="147"/>
      <c r="C40" s="78">
        <v>37</v>
      </c>
      <c r="D40" s="79" t="str">
        <f ca="1">VLOOKUP(C40,Postupy!$A$3:$B$66,2,0)</f>
        <v xml:space="preserve"> - </v>
      </c>
      <c r="E40" s="129"/>
      <c r="F40" s="163"/>
      <c r="G40" s="170"/>
      <c r="H40" s="171"/>
      <c r="I40" s="201"/>
      <c r="J40" s="158"/>
      <c r="K40" s="161"/>
      <c r="L40" s="180"/>
      <c r="M40" s="197"/>
      <c r="N40" s="149"/>
      <c r="O40" s="149"/>
      <c r="P40" s="176"/>
      <c r="Q40" s="200"/>
      <c r="R40" s="158"/>
      <c r="S40" s="161"/>
      <c r="T40" s="149"/>
      <c r="U40" s="40"/>
      <c r="V40" s="158"/>
      <c r="W40" s="177"/>
      <c r="X40" s="16"/>
      <c r="Y40" s="16"/>
      <c r="Z40" s="16"/>
      <c r="AA40" s="16"/>
      <c r="AB40" s="16"/>
      <c r="AC40" s="16"/>
      <c r="AD40" s="16"/>
      <c r="AE40" s="16"/>
      <c r="AF40" s="16"/>
      <c r="AG40" s="16"/>
      <c r="AH40" s="16"/>
      <c r="AI40" s="16"/>
      <c r="AJ40" s="16"/>
    </row>
    <row r="41" spans="1:36" ht="18.899999999999999" thickTop="1" thickBot="1" x14ac:dyDescent="0.5">
      <c r="A41" s="86" t="str">
        <f ca="1">VLOOKUP(C41,Postupy!$A$3:$C$66,3,0)</f>
        <v/>
      </c>
      <c r="B41" s="147"/>
      <c r="C41" s="80">
        <v>28</v>
      </c>
      <c r="D41" s="81" t="str">
        <f ca="1">VLOOKUP(C41,Postupy!$A$3:$B$66,2,0)</f>
        <v xml:space="preserve"> - </v>
      </c>
      <c r="E41" s="130"/>
      <c r="F41" s="150"/>
      <c r="G41" s="149"/>
      <c r="H41" s="166"/>
      <c r="I41" s="200"/>
      <c r="J41" s="158"/>
      <c r="K41" s="152"/>
      <c r="L41" s="296" t="s">
        <v>1680</v>
      </c>
      <c r="M41" s="297" t="str">
        <f ca="1">IF(OR(TRIM(L42)="-",TRIM(L43)="-"),"",VLOOKUP(MIN(K42,K43),Hřiště!$B$11:$E$42,4,0))</f>
        <v/>
      </c>
      <c r="N41" s="168"/>
      <c r="O41" s="149"/>
      <c r="P41" s="176"/>
      <c r="Q41" s="200"/>
      <c r="R41" s="158"/>
      <c r="S41" s="161"/>
      <c r="T41" s="149"/>
      <c r="U41" s="40"/>
      <c r="V41" s="158"/>
      <c r="W41" s="177"/>
      <c r="X41" s="16"/>
      <c r="Y41" s="16"/>
      <c r="Z41" s="16"/>
      <c r="AA41" s="16"/>
      <c r="AB41" s="16"/>
      <c r="AC41" s="16"/>
      <c r="AD41" s="16"/>
      <c r="AE41" s="16"/>
      <c r="AF41" s="16"/>
      <c r="AG41" s="16"/>
      <c r="AH41" s="16"/>
      <c r="AI41" s="16"/>
      <c r="AJ41" s="16"/>
    </row>
    <row r="42" spans="1:36" ht="18.45" thickTop="1" thickBot="1" x14ac:dyDescent="0.45">
      <c r="A42" s="76"/>
      <c r="B42" s="155"/>
      <c r="C42" s="155">
        <f>C40+C41</f>
        <v>65</v>
      </c>
      <c r="D42" s="156"/>
      <c r="E42" s="196"/>
      <c r="F42" s="259">
        <f>C38+C42</f>
        <v>130</v>
      </c>
      <c r="G42" s="149"/>
      <c r="H42" s="169"/>
      <c r="I42" s="199"/>
      <c r="J42" s="149"/>
      <c r="K42" s="78">
        <v>5</v>
      </c>
      <c r="L42" s="79" t="str">
        <f ca="1">IF(OR(TRIM(H38)="-",TRIM(H39)="-"), IF(TRIM(H38)="-",H39,H38),IF(AND(I38="",I39="")," ",IF(N(I38)=N(I39)," ",IF(N(I38)&gt;N(I39),H38,H39))))</f>
        <v>23 PC Kolová - Horáček Jindřich</v>
      </c>
      <c r="M42" s="129"/>
      <c r="N42" s="148"/>
      <c r="O42" s="40"/>
      <c r="P42" s="176"/>
      <c r="Q42" s="200"/>
      <c r="R42" s="158"/>
      <c r="S42" s="161"/>
      <c r="T42" s="40"/>
      <c r="U42" s="40"/>
      <c r="V42" s="158"/>
      <c r="W42" s="177"/>
      <c r="X42" s="16"/>
      <c r="Y42" s="16"/>
      <c r="Z42" s="16"/>
      <c r="AA42" s="16"/>
      <c r="AB42" s="17"/>
      <c r="AC42" s="16"/>
      <c r="AD42" s="16"/>
      <c r="AE42" s="16"/>
      <c r="AF42" s="16"/>
      <c r="AG42" s="17"/>
      <c r="AH42" s="17"/>
      <c r="AI42" s="16"/>
      <c r="AJ42" s="16"/>
    </row>
    <row r="43" spans="1:36" ht="18.899999999999999" thickTop="1" thickBot="1" x14ac:dyDescent="0.5">
      <c r="A43" s="75"/>
      <c r="B43" s="159"/>
      <c r="C43" s="160"/>
      <c r="D43" s="296" t="s">
        <v>1680</v>
      </c>
      <c r="E43" s="297" t="str">
        <f ca="1">IF(OR(TRIM(D44)="-",TRIM(D45)="-"),"",VLOOKUP(MIN(C44,C45),Hřiště!$B$11:$E$42,4,0))</f>
        <v/>
      </c>
      <c r="F43" s="149"/>
      <c r="G43" s="149"/>
      <c r="H43" s="169"/>
      <c r="I43" s="199"/>
      <c r="J43" s="149"/>
      <c r="K43" s="80">
        <v>12</v>
      </c>
      <c r="L43" s="81" t="str">
        <f ca="1">IF(OR(TRIM(H46)="-",TRIM(H47)="-"), IF(TRIM(H46)="-",H47,H46),IF(AND(I46="",I47="")," ",IF(N(I46)=N(I47)," ",IF(N(I46)&gt;N(I47),H46,H47))))</f>
        <v>5 CdP Loděnice - Dlouhá Ivana</v>
      </c>
      <c r="M43" s="130"/>
      <c r="N43" s="151"/>
      <c r="O43" s="161"/>
      <c r="P43" s="176"/>
      <c r="Q43" s="200"/>
      <c r="R43" s="158"/>
      <c r="S43" s="161"/>
      <c r="T43" s="40"/>
      <c r="U43" s="40"/>
      <c r="V43" s="158"/>
      <c r="W43" s="177"/>
      <c r="X43" s="16"/>
      <c r="Y43" s="17"/>
      <c r="Z43" s="16"/>
      <c r="AA43" s="16"/>
      <c r="AB43" s="17"/>
      <c r="AC43" s="16"/>
      <c r="AD43" s="16"/>
      <c r="AE43" s="17"/>
      <c r="AF43" s="17"/>
      <c r="AG43" s="17"/>
      <c r="AH43" s="17"/>
      <c r="AI43" s="16"/>
      <c r="AJ43" s="16"/>
    </row>
    <row r="44" spans="1:36" ht="18.45" thickTop="1" thickBot="1" x14ac:dyDescent="0.45">
      <c r="A44" s="86" t="str">
        <f ca="1">VLOOKUP(C44,Postupy!$A$3:$C$66,3,0)</f>
        <v/>
      </c>
      <c r="B44" s="147"/>
      <c r="C44" s="78">
        <v>21</v>
      </c>
      <c r="D44" s="79" t="str">
        <f ca="1">VLOOKUP(C44,Postupy!$A$3:$B$66,2,0)</f>
        <v xml:space="preserve"> - </v>
      </c>
      <c r="E44" s="129"/>
      <c r="F44" s="152"/>
      <c r="G44" s="149"/>
      <c r="H44" s="166"/>
      <c r="I44" s="199"/>
      <c r="J44" s="158"/>
      <c r="K44" s="170"/>
      <c r="L44" s="171"/>
      <c r="M44" s="201"/>
      <c r="N44" s="149"/>
      <c r="O44" s="161"/>
      <c r="P44" s="176"/>
      <c r="Q44" s="200"/>
      <c r="R44" s="158"/>
      <c r="S44" s="161"/>
      <c r="T44" s="40"/>
      <c r="U44" s="40"/>
      <c r="V44" s="158"/>
      <c r="W44" s="177"/>
      <c r="X44" s="16"/>
      <c r="Y44" s="16"/>
      <c r="Z44" s="16"/>
      <c r="AA44" s="16"/>
      <c r="AB44" s="16"/>
      <c r="AC44" s="16"/>
      <c r="AD44" s="16"/>
      <c r="AE44" s="16"/>
      <c r="AF44" s="16"/>
      <c r="AG44" s="16"/>
      <c r="AH44" s="16"/>
      <c r="AI44" s="16"/>
      <c r="AJ44" s="16"/>
    </row>
    <row r="45" spans="1:36" ht="18.899999999999999" thickTop="1" thickBot="1" x14ac:dyDescent="0.5">
      <c r="A45" s="86" t="str">
        <f ca="1">VLOOKUP(C45,Postupy!$A$3:$C$66,3,0)</f>
        <v/>
      </c>
      <c r="B45" s="147"/>
      <c r="C45" s="80">
        <v>44</v>
      </c>
      <c r="D45" s="81" t="str">
        <f ca="1">VLOOKUP(C45,Postupy!$A$3:$B$66,2,0)</f>
        <v xml:space="preserve"> - </v>
      </c>
      <c r="E45" s="130"/>
      <c r="F45" s="172" t="s">
        <v>1681</v>
      </c>
      <c r="G45" s="152"/>
      <c r="H45" s="296" t="s">
        <v>1680</v>
      </c>
      <c r="I45" s="297" t="str">
        <f ca="1">IF(OR(TRIM(H46)="-",TRIM(H47)="-"),"",VLOOKUP(MIN(G46,G47),Hřiště!$B$11:$E$42,4,0))</f>
        <v/>
      </c>
      <c r="J45" s="158"/>
      <c r="K45" s="161"/>
      <c r="L45" s="169"/>
      <c r="M45" s="197"/>
      <c r="N45" s="149"/>
      <c r="O45" s="161"/>
      <c r="P45" s="176"/>
      <c r="Q45" s="200"/>
      <c r="R45" s="158"/>
      <c r="S45" s="161"/>
      <c r="T45" s="40"/>
      <c r="U45" s="40"/>
      <c r="V45" s="158"/>
      <c r="W45" s="177"/>
      <c r="X45" s="16"/>
      <c r="Y45" s="16"/>
      <c r="Z45" s="16"/>
      <c r="AA45" s="16"/>
      <c r="AB45" s="16"/>
      <c r="AC45" s="16"/>
      <c r="AD45" s="16"/>
      <c r="AE45" s="16"/>
      <c r="AF45" s="16"/>
      <c r="AG45" s="16"/>
      <c r="AH45" s="16"/>
      <c r="AI45" s="16"/>
      <c r="AJ45" s="16"/>
    </row>
    <row r="46" spans="1:36" ht="18.45" thickTop="1" thickBot="1" x14ac:dyDescent="0.45">
      <c r="A46" s="76"/>
      <c r="B46" s="155"/>
      <c r="C46" s="155">
        <f>C44+C45</f>
        <v>65</v>
      </c>
      <c r="D46" s="156"/>
      <c r="E46" s="196"/>
      <c r="F46" s="157"/>
      <c r="G46" s="78">
        <v>21</v>
      </c>
      <c r="H46" s="79" t="str">
        <f ca="1">IF(OR(TRIM(D44)="-",TRIM(D45)="-"), IF(TRIM(D44)="-",D45,D44),IF(AND(E44="",E45="")," ",IF(N(E44)=N(E45)," ",IF(N(E44)&gt;N(E45),D44,D45))))</f>
        <v xml:space="preserve"> - </v>
      </c>
      <c r="I46" s="129"/>
      <c r="J46" s="163"/>
      <c r="K46" s="161"/>
      <c r="L46" s="169"/>
      <c r="M46" s="197"/>
      <c r="N46" s="149"/>
      <c r="O46" s="161"/>
      <c r="P46" s="176"/>
      <c r="Q46" s="200"/>
      <c r="R46" s="158"/>
      <c r="S46" s="161"/>
      <c r="T46" s="40"/>
      <c r="U46" s="40"/>
      <c r="V46" s="158"/>
      <c r="W46" s="177"/>
      <c r="X46" s="16"/>
      <c r="Y46" s="16"/>
      <c r="Z46" s="16"/>
      <c r="AA46" s="16"/>
      <c r="AB46" s="16"/>
      <c r="AC46" s="16"/>
      <c r="AD46" s="16"/>
      <c r="AE46" s="16"/>
      <c r="AF46" s="16"/>
      <c r="AG46" s="16"/>
      <c r="AH46" s="16"/>
      <c r="AI46" s="16"/>
      <c r="AJ46" s="16"/>
    </row>
    <row r="47" spans="1:36" ht="18.899999999999999" thickTop="1" thickBot="1" x14ac:dyDescent="0.5">
      <c r="A47" s="75"/>
      <c r="B47" s="159"/>
      <c r="C47" s="160"/>
      <c r="D47" s="296" t="s">
        <v>1680</v>
      </c>
      <c r="E47" s="297" t="str">
        <f ca="1">IF(OR(TRIM(D48)="-",TRIM(D49)="-"),"",VLOOKUP(MIN(C48,C49),Hřiště!$B$11:$E$42,4,0))</f>
        <v/>
      </c>
      <c r="F47" s="168"/>
      <c r="G47" s="80">
        <v>12</v>
      </c>
      <c r="H47" s="81" t="str">
        <f ca="1">IF(OR(TRIM(D48)="-",TRIM(D49)="-"), IF(TRIM(D48)="-",D49,D48),IF(AND(E48="",E49="")," ",IF(N(E48)=N(E49)," ",IF(N(E48)&gt;N(E49),D48,D49))))</f>
        <v>5 CdP Loděnice - Dlouhá Ivana</v>
      </c>
      <c r="I47" s="130"/>
      <c r="J47" s="150"/>
      <c r="K47" s="149"/>
      <c r="L47" s="169"/>
      <c r="M47" s="199"/>
      <c r="N47" s="149"/>
      <c r="O47" s="161"/>
      <c r="P47" s="176"/>
      <c r="Q47" s="200"/>
      <c r="R47" s="158"/>
      <c r="S47" s="161"/>
      <c r="T47" s="40"/>
      <c r="U47" s="40"/>
      <c r="V47" s="158"/>
      <c r="W47" s="177"/>
      <c r="X47" s="16"/>
      <c r="Y47" s="16"/>
      <c r="Z47" s="16"/>
      <c r="AA47" s="16"/>
      <c r="AB47" s="16"/>
      <c r="AC47" s="16"/>
      <c r="AD47" s="16"/>
      <c r="AE47" s="16"/>
      <c r="AF47" s="16"/>
      <c r="AG47" s="16"/>
      <c r="AH47" s="16"/>
      <c r="AI47" s="16"/>
      <c r="AJ47" s="16"/>
    </row>
    <row r="48" spans="1:36" ht="18.45" thickTop="1" thickBot="1" x14ac:dyDescent="0.45">
      <c r="A48" s="86" t="str">
        <f ca="1">VLOOKUP(C48,Postupy!$A$3:$C$66,3,0)</f>
        <v/>
      </c>
      <c r="B48" s="147"/>
      <c r="C48" s="78">
        <v>53</v>
      </c>
      <c r="D48" s="79" t="str">
        <f ca="1">VLOOKUP(C48,Postupy!$A$3:$B$66,2,0)</f>
        <v xml:space="preserve"> - </v>
      </c>
      <c r="E48" s="129"/>
      <c r="F48" s="173"/>
      <c r="G48" s="170"/>
      <c r="H48" s="171"/>
      <c r="I48" s="201"/>
      <c r="J48" s="149"/>
      <c r="K48" s="149"/>
      <c r="L48" s="166"/>
      <c r="M48" s="199"/>
      <c r="N48" s="149"/>
      <c r="O48" s="161"/>
      <c r="P48" s="180"/>
      <c r="Q48" s="200"/>
      <c r="R48" s="158"/>
      <c r="S48" s="161"/>
      <c r="T48" s="40"/>
      <c r="U48" s="40"/>
      <c r="V48" s="158"/>
      <c r="W48" s="177"/>
      <c r="X48" s="16"/>
      <c r="Y48" s="16"/>
      <c r="Z48" s="16"/>
      <c r="AA48" s="16"/>
      <c r="AB48" s="16"/>
      <c r="AC48" s="16"/>
      <c r="AD48" s="16"/>
      <c r="AE48" s="16"/>
      <c r="AF48" s="16"/>
      <c r="AG48" s="16"/>
      <c r="AH48" s="16"/>
      <c r="AI48" s="16"/>
      <c r="AJ48" s="16"/>
    </row>
    <row r="49" spans="1:36" ht="18.899999999999999" thickTop="1" thickBot="1" x14ac:dyDescent="0.5">
      <c r="A49" s="86">
        <f ca="1">VLOOKUP(C49,Postupy!$A$3:$C$66,3,0)</f>
        <v>5</v>
      </c>
      <c r="B49" s="147"/>
      <c r="C49" s="80">
        <v>12</v>
      </c>
      <c r="D49" s="81" t="str">
        <f ca="1">VLOOKUP(C49,Postupy!$A$3:$B$66,2,0)</f>
        <v>5 CdP Loděnice - Dlouhá Ivana</v>
      </c>
      <c r="E49" s="130"/>
      <c r="F49" s="174"/>
      <c r="G49" s="149"/>
      <c r="H49" s="166"/>
      <c r="I49" s="199"/>
      <c r="J49" s="149"/>
      <c r="K49" s="149"/>
      <c r="L49" s="175"/>
      <c r="M49" s="200"/>
      <c r="N49" s="158"/>
      <c r="O49" s="161"/>
      <c r="P49" s="296" t="s">
        <v>1680</v>
      </c>
      <c r="Q49" s="297" t="str">
        <f ca="1">IF(OR(TRIM(P50)="-",TRIM(P51)="-"),"",VLOOKUP(MIN(O50,O51),Hřiště!$B$11:$E$42,4,0))</f>
        <v/>
      </c>
      <c r="R49" s="158"/>
      <c r="S49" s="161"/>
      <c r="T49" s="40"/>
      <c r="U49" s="40"/>
      <c r="V49" s="158"/>
      <c r="W49" s="177"/>
      <c r="X49" s="16"/>
      <c r="Y49" s="16"/>
      <c r="Z49" s="16"/>
      <c r="AA49" s="16"/>
      <c r="AB49" s="16"/>
      <c r="AC49" s="16"/>
      <c r="AD49" s="16"/>
      <c r="AE49" s="16"/>
      <c r="AF49" s="16"/>
      <c r="AG49" s="16"/>
      <c r="AH49" s="16"/>
      <c r="AI49" s="16"/>
      <c r="AJ49" s="16"/>
    </row>
    <row r="50" spans="1:36" ht="18.45" thickTop="1" thickBot="1" x14ac:dyDescent="0.45">
      <c r="A50" s="76"/>
      <c r="B50" s="155"/>
      <c r="C50" s="155">
        <f>C48+C49</f>
        <v>65</v>
      </c>
      <c r="D50" s="156"/>
      <c r="E50" s="196"/>
      <c r="F50" s="259">
        <f>C46+C50</f>
        <v>130</v>
      </c>
      <c r="G50" s="149"/>
      <c r="H50" s="169"/>
      <c r="I50" s="199"/>
      <c r="J50" s="149"/>
      <c r="K50" s="149"/>
      <c r="L50" s="176"/>
      <c r="M50" s="200"/>
      <c r="N50" s="158"/>
      <c r="O50" s="78">
        <v>5</v>
      </c>
      <c r="P50" s="79" t="str">
        <f ca="1">IF(OR(TRIM(L42)="-",TRIM(L43)="-"), IF(TRIM(L42)="-",L43,L42),IF(AND(M42="",M43="")," ",IF(N(M42)=N(M43)," ",IF(N(M42)&gt;N(M43),L42,L43))))</f>
        <v xml:space="preserve"> </v>
      </c>
      <c r="Q50" s="129"/>
      <c r="R50" s="163"/>
      <c r="S50" s="161"/>
      <c r="T50" s="40"/>
      <c r="U50" s="40"/>
      <c r="V50" s="158"/>
      <c r="W50" s="177"/>
      <c r="X50" s="16"/>
      <c r="Y50" s="16"/>
      <c r="Z50" s="16"/>
      <c r="AA50" s="16"/>
      <c r="AB50" s="16"/>
      <c r="AC50" s="16"/>
      <c r="AD50" s="16"/>
      <c r="AE50" s="16"/>
      <c r="AF50" s="16"/>
      <c r="AG50" s="16"/>
      <c r="AH50" s="16"/>
      <c r="AI50" s="16"/>
      <c r="AJ50" s="16"/>
    </row>
    <row r="51" spans="1:36" ht="18.899999999999999" thickTop="1" thickBot="1" x14ac:dyDescent="0.5">
      <c r="A51" s="75"/>
      <c r="B51" s="159"/>
      <c r="C51" s="160"/>
      <c r="D51" s="296" t="s">
        <v>1680</v>
      </c>
      <c r="E51" s="297" t="str">
        <f ca="1">IF(OR(TRIM(D52)="-",TRIM(D53)="-"),"",VLOOKUP(MIN(C52,C53),Hřiště!$B$11:$E$42,4,0))</f>
        <v/>
      </c>
      <c r="F51" s="149"/>
      <c r="G51" s="149"/>
      <c r="H51" s="169"/>
      <c r="I51" s="199"/>
      <c r="J51" s="149"/>
      <c r="K51" s="149"/>
      <c r="L51" s="176"/>
      <c r="M51" s="200"/>
      <c r="N51" s="158"/>
      <c r="O51" s="80">
        <v>4</v>
      </c>
      <c r="P51" s="81" t="str">
        <f ca="1">IF(OR(TRIM(L58)="-",TRIM(L59)="-"),IF(TRIM(L58)="-",L59,L58),IF(AND(M58="",M59="")," ",IF(N(M58)=N(M59)," ",IF(N(M58)&gt;N(M59),L58,L59))))</f>
        <v xml:space="preserve"> </v>
      </c>
      <c r="Q51" s="130"/>
      <c r="R51" s="150"/>
      <c r="S51" s="149"/>
      <c r="T51" s="40"/>
      <c r="U51" s="149"/>
      <c r="V51" s="158"/>
      <c r="W51" s="177"/>
      <c r="X51" s="16"/>
      <c r="Y51" s="16"/>
      <c r="Z51" s="16"/>
      <c r="AA51" s="16"/>
      <c r="AB51" s="16"/>
      <c r="AC51" s="16"/>
      <c r="AD51" s="16"/>
      <c r="AE51" s="16"/>
      <c r="AF51" s="16"/>
      <c r="AG51" s="16"/>
      <c r="AH51" s="16"/>
      <c r="AI51" s="16"/>
      <c r="AJ51" s="16"/>
    </row>
    <row r="52" spans="1:36" ht="18.45" thickTop="1" thickBot="1" x14ac:dyDescent="0.45">
      <c r="A52" s="86">
        <f ca="1">VLOOKUP(C52,Postupy!$A$3:$C$66,3,0)</f>
        <v>52</v>
      </c>
      <c r="B52" s="147"/>
      <c r="C52" s="78">
        <v>13</v>
      </c>
      <c r="D52" s="79" t="str">
        <f ca="1">VLOOKUP(C52,Postupy!$A$3:$B$66,2,0)</f>
        <v xml:space="preserve">52   - Jesper R, Dánsko  </v>
      </c>
      <c r="E52" s="129"/>
      <c r="F52" s="152"/>
      <c r="G52" s="149"/>
      <c r="H52" s="166"/>
      <c r="I52" s="199"/>
      <c r="J52" s="149"/>
      <c r="K52" s="149"/>
      <c r="L52" s="176"/>
      <c r="M52" s="200"/>
      <c r="N52" s="157"/>
      <c r="O52" s="170"/>
      <c r="P52" s="183"/>
      <c r="Q52" s="197"/>
      <c r="R52" s="149"/>
      <c r="S52" s="149"/>
      <c r="T52" s="40"/>
      <c r="U52" s="149"/>
      <c r="V52" s="158"/>
      <c r="W52" s="177"/>
      <c r="X52" s="16"/>
      <c r="Y52" s="16"/>
      <c r="Z52" s="16"/>
      <c r="AA52" s="16"/>
      <c r="AB52" s="16"/>
      <c r="AC52" s="16"/>
      <c r="AD52" s="16"/>
      <c r="AE52" s="16"/>
      <c r="AF52" s="16"/>
      <c r="AG52" s="16"/>
      <c r="AH52" s="16"/>
      <c r="AI52" s="16"/>
      <c r="AJ52" s="16"/>
    </row>
    <row r="53" spans="1:36" ht="18.899999999999999" thickTop="1" thickBot="1" x14ac:dyDescent="0.5">
      <c r="A53" s="86" t="str">
        <f ca="1">VLOOKUP(C53,Postupy!$A$3:$C$66,3,0)</f>
        <v/>
      </c>
      <c r="B53" s="147"/>
      <c r="C53" s="80">
        <v>52</v>
      </c>
      <c r="D53" s="81" t="str">
        <f ca="1">VLOOKUP(C53,Postupy!$A$3:$B$66,2,0)</f>
        <v xml:space="preserve"> - </v>
      </c>
      <c r="E53" s="130"/>
      <c r="F53" s="178"/>
      <c r="G53" s="152"/>
      <c r="H53" s="296" t="s">
        <v>1680</v>
      </c>
      <c r="I53" s="297" t="str">
        <f ca="1">IF(OR(TRIM(H54)="-",TRIM(H55)="-"),"",VLOOKUP(MIN(G54,G55),Hřiště!$B$11:$E$42,4,0))</f>
        <v/>
      </c>
      <c r="J53" s="149"/>
      <c r="K53" s="149"/>
      <c r="L53" s="176"/>
      <c r="M53" s="200"/>
      <c r="N53" s="157"/>
      <c r="O53" s="40"/>
      <c r="P53" s="154"/>
      <c r="Q53" s="197"/>
      <c r="R53" s="149"/>
      <c r="S53" s="149"/>
      <c r="T53" s="40"/>
      <c r="U53" s="149"/>
      <c r="V53" s="158"/>
      <c r="W53" s="177"/>
      <c r="X53" s="16"/>
      <c r="Y53" s="16"/>
      <c r="Z53" s="16"/>
      <c r="AA53" s="16"/>
      <c r="AB53" s="16"/>
      <c r="AC53" s="16"/>
      <c r="AD53" s="16"/>
      <c r="AE53" s="16"/>
      <c r="AF53" s="16"/>
      <c r="AG53" s="16"/>
      <c r="AH53" s="16"/>
      <c r="AI53" s="16"/>
      <c r="AJ53" s="16"/>
    </row>
    <row r="54" spans="1:36" ht="18.45" thickTop="1" thickBot="1" x14ac:dyDescent="0.45">
      <c r="A54" s="76"/>
      <c r="B54" s="155"/>
      <c r="C54" s="155">
        <f>C52+C53</f>
        <v>65</v>
      </c>
      <c r="D54" s="156"/>
      <c r="E54" s="196"/>
      <c r="F54" s="157"/>
      <c r="G54" s="78">
        <v>13</v>
      </c>
      <c r="H54" s="79" t="str">
        <f ca="1">IF(OR(TRIM(D52)="-",TRIM(D53)="-"), IF(TRIM(D52)="-",D53,D52),IF(AND(E52="",E53="")," ",IF(N(E52)=N(E53)," ",IF(N(E52)&gt;N(E53),D52,D53))))</f>
        <v xml:space="preserve">52   - Jesper R, Dánsko  </v>
      </c>
      <c r="I54" s="129"/>
      <c r="J54" s="148"/>
      <c r="K54" s="149"/>
      <c r="L54" s="176"/>
      <c r="M54" s="200"/>
      <c r="N54" s="157"/>
      <c r="O54" s="40"/>
      <c r="P54" s="154"/>
      <c r="Q54" s="197"/>
      <c r="R54" s="149"/>
      <c r="S54" s="149"/>
      <c r="T54" s="149"/>
      <c r="U54" s="149"/>
      <c r="V54" s="158"/>
      <c r="W54" s="177"/>
      <c r="X54" s="16"/>
      <c r="Y54" s="16"/>
      <c r="Z54" s="16"/>
      <c r="AA54" s="16"/>
      <c r="AB54" s="16"/>
      <c r="AC54" s="16"/>
      <c r="AD54" s="16"/>
      <c r="AE54" s="16"/>
      <c r="AF54" s="16"/>
      <c r="AG54" s="16"/>
      <c r="AH54" s="16"/>
      <c r="AI54" s="16"/>
      <c r="AJ54" s="16"/>
    </row>
    <row r="55" spans="1:36" ht="18.899999999999999" thickTop="1" thickBot="1" x14ac:dyDescent="0.5">
      <c r="A55" s="75"/>
      <c r="B55" s="159"/>
      <c r="C55" s="160"/>
      <c r="D55" s="296" t="s">
        <v>1680</v>
      </c>
      <c r="E55" s="297" t="str">
        <f ca="1">IF(OR(TRIM(D56)="-",TRIM(D57)="-"),"",VLOOKUP(MIN(C56,C57),Hřiště!$B$11:$E$42,4,0))</f>
        <v/>
      </c>
      <c r="F55" s="157"/>
      <c r="G55" s="80">
        <v>20</v>
      </c>
      <c r="H55" s="81" t="str">
        <f ca="1">IF(OR(TRIM(D56)="-",TRIM(D57)="-"), IF(TRIM(D56)="-",D57,D56),IF(AND(E56="",E57="")," ",IF(N(E56)=N(E57)," ",IF(N(E56)&gt;N(E57),D56,D57))))</f>
        <v xml:space="preserve"> - </v>
      </c>
      <c r="I55" s="130"/>
      <c r="J55" s="151"/>
      <c r="K55" s="161"/>
      <c r="L55" s="176"/>
      <c r="M55" s="200"/>
      <c r="N55" s="157"/>
      <c r="O55" s="40"/>
      <c r="P55" s="154"/>
      <c r="Q55" s="197"/>
      <c r="R55" s="149"/>
      <c r="S55" s="149"/>
      <c r="T55" s="149"/>
      <c r="U55" s="149"/>
      <c r="V55" s="158"/>
      <c r="W55" s="177"/>
      <c r="X55" s="16"/>
      <c r="Y55" s="16"/>
      <c r="Z55" s="16"/>
      <c r="AA55" s="16"/>
      <c r="AB55" s="16"/>
      <c r="AC55" s="16"/>
      <c r="AD55" s="16"/>
      <c r="AE55" s="16"/>
      <c r="AF55" s="16"/>
      <c r="AG55" s="16"/>
      <c r="AH55" s="16"/>
      <c r="AI55" s="16"/>
      <c r="AJ55" s="16"/>
    </row>
    <row r="56" spans="1:36" ht="18.45" thickTop="1" thickBot="1" x14ac:dyDescent="0.45">
      <c r="A56" s="86" t="str">
        <f ca="1">VLOOKUP(C56,Postupy!$A$3:$C$66,3,0)</f>
        <v/>
      </c>
      <c r="B56" s="147"/>
      <c r="C56" s="78">
        <v>45</v>
      </c>
      <c r="D56" s="79" t="str">
        <f ca="1">VLOOKUP(C56,Postupy!$A$3:$B$66,2,0)</f>
        <v xml:space="preserve"> - </v>
      </c>
      <c r="E56" s="129"/>
      <c r="F56" s="163"/>
      <c r="G56" s="170"/>
      <c r="H56" s="171"/>
      <c r="I56" s="201"/>
      <c r="J56" s="158"/>
      <c r="K56" s="161"/>
      <c r="L56" s="180"/>
      <c r="M56" s="200"/>
      <c r="N56" s="157"/>
      <c r="O56" s="40"/>
      <c r="P56" s="154"/>
      <c r="Q56" s="197"/>
      <c r="R56" s="149"/>
      <c r="S56" s="149"/>
      <c r="T56" s="149"/>
      <c r="U56" s="149"/>
      <c r="V56" s="158"/>
      <c r="W56" s="177"/>
      <c r="X56" s="16"/>
      <c r="Y56" s="16"/>
      <c r="Z56" s="16"/>
      <c r="AA56" s="16"/>
      <c r="AB56" s="16"/>
      <c r="AC56" s="16"/>
      <c r="AD56" s="16"/>
      <c r="AE56" s="16"/>
      <c r="AF56" s="16"/>
      <c r="AG56" s="16"/>
      <c r="AH56" s="16"/>
      <c r="AI56" s="16"/>
      <c r="AJ56" s="16"/>
    </row>
    <row r="57" spans="1:36" ht="18.899999999999999" thickTop="1" thickBot="1" x14ac:dyDescent="0.5">
      <c r="A57" s="86" t="str">
        <f ca="1">VLOOKUP(C57,Postupy!$A$3:$C$66,3,0)</f>
        <v/>
      </c>
      <c r="B57" s="147"/>
      <c r="C57" s="80">
        <v>20</v>
      </c>
      <c r="D57" s="81" t="str">
        <f ca="1">VLOOKUP(C57,Postupy!$A$3:$B$66,2,0)</f>
        <v xml:space="preserve"> - </v>
      </c>
      <c r="E57" s="130"/>
      <c r="F57" s="150"/>
      <c r="G57" s="149"/>
      <c r="H57" s="166"/>
      <c r="I57" s="199"/>
      <c r="J57" s="158"/>
      <c r="K57" s="152"/>
      <c r="L57" s="296" t="s">
        <v>1680</v>
      </c>
      <c r="M57" s="297" t="str">
        <f ca="1">IF(OR(TRIM(L58)="-",TRIM(L59)="-"),"",VLOOKUP(MIN(K58,K59),Hřiště!$B$11:$E$42,4,0))</f>
        <v/>
      </c>
      <c r="N57" s="181"/>
      <c r="O57" s="40"/>
      <c r="P57" s="154"/>
      <c r="Q57" s="197"/>
      <c r="R57" s="149"/>
      <c r="S57" s="149"/>
      <c r="T57" s="149"/>
      <c r="U57" s="149"/>
      <c r="V57" s="158"/>
      <c r="W57" s="177"/>
      <c r="X57" s="16"/>
      <c r="Y57" s="16"/>
      <c r="Z57" s="16"/>
      <c r="AA57" s="16"/>
      <c r="AB57" s="16"/>
      <c r="AC57" s="16"/>
      <c r="AD57" s="16"/>
      <c r="AE57" s="16"/>
      <c r="AF57" s="16"/>
      <c r="AG57" s="16"/>
      <c r="AH57" s="16"/>
      <c r="AI57" s="16"/>
      <c r="AJ57" s="16"/>
    </row>
    <row r="58" spans="1:36" ht="18.45" thickTop="1" thickBot="1" x14ac:dyDescent="0.45">
      <c r="A58" s="76"/>
      <c r="B58" s="155"/>
      <c r="C58" s="155">
        <f>C56+C57</f>
        <v>65</v>
      </c>
      <c r="D58" s="156"/>
      <c r="E58" s="196"/>
      <c r="F58" s="259">
        <f>C54+C58</f>
        <v>130</v>
      </c>
      <c r="G58" s="149"/>
      <c r="H58" s="169"/>
      <c r="I58" s="199"/>
      <c r="J58" s="149"/>
      <c r="K58" s="78">
        <v>13</v>
      </c>
      <c r="L58" s="79" t="str">
        <f ca="1">IF(OR(TRIM(H54)="-",TRIM(H55)="-"), IF(TRIM(H54)="-",H55,H54),IF(AND(I54="",I55="")," ",IF(N(I54)=N(I55)," ",IF(N(I54)&gt;N(I55),H54,H55))))</f>
        <v xml:space="preserve">52   - Jesper R, Dánsko  </v>
      </c>
      <c r="M58" s="129"/>
      <c r="N58" s="163"/>
      <c r="O58" s="149"/>
      <c r="P58" s="154"/>
      <c r="Q58" s="199"/>
      <c r="R58" s="149"/>
      <c r="S58" s="149"/>
      <c r="T58" s="149"/>
      <c r="U58" s="149"/>
      <c r="V58" s="158"/>
      <c r="W58" s="177"/>
      <c r="X58" s="16"/>
      <c r="Y58" s="16"/>
      <c r="Z58" s="16"/>
      <c r="AA58" s="16"/>
      <c r="AB58" s="16"/>
      <c r="AC58" s="16"/>
      <c r="AD58" s="16"/>
      <c r="AE58" s="16"/>
      <c r="AF58" s="16"/>
      <c r="AG58" s="16"/>
      <c r="AH58" s="16"/>
      <c r="AI58" s="16"/>
      <c r="AJ58" s="16"/>
    </row>
    <row r="59" spans="1:36" ht="18.899999999999999" thickTop="1" thickBot="1" x14ac:dyDescent="0.5">
      <c r="A59" s="75"/>
      <c r="B59" s="159"/>
      <c r="C59" s="160"/>
      <c r="D59" s="296" t="s">
        <v>1680</v>
      </c>
      <c r="E59" s="297" t="str">
        <f ca="1">IF(OR(TRIM(D60)="-",TRIM(D61)="-"),"",VLOOKUP(MIN(C60,C61),Hřiště!$B$11:$E$42,4,0))</f>
        <v/>
      </c>
      <c r="F59" s="149"/>
      <c r="G59" s="149"/>
      <c r="H59" s="169"/>
      <c r="I59" s="199"/>
      <c r="J59" s="149"/>
      <c r="K59" s="80">
        <v>4</v>
      </c>
      <c r="L59" s="81" t="str">
        <f ca="1">IF(OR(TRIM(H62)="-",TRIM(H63)="-"), IF(TRIM(H62)="-",H63,H62),IF(AND(I62="",I63="")," ",IF(N(I62)=N(I63)," ",IF(N(I62)&gt;N(I63),H62,H63))))</f>
        <v>7 1. KPK Vrchlabí - Semeniv Maryana Khrystyna</v>
      </c>
      <c r="M59" s="130"/>
      <c r="N59" s="150"/>
      <c r="O59" s="149"/>
      <c r="P59" s="154"/>
      <c r="Q59" s="199"/>
      <c r="R59" s="149"/>
      <c r="S59" s="149"/>
      <c r="T59" s="149"/>
      <c r="U59" s="149"/>
      <c r="V59" s="158"/>
      <c r="W59" s="177"/>
      <c r="X59" s="16"/>
      <c r="Y59" s="16"/>
      <c r="Z59" s="16"/>
      <c r="AA59" s="16"/>
      <c r="AB59" s="16"/>
      <c r="AC59" s="16"/>
      <c r="AD59" s="16"/>
      <c r="AE59" s="16"/>
      <c r="AF59" s="16"/>
      <c r="AG59" s="16"/>
      <c r="AH59" s="16"/>
      <c r="AI59" s="16"/>
      <c r="AJ59" s="16"/>
    </row>
    <row r="60" spans="1:36" ht="18.45" thickTop="1" thickBot="1" x14ac:dyDescent="0.45">
      <c r="A60" s="86" t="str">
        <f ca="1">VLOOKUP(C60,Postupy!$A$3:$C$66,3,0)</f>
        <v/>
      </c>
      <c r="B60" s="147"/>
      <c r="C60" s="78">
        <v>29</v>
      </c>
      <c r="D60" s="79" t="str">
        <f ca="1">VLOOKUP(C60,Postupy!$A$3:$B$66,2,0)</f>
        <v xml:space="preserve"> - </v>
      </c>
      <c r="E60" s="129"/>
      <c r="F60" s="152"/>
      <c r="G60" s="149"/>
      <c r="H60" s="166"/>
      <c r="I60" s="200"/>
      <c r="J60" s="158"/>
      <c r="K60" s="170"/>
      <c r="L60" s="183"/>
      <c r="M60" s="201"/>
      <c r="N60" s="149"/>
      <c r="O60" s="149"/>
      <c r="P60" s="149"/>
      <c r="Q60" s="199"/>
      <c r="R60" s="149"/>
      <c r="S60" s="149"/>
      <c r="T60" s="149"/>
      <c r="U60" s="149"/>
      <c r="V60" s="158"/>
      <c r="W60" s="177"/>
      <c r="X60" s="16"/>
      <c r="Y60" s="16"/>
      <c r="Z60" s="16"/>
      <c r="AA60" s="16"/>
      <c r="AB60" s="16"/>
      <c r="AC60" s="16"/>
      <c r="AD60" s="16"/>
      <c r="AE60" s="16"/>
      <c r="AF60" s="16"/>
      <c r="AG60" s="16"/>
      <c r="AH60" s="16"/>
      <c r="AI60" s="16"/>
      <c r="AJ60" s="16"/>
    </row>
    <row r="61" spans="1:36" ht="18.899999999999999" thickTop="1" thickBot="1" x14ac:dyDescent="0.5">
      <c r="A61" s="86" t="str">
        <f ca="1">VLOOKUP(C61,Postupy!$A$3:$C$66,3,0)</f>
        <v/>
      </c>
      <c r="B61" s="147"/>
      <c r="C61" s="80">
        <v>36</v>
      </c>
      <c r="D61" s="81" t="str">
        <f ca="1">VLOOKUP(C61,Postupy!$A$3:$B$66,2,0)</f>
        <v xml:space="preserve"> - </v>
      </c>
      <c r="E61" s="130"/>
      <c r="F61" s="172" t="s">
        <v>1681</v>
      </c>
      <c r="G61" s="152"/>
      <c r="H61" s="296" t="s">
        <v>1680</v>
      </c>
      <c r="I61" s="297" t="str">
        <f ca="1">IF(OR(TRIM(H62)="-",TRIM(H63)="-"),"",VLOOKUP(MIN(G62,G63),Hřiště!$B$11:$E$42,4,0))</f>
        <v/>
      </c>
      <c r="J61" s="158"/>
      <c r="K61" s="161"/>
      <c r="L61" s="154"/>
      <c r="M61" s="197"/>
      <c r="N61" s="149"/>
      <c r="O61" s="149"/>
      <c r="P61" s="149"/>
      <c r="Q61" s="199"/>
      <c r="R61" s="149"/>
      <c r="S61" s="149"/>
      <c r="T61" s="149"/>
      <c r="U61" s="149"/>
      <c r="V61" s="158"/>
      <c r="W61" s="177"/>
      <c r="X61" s="16"/>
      <c r="Y61" s="16"/>
      <c r="Z61" s="16"/>
      <c r="AA61" s="16"/>
      <c r="AB61" s="16"/>
      <c r="AC61" s="16"/>
      <c r="AD61" s="16"/>
      <c r="AE61" s="16"/>
      <c r="AF61" s="16"/>
      <c r="AG61" s="16"/>
      <c r="AH61" s="16"/>
      <c r="AI61" s="16"/>
      <c r="AJ61" s="16"/>
    </row>
    <row r="62" spans="1:36" ht="18.45" thickTop="1" thickBot="1" x14ac:dyDescent="0.45">
      <c r="A62" s="76"/>
      <c r="B62" s="155"/>
      <c r="C62" s="155">
        <f>C60+C61</f>
        <v>65</v>
      </c>
      <c r="D62" s="156"/>
      <c r="E62" s="196"/>
      <c r="F62" s="22"/>
      <c r="G62" s="78">
        <v>29</v>
      </c>
      <c r="H62" s="79" t="str">
        <f ca="1">IF(OR(TRIM(D60)="-",TRIM(D61)="-"), IF(TRIM(D60)="-",D61,D60),IF(AND(E60="",E61="")," ",IF(N(E60)=N(E61)," ",IF(N(E60)&gt;N(E61),D60,D61))))</f>
        <v xml:space="preserve"> - </v>
      </c>
      <c r="I62" s="129"/>
      <c r="J62" s="163"/>
      <c r="K62" s="161"/>
      <c r="L62" s="154"/>
      <c r="M62" s="197"/>
      <c r="N62" s="149"/>
      <c r="O62" s="149"/>
      <c r="P62" s="149"/>
      <c r="Q62" s="199"/>
      <c r="R62" s="149"/>
      <c r="S62" s="149"/>
      <c r="T62" s="149"/>
      <c r="U62" s="149"/>
      <c r="V62" s="158"/>
      <c r="W62" s="177"/>
      <c r="X62" s="16"/>
      <c r="Y62" s="16"/>
      <c r="Z62" s="16"/>
      <c r="AA62" s="16"/>
      <c r="AB62" s="16"/>
      <c r="AC62" s="16"/>
      <c r="AD62" s="16"/>
      <c r="AE62" s="16"/>
      <c r="AF62" s="16"/>
      <c r="AG62" s="16"/>
      <c r="AH62" s="16"/>
      <c r="AI62" s="16"/>
      <c r="AJ62" s="16"/>
    </row>
    <row r="63" spans="1:36" ht="18.899999999999999" thickTop="1" thickBot="1" x14ac:dyDescent="0.5">
      <c r="A63" s="75"/>
      <c r="B63" s="159"/>
      <c r="C63" s="160"/>
      <c r="D63" s="296" t="s">
        <v>1680</v>
      </c>
      <c r="E63" s="297" t="str">
        <f ca="1">IF(OR(TRIM(D64)="-",TRIM(D65)="-"),"",VLOOKUP(MIN(C64,C65),Hřiště!$B$11:$E$42,4,0))</f>
        <v/>
      </c>
      <c r="F63" s="168"/>
      <c r="G63" s="80">
        <v>4</v>
      </c>
      <c r="H63" s="81" t="str">
        <f ca="1">IF(OR(TRIM(D64)="-",TRIM(D65)="-"), IF(TRIM(D64)="-",D65,D64),IF(AND(E64="",E65="")," ",IF(N(E64)=N(E65)," ",IF(N(E64)&gt;N(E65),D64,D65))))</f>
        <v>7 1. KPK Vrchlabí - Semeniv Maryana Khrystyna</v>
      </c>
      <c r="I63" s="130"/>
      <c r="J63" s="150"/>
      <c r="K63" s="149"/>
      <c r="L63" s="154"/>
      <c r="M63" s="199"/>
      <c r="N63" s="149"/>
      <c r="O63" s="149"/>
      <c r="P63" s="149"/>
      <c r="Q63" s="199"/>
      <c r="R63" s="149"/>
      <c r="S63" s="149"/>
      <c r="T63" s="149"/>
      <c r="U63" s="149"/>
      <c r="V63" s="158"/>
      <c r="W63" s="177"/>
      <c r="X63" s="16"/>
      <c r="Y63" s="16"/>
      <c r="Z63" s="16"/>
      <c r="AA63" s="16"/>
      <c r="AB63" s="16"/>
      <c r="AC63" s="16"/>
      <c r="AD63" s="16"/>
      <c r="AE63" s="16"/>
      <c r="AF63" s="16"/>
      <c r="AG63" s="16"/>
      <c r="AH63" s="16"/>
      <c r="AI63" s="16"/>
      <c r="AJ63" s="16"/>
    </row>
    <row r="64" spans="1:36" ht="18.899999999999999" thickTop="1" thickBot="1" x14ac:dyDescent="0.5">
      <c r="A64" s="86" t="str">
        <f ca="1">VLOOKUP(C64,Postupy!$A$3:$C$66,3,0)</f>
        <v/>
      </c>
      <c r="B64" s="147"/>
      <c r="C64" s="78">
        <v>61</v>
      </c>
      <c r="D64" s="79" t="str">
        <f ca="1">VLOOKUP(C64,Postupy!$A$3:$B$66,2,0)</f>
        <v xml:space="preserve"> - </v>
      </c>
      <c r="E64" s="129"/>
      <c r="F64" s="173"/>
      <c r="G64" s="170"/>
      <c r="H64" s="184"/>
      <c r="I64" s="201"/>
      <c r="J64" s="149"/>
      <c r="K64" s="149"/>
      <c r="L64" s="185"/>
      <c r="M64" s="199"/>
      <c r="N64" s="149"/>
      <c r="O64" s="149"/>
      <c r="P64" s="149"/>
      <c r="Q64" s="199"/>
      <c r="R64" s="149"/>
      <c r="S64" s="149"/>
      <c r="T64" s="149"/>
      <c r="U64" s="149"/>
      <c r="V64" s="158"/>
      <c r="W64" s="177"/>
      <c r="X64" s="212" t="s">
        <v>1678</v>
      </c>
      <c r="Y64" s="16"/>
      <c r="Z64" s="16"/>
      <c r="AA64" s="16"/>
      <c r="AB64" s="16"/>
      <c r="AC64" s="16"/>
      <c r="AD64" s="16"/>
      <c r="AE64" s="16"/>
      <c r="AF64" s="16"/>
      <c r="AG64" s="16"/>
      <c r="AH64" s="16"/>
      <c r="AI64" s="16"/>
      <c r="AJ64" s="16"/>
    </row>
    <row r="65" spans="1:36" ht="18.899999999999999" thickTop="1" thickBot="1" x14ac:dyDescent="0.5">
      <c r="A65" s="86">
        <f ca="1">VLOOKUP(C65,Postupy!$A$3:$C$66,3,0)</f>
        <v>7</v>
      </c>
      <c r="B65" s="147"/>
      <c r="C65" s="80">
        <v>4</v>
      </c>
      <c r="D65" s="81" t="str">
        <f ca="1">VLOOKUP(C65,Postupy!$A$3:$B$66,2,0)</f>
        <v>7 1. KPK Vrchlabí - Semeniv Maryana Khrystyna</v>
      </c>
      <c r="E65" s="130"/>
      <c r="F65" s="174"/>
      <c r="G65" s="149"/>
      <c r="H65" s="158"/>
      <c r="I65" s="199"/>
      <c r="J65" s="149"/>
      <c r="K65" s="149"/>
      <c r="L65" s="186"/>
      <c r="M65" s="199"/>
      <c r="N65" s="149"/>
      <c r="O65" s="149"/>
      <c r="P65" s="149"/>
      <c r="Q65" s="199"/>
      <c r="R65" s="149"/>
      <c r="S65" s="149"/>
      <c r="T65" s="149"/>
      <c r="U65" s="149"/>
      <c r="V65" s="158"/>
      <c r="W65" s="177"/>
      <c r="X65" s="296" t="s">
        <v>1680</v>
      </c>
      <c r="Y65" s="297" t="str">
        <f ca="1">IF(OR(TRIM(X66)="-",TRIM(X67)="-"),"",VLOOKUP(MIN(W66,W67),Hřiště!$B$11:$E$42,4,0))</f>
        <v/>
      </c>
      <c r="Z65" s="16"/>
      <c r="AA65" s="16"/>
      <c r="AB65" s="16"/>
      <c r="AC65" s="16"/>
      <c r="AD65" s="16"/>
      <c r="AE65" s="16"/>
      <c r="AF65" s="16"/>
      <c r="AG65" s="16"/>
      <c r="AH65" s="16"/>
      <c r="AI65" s="16"/>
      <c r="AJ65" s="16"/>
    </row>
    <row r="66" spans="1:36" ht="18.45" thickTop="1" thickBot="1" x14ac:dyDescent="0.45">
      <c r="A66" s="189"/>
      <c r="B66" s="190"/>
      <c r="C66" s="191">
        <f>C64+C65</f>
        <v>65</v>
      </c>
      <c r="D66" s="192"/>
      <c r="E66" s="198"/>
      <c r="F66" s="259">
        <f>C62+C66</f>
        <v>130</v>
      </c>
      <c r="G66" s="194"/>
      <c r="H66" s="194"/>
      <c r="I66" s="203"/>
      <c r="J66" s="194"/>
      <c r="K66" s="194"/>
      <c r="L66" s="194"/>
      <c r="M66" s="203"/>
      <c r="N66" s="194"/>
      <c r="O66" s="203"/>
      <c r="P66" s="194"/>
      <c r="Q66" s="203"/>
      <c r="R66" s="194"/>
      <c r="S66" s="203"/>
      <c r="T66" s="194"/>
      <c r="U66" s="203"/>
      <c r="V66" s="158"/>
      <c r="W66" s="37">
        <v>1</v>
      </c>
      <c r="X66" s="79" t="str">
        <f ca="1">IF(OR(TRIM(T34)="-",TRIM(T35)="-"),IF(TRIM(T34)="-",T35,T34),IF(AND(U34="",U35="")," ",IF(N(U34)=N(U35)," ",IF(N(U34)&gt;N(U35),T34,T35))))</f>
        <v xml:space="preserve"> </v>
      </c>
      <c r="Y66" s="129"/>
      <c r="Z66" s="163"/>
      <c r="AA66" s="37">
        <v>1</v>
      </c>
      <c r="AB66" s="100" t="str">
        <f>IF(AND(Y66="",Y67="")," ",IF(N(Y66)=N(Y67)," ",IF(N(Y66)&gt;N(Y67),X66,X67)))</f>
        <v xml:space="preserve"> </v>
      </c>
      <c r="AC66" s="38">
        <v>1</v>
      </c>
      <c r="AD66" s="16"/>
      <c r="AE66" s="16"/>
      <c r="AF66" s="16"/>
      <c r="AG66" s="16"/>
      <c r="AH66" s="16"/>
      <c r="AI66" s="16"/>
      <c r="AJ66" s="16"/>
    </row>
    <row r="67" spans="1:36" ht="18.899999999999999" thickTop="1" thickBot="1" x14ac:dyDescent="0.5">
      <c r="A67" s="76"/>
      <c r="B67" s="21"/>
      <c r="C67" s="188"/>
      <c r="D67" s="296" t="s">
        <v>1680</v>
      </c>
      <c r="E67" s="297" t="str">
        <f ca="1">IF(OR(TRIM(D68)="-",TRIM(D69)="-"),"",VLOOKUP(MIN(C68,C69),Hřiště!$B$11:$E$42,4,0))</f>
        <v/>
      </c>
      <c r="F67" s="21"/>
      <c r="G67" s="29"/>
      <c r="H67" s="150"/>
      <c r="I67" s="201"/>
      <c r="J67" s="150"/>
      <c r="K67" s="150"/>
      <c r="L67" s="150"/>
      <c r="M67" s="204"/>
      <c r="N67" s="150"/>
      <c r="O67" s="204"/>
      <c r="P67" s="150"/>
      <c r="Q67" s="204"/>
      <c r="R67" s="150"/>
      <c r="S67" s="204"/>
      <c r="T67" s="150"/>
      <c r="U67" s="204"/>
      <c r="V67" s="158"/>
      <c r="W67" s="80">
        <v>2</v>
      </c>
      <c r="X67" s="81" t="str">
        <f ca="1">IF(OR(TRIM(T98)="-",TRIM(T99)="-"), IF(TRIM(T98)="-",T99,T98),IF(AND(U98="",U99="")," ",IF(N(U98)=N(U99)," ",IF(N(U98)&gt;N(U99),T98,T99))))</f>
        <v xml:space="preserve"> </v>
      </c>
      <c r="Y67" s="130"/>
      <c r="Z67" s="149"/>
      <c r="AA67" s="37">
        <v>2</v>
      </c>
      <c r="AB67" s="98" t="str">
        <f>IF(AND(Y66="",Y67="")," ",IF(N(Y67)=N(Y66)," ",IF(N(Y67)&gt;N(Y66),X66,X67)))</f>
        <v xml:space="preserve"> </v>
      </c>
      <c r="AC67" s="97">
        <v>2</v>
      </c>
      <c r="AD67" s="16"/>
      <c r="AE67" s="16"/>
      <c r="AF67" s="16"/>
      <c r="AG67" s="16"/>
      <c r="AH67" s="16"/>
      <c r="AI67" s="16"/>
      <c r="AJ67" s="16"/>
    </row>
    <row r="68" spans="1:36" ht="18.45" thickTop="1" thickBot="1" x14ac:dyDescent="0.45">
      <c r="A68" s="86">
        <f ca="1">VLOOKUP(C68,Postupy!$A$3:$C$66,3,0)</f>
        <v>2</v>
      </c>
      <c r="B68" s="147"/>
      <c r="C68" s="78">
        <v>3</v>
      </c>
      <c r="D68" s="79" t="str">
        <f ca="1">VLOOKUP(C68,Postupy!$A$3:$B$66,2,0)</f>
        <v>2 PLUK Jablonec - Lukáš Vojtěch</v>
      </c>
      <c r="E68" s="129"/>
      <c r="F68" s="148"/>
      <c r="G68" s="149"/>
      <c r="H68" s="150"/>
      <c r="I68" s="199"/>
      <c r="J68" s="149"/>
      <c r="K68" s="149"/>
      <c r="L68" s="149"/>
      <c r="M68" s="199"/>
      <c r="N68" s="149"/>
      <c r="O68" s="149"/>
      <c r="P68" s="40"/>
      <c r="Q68" s="197"/>
      <c r="R68" s="40"/>
      <c r="S68" s="149"/>
      <c r="T68" s="16"/>
      <c r="U68" s="16"/>
      <c r="V68" s="157"/>
      <c r="W68" s="170"/>
      <c r="X68" s="17"/>
      <c r="Y68" s="16"/>
      <c r="Z68" s="16"/>
      <c r="AA68" s="16"/>
      <c r="AB68" s="16"/>
      <c r="AC68" s="16"/>
      <c r="AD68" s="16"/>
      <c r="AE68" s="16"/>
      <c r="AF68" s="16"/>
      <c r="AG68" s="16"/>
      <c r="AH68" s="16"/>
      <c r="AI68" s="16"/>
      <c r="AJ68" s="16"/>
    </row>
    <row r="69" spans="1:36" ht="18.899999999999999" thickTop="1" thickBot="1" x14ac:dyDescent="0.5">
      <c r="A69" s="86" t="str">
        <f ca="1">VLOOKUP(C69,Postupy!$A$3:$C$66,3,0)</f>
        <v/>
      </c>
      <c r="B69" s="147"/>
      <c r="C69" s="80">
        <v>62</v>
      </c>
      <c r="D69" s="81" t="str">
        <f ca="1">VLOOKUP(C69,Postupy!$A$3:$B$66,2,0)</f>
        <v xml:space="preserve"> - </v>
      </c>
      <c r="E69" s="130"/>
      <c r="F69" s="151"/>
      <c r="G69" s="152"/>
      <c r="H69" s="296" t="s">
        <v>1680</v>
      </c>
      <c r="I69" s="297" t="str">
        <f ca="1">IF(OR(TRIM(H70)="-",TRIM(H71)="-"),"",VLOOKUP(MIN(G70,G71),Hřiště!$B$11:$E$42,4,0))</f>
        <v/>
      </c>
      <c r="J69" s="149"/>
      <c r="K69" s="149"/>
      <c r="L69" s="149"/>
      <c r="M69" s="199"/>
      <c r="N69" s="149"/>
      <c r="O69" s="158"/>
      <c r="P69" s="16"/>
      <c r="Q69" s="205"/>
      <c r="R69" s="16"/>
      <c r="S69" s="16"/>
      <c r="T69" s="16"/>
      <c r="U69" s="16"/>
      <c r="V69" s="157"/>
      <c r="W69" s="40"/>
      <c r="X69" s="17"/>
      <c r="Y69" s="16"/>
      <c r="Z69" s="16"/>
      <c r="AA69" s="16"/>
      <c r="AB69" s="16"/>
      <c r="AC69" s="16"/>
      <c r="AD69" s="16"/>
      <c r="AE69" s="16"/>
      <c r="AF69" s="16"/>
      <c r="AG69" s="16"/>
      <c r="AH69" s="16"/>
      <c r="AI69" s="16"/>
      <c r="AJ69" s="16"/>
    </row>
    <row r="70" spans="1:36" ht="18" thickBot="1" x14ac:dyDescent="0.45">
      <c r="A70" s="76"/>
      <c r="B70" s="155"/>
      <c r="C70" s="155">
        <f>C68+C69</f>
        <v>65</v>
      </c>
      <c r="D70" s="156"/>
      <c r="E70" s="196"/>
      <c r="F70" s="157"/>
      <c r="G70" s="78">
        <v>3</v>
      </c>
      <c r="H70" s="79" t="str">
        <f ca="1">IF(OR(TRIM(D68)="-",TRIM(D69)="-"), IF(TRIM(D68)="-",D69,D68),IF(AND(E68="",E69="")," ",IF(N(E68)=N(E69)," ",IF(N(E68)&gt;N(E69),D68,D69))))</f>
        <v>2 PLUK Jablonec - Lukáš Vojtěch</v>
      </c>
      <c r="I70" s="129"/>
      <c r="J70" s="148"/>
      <c r="K70" s="149"/>
      <c r="L70" s="154"/>
      <c r="M70" s="199"/>
      <c r="N70" s="149"/>
      <c r="O70" s="149"/>
      <c r="P70" s="154"/>
      <c r="Q70" s="199"/>
      <c r="R70" s="149"/>
      <c r="S70" s="149"/>
      <c r="T70" s="149"/>
      <c r="U70" s="149"/>
      <c r="V70" s="157"/>
      <c r="W70" s="40"/>
      <c r="X70" s="16"/>
      <c r="Y70" s="16"/>
      <c r="Z70" s="16"/>
      <c r="AA70" s="16"/>
      <c r="AB70" s="16"/>
      <c r="AC70" s="16"/>
      <c r="AD70" s="16"/>
      <c r="AE70" s="16"/>
      <c r="AF70" s="16"/>
      <c r="AG70" s="16"/>
      <c r="AH70" s="16"/>
      <c r="AI70" s="16"/>
      <c r="AJ70" s="16"/>
    </row>
    <row r="71" spans="1:36" ht="18.899999999999999" thickTop="1" thickBot="1" x14ac:dyDescent="0.5">
      <c r="A71" s="75"/>
      <c r="B71" s="159"/>
      <c r="C71" s="160"/>
      <c r="D71" s="296" t="s">
        <v>1680</v>
      </c>
      <c r="E71" s="297" t="str">
        <f ca="1">IF(OR(TRIM(D72)="-",TRIM(D73)="-"),"",VLOOKUP(MIN(C72,C73),Hřiště!$B$11:$E$42,4,0))</f>
        <v/>
      </c>
      <c r="F71" s="157"/>
      <c r="G71" s="80">
        <v>30</v>
      </c>
      <c r="H71" s="81" t="str">
        <f ca="1">IF(OR(TRIM(D72)="-",TRIM(D73)="-"), IF(TRIM(D72)="-",D73,D72),IF(AND(E72="",E73="")," ",IF(N(E72)=N(E73)," ",IF(N(E72)&gt;N(E73),D72,D73))))</f>
        <v xml:space="preserve"> - </v>
      </c>
      <c r="I71" s="130"/>
      <c r="J71" s="151"/>
      <c r="K71" s="161"/>
      <c r="L71" s="162"/>
      <c r="M71" s="197"/>
      <c r="N71" s="149"/>
      <c r="O71" s="149"/>
      <c r="P71" s="154"/>
      <c r="Q71" s="199"/>
      <c r="R71" s="149"/>
      <c r="S71" s="149"/>
      <c r="T71" s="149"/>
      <c r="U71" s="149"/>
      <c r="V71" s="157"/>
      <c r="W71" s="40"/>
      <c r="X71" s="16"/>
      <c r="Y71" s="16"/>
      <c r="Z71" s="16"/>
      <c r="AA71" s="16"/>
      <c r="AB71" s="16"/>
      <c r="AC71" s="16"/>
      <c r="AD71" s="16"/>
      <c r="AE71" s="16"/>
      <c r="AF71" s="16"/>
      <c r="AG71" s="16"/>
      <c r="AH71" s="16"/>
      <c r="AI71" s="16"/>
      <c r="AJ71" s="16"/>
    </row>
    <row r="72" spans="1:36" ht="18" thickBot="1" x14ac:dyDescent="0.45">
      <c r="A72" s="86" t="str">
        <f ca="1">VLOOKUP(C72,Postupy!$A$3:$C$66,3,0)</f>
        <v/>
      </c>
      <c r="B72" s="147"/>
      <c r="C72" s="78">
        <v>35</v>
      </c>
      <c r="D72" s="79" t="str">
        <f ca="1">VLOOKUP(C72,Postupy!$A$3:$B$66,2,0)</f>
        <v xml:space="preserve"> - </v>
      </c>
      <c r="E72" s="129"/>
      <c r="F72" s="163"/>
      <c r="G72" s="164"/>
      <c r="H72" s="165"/>
      <c r="I72" s="200"/>
      <c r="J72" s="158"/>
      <c r="K72" s="161"/>
      <c r="L72" s="162"/>
      <c r="M72" s="197"/>
      <c r="N72" s="149"/>
      <c r="O72" s="149"/>
      <c r="P72" s="154"/>
      <c r="Q72" s="199"/>
      <c r="R72" s="149"/>
      <c r="S72" s="149"/>
      <c r="T72" s="149"/>
      <c r="U72" s="149"/>
      <c r="V72" s="157"/>
      <c r="W72" s="40"/>
      <c r="X72" s="16"/>
      <c r="Y72" s="16"/>
      <c r="Z72" s="16"/>
      <c r="AA72" s="16"/>
      <c r="AB72" s="16"/>
      <c r="AC72" s="16"/>
      <c r="AD72" s="16"/>
      <c r="AE72" s="16"/>
      <c r="AF72" s="16"/>
      <c r="AG72" s="16"/>
      <c r="AH72" s="16"/>
      <c r="AI72" s="16"/>
      <c r="AJ72" s="16"/>
    </row>
    <row r="73" spans="1:36" ht="18.899999999999999" thickTop="1" thickBot="1" x14ac:dyDescent="0.5">
      <c r="A73" s="86" t="str">
        <f ca="1">VLOOKUP(C73,Postupy!$A$3:$C$66,3,0)</f>
        <v/>
      </c>
      <c r="B73" s="147"/>
      <c r="C73" s="80">
        <v>30</v>
      </c>
      <c r="D73" s="81" t="str">
        <f ca="1">VLOOKUP(C73,Postupy!$A$3:$B$66,2,0)</f>
        <v xml:space="preserve"> - </v>
      </c>
      <c r="E73" s="130"/>
      <c r="F73" s="150"/>
      <c r="G73" s="149"/>
      <c r="H73" s="166"/>
      <c r="I73" s="200"/>
      <c r="J73" s="158"/>
      <c r="K73" s="152"/>
      <c r="L73" s="296" t="s">
        <v>1680</v>
      </c>
      <c r="M73" s="297" t="str">
        <f ca="1">IF(OR(TRIM(L74)="-",TRIM(L75)="-"),"",VLOOKUP(MIN(K74,K75),Hřiště!$B$11:$E$42,4,0))</f>
        <v/>
      </c>
      <c r="N73" s="168"/>
      <c r="O73" s="149"/>
      <c r="P73" s="154"/>
      <c r="Q73" s="199"/>
      <c r="R73" s="149"/>
      <c r="S73" s="149"/>
      <c r="T73" s="149"/>
      <c r="U73" s="149"/>
      <c r="V73" s="149"/>
      <c r="W73" s="161"/>
      <c r="X73" s="16"/>
      <c r="Y73" s="16"/>
      <c r="Z73" s="16"/>
      <c r="AA73" s="16"/>
      <c r="AB73" s="16"/>
      <c r="AC73" s="16"/>
      <c r="AD73" s="16"/>
      <c r="AE73" s="16"/>
      <c r="AF73" s="16"/>
      <c r="AG73" s="16"/>
      <c r="AH73" s="16"/>
      <c r="AI73" s="16"/>
      <c r="AJ73" s="16"/>
    </row>
    <row r="74" spans="1:36" ht="18" thickBot="1" x14ac:dyDescent="0.45">
      <c r="A74" s="76"/>
      <c r="B74" s="155"/>
      <c r="C74" s="155">
        <f>C72+C73</f>
        <v>65</v>
      </c>
      <c r="D74" s="156"/>
      <c r="E74" s="196"/>
      <c r="F74" s="259">
        <f>C70+C74</f>
        <v>130</v>
      </c>
      <c r="G74" s="149"/>
      <c r="H74" s="169"/>
      <c r="I74" s="199"/>
      <c r="J74" s="149"/>
      <c r="K74" s="78">
        <v>3</v>
      </c>
      <c r="L74" s="79" t="str">
        <f ca="1">IF(OR(TRIM(H70)="-",TRIM(H71)="-"), IF(TRIM(H70)="-",H71,H70),IF(AND(I70="",I71="")," ",IF(N(I70)=N(I71)," ",IF(N(I70)&gt;N(I71),H70,H71))))</f>
        <v>2 PLUK Jablonec - Lukáš Vojtěch</v>
      </c>
      <c r="M74" s="129"/>
      <c r="N74" s="148"/>
      <c r="O74" s="40"/>
      <c r="P74" s="162"/>
      <c r="Q74" s="197"/>
      <c r="R74" s="149"/>
      <c r="S74" s="149"/>
      <c r="T74" s="149"/>
      <c r="U74" s="149"/>
      <c r="V74" s="149"/>
      <c r="W74" s="161"/>
      <c r="X74" s="16"/>
      <c r="Y74" s="16"/>
      <c r="Z74" s="16"/>
      <c r="AA74" s="16"/>
      <c r="AB74" s="16"/>
      <c r="AC74" s="15"/>
      <c r="AD74" s="16"/>
      <c r="AE74" s="16"/>
      <c r="AF74" s="16"/>
      <c r="AG74" s="16"/>
      <c r="AH74" s="16"/>
      <c r="AI74" s="16"/>
      <c r="AJ74" s="15"/>
    </row>
    <row r="75" spans="1:36" ht="18.899999999999999" thickTop="1" thickBot="1" x14ac:dyDescent="0.5">
      <c r="A75" s="75"/>
      <c r="B75" s="159"/>
      <c r="C75" s="160"/>
      <c r="D75" s="296" t="s">
        <v>1680</v>
      </c>
      <c r="E75" s="297" t="str">
        <f ca="1">IF(OR(TRIM(D76)="-",TRIM(D77)="-"),"",VLOOKUP(MIN(C76,C77),Hřiště!$B$11:$E$42,4,0))</f>
        <v/>
      </c>
      <c r="F75" s="149"/>
      <c r="G75" s="149"/>
      <c r="H75" s="169"/>
      <c r="I75" s="199"/>
      <c r="J75" s="149"/>
      <c r="K75" s="80">
        <v>14</v>
      </c>
      <c r="L75" s="81" t="str">
        <f ca="1">IF(OR(TRIM(H78)="-",TRIM(H79)="-"), IF(TRIM(H78)="-",H79,H78),IF(AND(I78="",I79="")," ",IF(N(I78)=N(I79)," ",IF(N(I78)&gt;N(I79),H78,H79))))</f>
        <v>9 UBU Únětice - Palas Pavel</v>
      </c>
      <c r="M75" s="130"/>
      <c r="N75" s="151"/>
      <c r="O75" s="161"/>
      <c r="P75" s="162"/>
      <c r="Q75" s="197"/>
      <c r="R75" s="149"/>
      <c r="S75" s="149"/>
      <c r="T75" s="149"/>
      <c r="U75" s="149"/>
      <c r="V75" s="149"/>
      <c r="W75" s="161"/>
      <c r="X75" s="16"/>
      <c r="Y75" s="16"/>
      <c r="Z75" s="16"/>
      <c r="AA75" s="16"/>
      <c r="AB75" s="16"/>
      <c r="AC75" s="15"/>
      <c r="AD75" s="16"/>
      <c r="AE75" s="16"/>
      <c r="AF75" s="16"/>
      <c r="AG75" s="16"/>
      <c r="AH75" s="16"/>
      <c r="AI75" s="16"/>
      <c r="AJ75" s="15"/>
    </row>
    <row r="76" spans="1:36" ht="18.45" thickTop="1" thickBot="1" x14ac:dyDescent="0.45">
      <c r="A76" s="86" t="str">
        <f ca="1">VLOOKUP(C76,Postupy!$A$3:$C$66,3,0)</f>
        <v/>
      </c>
      <c r="B76" s="147"/>
      <c r="C76" s="78">
        <v>46</v>
      </c>
      <c r="D76" s="79" t="str">
        <f ca="1">VLOOKUP(C76,Postupy!$A$3:$B$66,2,0)</f>
        <v xml:space="preserve"> - </v>
      </c>
      <c r="E76" s="129"/>
      <c r="F76" s="152"/>
      <c r="G76" s="149"/>
      <c r="H76" s="166"/>
      <c r="I76" s="200"/>
      <c r="J76" s="158"/>
      <c r="K76" s="170"/>
      <c r="L76" s="171"/>
      <c r="M76" s="201"/>
      <c r="N76" s="149"/>
      <c r="O76" s="161"/>
      <c r="P76" s="162"/>
      <c r="Q76" s="197"/>
      <c r="R76" s="149"/>
      <c r="S76" s="149"/>
      <c r="T76" s="149"/>
      <c r="U76" s="149"/>
      <c r="V76" s="149"/>
      <c r="W76" s="161"/>
      <c r="X76" s="16"/>
      <c r="Y76" s="16"/>
      <c r="Z76" s="16"/>
      <c r="AA76" s="16"/>
      <c r="AB76" s="16"/>
      <c r="AC76" s="15"/>
      <c r="AD76" s="16"/>
      <c r="AE76" s="16"/>
      <c r="AF76" s="16"/>
      <c r="AG76" s="16"/>
      <c r="AH76" s="16"/>
      <c r="AI76" s="16"/>
      <c r="AJ76" s="15"/>
    </row>
    <row r="77" spans="1:36" ht="18.899999999999999" thickTop="1" thickBot="1" x14ac:dyDescent="0.5">
      <c r="A77" s="86" t="str">
        <f ca="1">VLOOKUP(C77,Postupy!$A$3:$C$66,3,0)</f>
        <v/>
      </c>
      <c r="B77" s="147"/>
      <c r="C77" s="80">
        <v>19</v>
      </c>
      <c r="D77" s="81" t="str">
        <f ca="1">VLOOKUP(C77,Postupy!$A$3:$B$66,2,0)</f>
        <v xml:space="preserve"> - </v>
      </c>
      <c r="E77" s="130"/>
      <c r="F77" s="172" t="s">
        <v>1681</v>
      </c>
      <c r="G77" s="152"/>
      <c r="H77" s="296" t="s">
        <v>1680</v>
      </c>
      <c r="I77" s="297" t="str">
        <f ca="1">IF(OR(TRIM(H78)="-",TRIM(H79)="-"),"",VLOOKUP(MIN(G78,G79),Hřiště!$B$11:$E$42,4,0))</f>
        <v/>
      </c>
      <c r="J77" s="158"/>
      <c r="K77" s="161"/>
      <c r="L77" s="169"/>
      <c r="M77" s="197"/>
      <c r="N77" s="149"/>
      <c r="O77" s="161"/>
      <c r="P77" s="162"/>
      <c r="Q77" s="197"/>
      <c r="R77" s="149"/>
      <c r="S77" s="149"/>
      <c r="T77" s="149"/>
      <c r="U77" s="149"/>
      <c r="V77" s="149"/>
      <c r="W77" s="161"/>
      <c r="X77" s="16"/>
      <c r="Y77" s="16"/>
      <c r="Z77" s="16"/>
      <c r="AA77" s="16"/>
      <c r="AB77" s="16"/>
      <c r="AC77" s="16"/>
      <c r="AD77" s="16"/>
      <c r="AE77" s="16"/>
      <c r="AF77" s="16"/>
      <c r="AG77" s="16"/>
      <c r="AH77" s="16"/>
      <c r="AI77" s="16"/>
      <c r="AJ77" s="15"/>
    </row>
    <row r="78" spans="1:36" ht="18" thickBot="1" x14ac:dyDescent="0.45">
      <c r="A78" s="76"/>
      <c r="B78" s="155"/>
      <c r="C78" s="155">
        <f>C76+C77</f>
        <v>65</v>
      </c>
      <c r="D78" s="156"/>
      <c r="E78" s="196"/>
      <c r="F78" s="157"/>
      <c r="G78" s="78">
        <v>19</v>
      </c>
      <c r="H78" s="79" t="str">
        <f ca="1">IF(OR(TRIM(D76)="-",TRIM(D77)="-"), IF(TRIM(D76)="-",D77,D76),IF(AND(E76="",E77="")," ",IF(N(E76)=N(E77)," ",IF(N(E76)&gt;N(E77),D76,D77))))</f>
        <v xml:space="preserve"> - </v>
      </c>
      <c r="I78" s="129"/>
      <c r="J78" s="163"/>
      <c r="K78" s="161"/>
      <c r="L78" s="169"/>
      <c r="M78" s="197"/>
      <c r="N78" s="149"/>
      <c r="O78" s="161"/>
      <c r="P78" s="162"/>
      <c r="Q78" s="197"/>
      <c r="R78" s="149"/>
      <c r="S78" s="149"/>
      <c r="T78" s="149"/>
      <c r="U78" s="149"/>
      <c r="V78" s="149"/>
      <c r="W78" s="161"/>
      <c r="X78" s="16"/>
      <c r="Y78" s="16"/>
      <c r="Z78" s="16"/>
      <c r="AA78" s="16"/>
      <c r="AB78" s="16"/>
      <c r="AC78" s="16"/>
      <c r="AD78" s="16"/>
      <c r="AE78" s="16"/>
      <c r="AF78" s="16"/>
      <c r="AG78" s="16"/>
      <c r="AH78" s="16"/>
      <c r="AI78" s="16"/>
      <c r="AJ78" s="15"/>
    </row>
    <row r="79" spans="1:36" ht="18.899999999999999" thickTop="1" thickBot="1" x14ac:dyDescent="0.5">
      <c r="A79" s="75"/>
      <c r="B79" s="159"/>
      <c r="C79" s="160"/>
      <c r="D79" s="296" t="s">
        <v>1680</v>
      </c>
      <c r="E79" s="297" t="str">
        <f ca="1">IF(OR(TRIM(D80)="-",TRIM(D81)="-"),"",VLOOKUP(MIN(C80,C81),Hřiště!$B$11:$E$42,4,0))</f>
        <v/>
      </c>
      <c r="F79" s="168"/>
      <c r="G79" s="80">
        <v>14</v>
      </c>
      <c r="H79" s="81" t="str">
        <f ca="1">IF(OR(TRIM(D80)="-",TRIM(D81)="-"), IF(TRIM(D80)="-",D81,D80),IF(AND(E80="",E81="")," ",IF(N(E80)=N(E81)," ",IF(N(E80)&gt;N(E81),D80,D81))))</f>
        <v>9 UBU Únětice - Palas Pavel</v>
      </c>
      <c r="I79" s="130"/>
      <c r="J79" s="150"/>
      <c r="K79" s="149"/>
      <c r="L79" s="169"/>
      <c r="M79" s="199"/>
      <c r="N79" s="149"/>
      <c r="O79" s="161"/>
      <c r="P79" s="162"/>
      <c r="Q79" s="197"/>
      <c r="R79" s="149"/>
      <c r="S79" s="149"/>
      <c r="T79" s="149"/>
      <c r="U79" s="149"/>
      <c r="V79" s="149"/>
      <c r="W79" s="161"/>
      <c r="X79" s="16"/>
      <c r="Y79" s="16"/>
      <c r="Z79" s="16"/>
      <c r="AA79" s="16"/>
      <c r="AB79" s="16"/>
      <c r="AC79" s="16"/>
      <c r="AD79" s="16"/>
      <c r="AE79" s="16"/>
      <c r="AF79" s="16"/>
      <c r="AG79" s="16"/>
      <c r="AH79" s="16"/>
      <c r="AI79" s="16"/>
      <c r="AJ79" s="16"/>
    </row>
    <row r="80" spans="1:36" ht="18.45" thickTop="1" thickBot="1" x14ac:dyDescent="0.45">
      <c r="A80" s="86" t="str">
        <f ca="1">VLOOKUP(C80,Postupy!$A$3:$C$66,3,0)</f>
        <v/>
      </c>
      <c r="B80" s="147"/>
      <c r="C80" s="78">
        <v>51</v>
      </c>
      <c r="D80" s="79" t="str">
        <f ca="1">VLOOKUP(C80,Postupy!$A$3:$B$66,2,0)</f>
        <v xml:space="preserve"> - </v>
      </c>
      <c r="E80" s="129"/>
      <c r="F80" s="173"/>
      <c r="G80" s="170"/>
      <c r="H80" s="171"/>
      <c r="I80" s="201"/>
      <c r="J80" s="149"/>
      <c r="K80" s="149"/>
      <c r="L80" s="166"/>
      <c r="M80" s="199"/>
      <c r="N80" s="149"/>
      <c r="O80" s="161"/>
      <c r="P80" s="162"/>
      <c r="Q80" s="197"/>
      <c r="R80" s="149"/>
      <c r="S80" s="149"/>
      <c r="T80" s="149"/>
      <c r="U80" s="149"/>
      <c r="V80" s="149"/>
      <c r="W80" s="161"/>
      <c r="X80" s="16"/>
      <c r="Y80" s="17"/>
      <c r="Z80" s="16"/>
      <c r="AA80" s="16"/>
      <c r="AB80" s="16"/>
      <c r="AC80" s="17"/>
      <c r="AD80" s="16"/>
      <c r="AE80" s="16"/>
      <c r="AF80" s="16"/>
      <c r="AG80" s="16"/>
      <c r="AH80" s="16"/>
      <c r="AI80" s="16"/>
      <c r="AJ80" s="16"/>
    </row>
    <row r="81" spans="1:36" ht="18.899999999999999" thickTop="1" thickBot="1" x14ac:dyDescent="0.5">
      <c r="A81" s="86">
        <f ca="1">VLOOKUP(C81,Postupy!$A$3:$C$66,3,0)</f>
        <v>9</v>
      </c>
      <c r="B81" s="147"/>
      <c r="C81" s="80">
        <v>14</v>
      </c>
      <c r="D81" s="81" t="str">
        <f ca="1">VLOOKUP(C81,Postupy!$A$3:$B$66,2,0)</f>
        <v>9 UBU Únětice - Palas Pavel</v>
      </c>
      <c r="E81" s="130"/>
      <c r="F81" s="174"/>
      <c r="G81" s="149"/>
      <c r="H81" s="166"/>
      <c r="I81" s="199"/>
      <c r="J81" s="149"/>
      <c r="K81" s="149"/>
      <c r="L81" s="175"/>
      <c r="M81" s="200"/>
      <c r="N81" s="158"/>
      <c r="O81" s="152"/>
      <c r="P81" s="296" t="s">
        <v>1680</v>
      </c>
      <c r="Q81" s="297" t="str">
        <f ca="1">IF(OR(TRIM(P82)="-",TRIM(P83)="-"),"",VLOOKUP(MIN(O82,O83),Hřiště!$B$11:$E$42,4,0))</f>
        <v/>
      </c>
      <c r="S81" s="168"/>
      <c r="T81" s="168"/>
      <c r="U81" s="168"/>
      <c r="V81" s="149"/>
      <c r="W81" s="161"/>
      <c r="X81" s="16"/>
      <c r="Y81" s="16"/>
      <c r="Z81" s="16"/>
      <c r="AA81" s="16"/>
      <c r="AB81" s="16"/>
      <c r="AC81" s="16"/>
      <c r="AD81" s="16"/>
      <c r="AE81" s="16"/>
      <c r="AF81" s="16"/>
      <c r="AG81" s="16"/>
      <c r="AH81" s="16"/>
      <c r="AI81" s="16"/>
      <c r="AJ81" s="16"/>
    </row>
    <row r="82" spans="1:36" ht="18" thickBot="1" x14ac:dyDescent="0.45">
      <c r="A82" s="76"/>
      <c r="B82" s="155"/>
      <c r="C82" s="155">
        <f>C80+C81</f>
        <v>65</v>
      </c>
      <c r="D82" s="156"/>
      <c r="E82" s="196"/>
      <c r="F82" s="259">
        <f>C78+C82</f>
        <v>130</v>
      </c>
      <c r="G82" s="149"/>
      <c r="H82" s="169"/>
      <c r="I82" s="199"/>
      <c r="J82" s="149"/>
      <c r="K82" s="149"/>
      <c r="L82" s="176"/>
      <c r="M82" s="200"/>
      <c r="N82" s="158"/>
      <c r="O82" s="78">
        <v>3</v>
      </c>
      <c r="P82" s="79" t="str">
        <f ca="1">IF(OR(TRIM(L74)="-",TRIM(L75)="-"), IF(TRIM(L74)="-",L75,L74),IF(AND(M74="",M75="")," ",IF(N(M74)=N(M75)," ",IF(N(M74)&gt;N(M75),L74,L75))))</f>
        <v xml:space="preserve"> </v>
      </c>
      <c r="Q82" s="129"/>
      <c r="R82" s="158"/>
      <c r="S82" s="149"/>
      <c r="T82" s="149"/>
      <c r="U82" s="149"/>
      <c r="V82" s="149"/>
      <c r="W82" s="161"/>
      <c r="X82" s="16"/>
      <c r="Y82" s="16"/>
      <c r="Z82" s="16"/>
      <c r="AA82" s="16"/>
      <c r="AB82" s="16"/>
      <c r="AC82" s="16"/>
      <c r="AD82" s="16"/>
      <c r="AE82" s="16"/>
      <c r="AF82" s="16"/>
      <c r="AG82" s="16"/>
      <c r="AH82" s="16"/>
      <c r="AI82" s="16"/>
      <c r="AJ82" s="16"/>
    </row>
    <row r="83" spans="1:36" ht="18.899999999999999" thickTop="1" thickBot="1" x14ac:dyDescent="0.5">
      <c r="A83" s="75"/>
      <c r="B83" s="159"/>
      <c r="C83" s="160"/>
      <c r="D83" s="296" t="s">
        <v>1680</v>
      </c>
      <c r="E83" s="297" t="str">
        <f ca="1">IF(OR(TRIM(D84)="-",TRIM(D85)="-"),"",VLOOKUP(MIN(C84,C85),Hřiště!$B$11:$E$42,4,0))</f>
        <v/>
      </c>
      <c r="F83" s="149"/>
      <c r="G83" s="149"/>
      <c r="H83" s="169"/>
      <c r="I83" s="199"/>
      <c r="J83" s="149"/>
      <c r="K83" s="149"/>
      <c r="L83" s="176"/>
      <c r="M83" s="200"/>
      <c r="N83" s="157"/>
      <c r="O83" s="80">
        <v>6</v>
      </c>
      <c r="P83" s="81" t="str">
        <f ca="1">IF(OR(TRIM(L90)="-",TRIM(L91)="-"),IF(TRIM(L90)="-",L91,L90),IF(AND(M90="",M91="")," ",IF(N(M90)=N(M91)," ",IF(N(M90)&gt;N(M91),L90,L91))))</f>
        <v xml:space="preserve"> </v>
      </c>
      <c r="Q83" s="130"/>
      <c r="R83" s="151"/>
      <c r="S83" s="177"/>
      <c r="T83" s="149"/>
      <c r="U83" s="149"/>
      <c r="V83" s="149"/>
      <c r="W83" s="161"/>
      <c r="X83" s="16"/>
      <c r="Y83" s="16"/>
      <c r="Z83" s="16"/>
      <c r="AA83" s="16"/>
      <c r="AB83" s="16"/>
      <c r="AC83" s="16"/>
      <c r="AD83" s="16"/>
      <c r="AE83" s="16"/>
      <c r="AF83" s="16"/>
      <c r="AG83" s="16"/>
      <c r="AH83" s="16"/>
      <c r="AI83" s="16"/>
      <c r="AJ83" s="16"/>
    </row>
    <row r="84" spans="1:36" ht="18.45" thickTop="1" thickBot="1" x14ac:dyDescent="0.45">
      <c r="A84" s="86">
        <f ca="1">VLOOKUP(C84,Postupy!$A$3:$C$66,3,0)</f>
        <v>51</v>
      </c>
      <c r="B84" s="147"/>
      <c r="C84" s="78">
        <v>11</v>
      </c>
      <c r="D84" s="79" t="str">
        <f ca="1">VLOOKUP(C84,Postupy!$A$3:$B$66,2,0)</f>
        <v xml:space="preserve">51   - Erik, Dánsko  </v>
      </c>
      <c r="E84" s="129"/>
      <c r="F84" s="152"/>
      <c r="G84" s="149"/>
      <c r="H84" s="166"/>
      <c r="I84" s="199"/>
      <c r="J84" s="149"/>
      <c r="K84" s="149"/>
      <c r="L84" s="176"/>
      <c r="M84" s="200"/>
      <c r="N84" s="157"/>
      <c r="O84" s="170"/>
      <c r="P84" s="171"/>
      <c r="Q84" s="197"/>
      <c r="R84" s="158"/>
      <c r="S84" s="177"/>
      <c r="T84" s="153"/>
      <c r="U84" s="158"/>
      <c r="V84" s="149"/>
      <c r="W84" s="161"/>
      <c r="X84" s="16"/>
      <c r="Y84" s="16"/>
      <c r="Z84" s="16"/>
      <c r="AA84" s="16"/>
      <c r="AB84" s="16"/>
      <c r="AC84" s="15"/>
      <c r="AD84" s="16"/>
      <c r="AE84" s="16"/>
      <c r="AF84" s="16"/>
      <c r="AG84" s="16"/>
      <c r="AH84" s="16"/>
      <c r="AI84" s="15"/>
      <c r="AJ84" s="16"/>
    </row>
    <row r="85" spans="1:36" ht="18.899999999999999" thickTop="1" thickBot="1" x14ac:dyDescent="0.5">
      <c r="A85" s="86" t="str">
        <f ca="1">VLOOKUP(C85,Postupy!$A$3:$C$66,3,0)</f>
        <v/>
      </c>
      <c r="B85" s="147"/>
      <c r="C85" s="80">
        <v>54</v>
      </c>
      <c r="D85" s="81" t="str">
        <f ca="1">VLOOKUP(C85,Postupy!$A$3:$B$66,2,0)</f>
        <v xml:space="preserve"> - </v>
      </c>
      <c r="E85" s="130"/>
      <c r="F85" s="178"/>
      <c r="G85" s="152"/>
      <c r="H85" s="296" t="s">
        <v>1680</v>
      </c>
      <c r="I85" s="297" t="str">
        <f ca="1">IF(OR(TRIM(H86)="-",TRIM(H87)="-"),"",VLOOKUP(MIN(G86,G87),Hřiště!$B$11:$E$42,4,0))</f>
        <v/>
      </c>
      <c r="J85" s="149"/>
      <c r="K85" s="149"/>
      <c r="L85" s="176"/>
      <c r="M85" s="200"/>
      <c r="N85" s="157"/>
      <c r="O85" s="40"/>
      <c r="P85" s="169"/>
      <c r="Q85" s="200"/>
      <c r="R85" s="158"/>
      <c r="S85" s="177"/>
      <c r="T85" s="153"/>
      <c r="U85" s="158"/>
      <c r="V85" s="149"/>
      <c r="W85" s="161"/>
      <c r="X85" s="16"/>
      <c r="Y85" s="16"/>
      <c r="Z85" s="16"/>
      <c r="AA85" s="16"/>
      <c r="AB85" s="16"/>
      <c r="AC85" s="15"/>
      <c r="AD85" s="16"/>
      <c r="AE85" s="16"/>
      <c r="AF85" s="16"/>
      <c r="AG85" s="16"/>
      <c r="AH85" s="16"/>
      <c r="AI85" s="15"/>
      <c r="AJ85" s="16"/>
    </row>
    <row r="86" spans="1:36" ht="18.45" thickTop="1" thickBot="1" x14ac:dyDescent="0.45">
      <c r="A86" s="76"/>
      <c r="B86" s="155"/>
      <c r="C86" s="155">
        <f>C84+C85</f>
        <v>65</v>
      </c>
      <c r="D86" s="156"/>
      <c r="E86" s="196"/>
      <c r="F86" s="157"/>
      <c r="G86" s="78">
        <v>11</v>
      </c>
      <c r="H86" s="79" t="str">
        <f ca="1">IF(OR(TRIM(D84)="-",TRIM(D85)="-"), IF(TRIM(D84)="-",D85,D84),IF(AND(E84="",E85="")," ",IF(N(E84)=N(E85)," ",IF(N(E84)&gt;N(E85),D84,D85))))</f>
        <v xml:space="preserve">51   - Erik, Dánsko  </v>
      </c>
      <c r="I86" s="129"/>
      <c r="J86" s="148"/>
      <c r="K86" s="149"/>
      <c r="L86" s="176"/>
      <c r="M86" s="200"/>
      <c r="N86" s="157"/>
      <c r="O86" s="40"/>
      <c r="P86" s="169"/>
      <c r="Q86" s="200"/>
      <c r="R86" s="158"/>
      <c r="S86" s="177"/>
      <c r="T86" s="153"/>
      <c r="U86" s="158"/>
      <c r="V86" s="149"/>
      <c r="W86" s="161"/>
      <c r="X86" s="16"/>
      <c r="Y86" s="16"/>
      <c r="Z86" s="16"/>
      <c r="AA86" s="16"/>
      <c r="AB86" s="16"/>
      <c r="AC86" s="15"/>
      <c r="AD86" s="16"/>
      <c r="AE86" s="16"/>
      <c r="AF86" s="16"/>
      <c r="AG86" s="16"/>
      <c r="AH86" s="16"/>
      <c r="AI86" s="15"/>
      <c r="AJ86" s="16"/>
    </row>
    <row r="87" spans="1:36" ht="18.899999999999999" thickTop="1" thickBot="1" x14ac:dyDescent="0.5">
      <c r="A87" s="75"/>
      <c r="B87" s="159"/>
      <c r="C87" s="160"/>
      <c r="D87" s="296" t="s">
        <v>1680</v>
      </c>
      <c r="E87" s="297" t="str">
        <f ca="1">IF(OR(TRIM(D88)="-",TRIM(D89)="-"),"",VLOOKUP(MIN(C88,C89),Hřiště!$B$11:$E$42,4,0))</f>
        <v/>
      </c>
      <c r="F87" s="157"/>
      <c r="G87" s="80">
        <v>22</v>
      </c>
      <c r="H87" s="81" t="str">
        <f ca="1">IF(OR(TRIM(D88)="-",TRIM(D89)="-"), IF(TRIM(D88)="-",D89,D88),IF(AND(E88="",E89="")," ",IF(N(E88)=N(E89)," ",IF(N(E88)&gt;N(E89),D88,D89))))</f>
        <v xml:space="preserve"> - </v>
      </c>
      <c r="I87" s="130"/>
      <c r="J87" s="151"/>
      <c r="K87" s="161"/>
      <c r="L87" s="179"/>
      <c r="M87" s="200"/>
      <c r="N87" s="157"/>
      <c r="O87" s="40"/>
      <c r="P87" s="166"/>
      <c r="Q87" s="200"/>
      <c r="R87" s="158"/>
      <c r="S87" s="177"/>
      <c r="T87" s="153"/>
      <c r="U87" s="158"/>
      <c r="V87" s="149"/>
      <c r="W87" s="161"/>
      <c r="X87" s="16"/>
      <c r="Y87" s="16"/>
      <c r="Z87" s="16"/>
      <c r="AA87" s="16"/>
      <c r="AB87" s="16"/>
      <c r="AC87" s="16"/>
      <c r="AD87" s="16"/>
      <c r="AE87" s="16"/>
      <c r="AF87" s="16"/>
      <c r="AG87" s="16"/>
      <c r="AH87" s="16"/>
      <c r="AI87" s="16"/>
      <c r="AJ87" s="16"/>
    </row>
    <row r="88" spans="1:36" ht="18.45" thickTop="1" thickBot="1" x14ac:dyDescent="0.45">
      <c r="A88" s="86" t="str">
        <f ca="1">VLOOKUP(C88,Postupy!$A$3:$C$66,3,0)</f>
        <v/>
      </c>
      <c r="B88" s="147"/>
      <c r="C88" s="78">
        <v>43</v>
      </c>
      <c r="D88" s="79" t="str">
        <f ca="1">VLOOKUP(C88,Postupy!$A$3:$B$66,2,0)</f>
        <v xml:space="preserve"> - </v>
      </c>
      <c r="E88" s="129"/>
      <c r="F88" s="163"/>
      <c r="G88" s="164"/>
      <c r="H88" s="171"/>
      <c r="I88" s="202"/>
      <c r="J88" s="158"/>
      <c r="K88" s="161"/>
      <c r="L88" s="180"/>
      <c r="M88" s="200"/>
      <c r="N88" s="157"/>
      <c r="O88" s="40"/>
      <c r="P88" s="175"/>
      <c r="Q88" s="200"/>
      <c r="R88" s="158"/>
      <c r="S88" s="177"/>
      <c r="T88" s="153"/>
      <c r="U88" s="158"/>
      <c r="V88" s="149"/>
      <c r="W88" s="161"/>
      <c r="X88" s="16"/>
      <c r="Y88" s="16"/>
      <c r="Z88" s="16"/>
      <c r="AA88" s="16"/>
      <c r="AB88" s="16"/>
      <c r="AC88" s="16"/>
      <c r="AD88" s="16"/>
      <c r="AE88" s="16"/>
      <c r="AF88" s="16"/>
      <c r="AG88" s="16"/>
      <c r="AH88" s="16"/>
      <c r="AI88" s="16"/>
      <c r="AJ88" s="16"/>
    </row>
    <row r="89" spans="1:36" ht="18.899999999999999" thickTop="1" thickBot="1" x14ac:dyDescent="0.5">
      <c r="A89" s="86" t="str">
        <f ca="1">VLOOKUP(C89,Postupy!$A$3:$C$66,3,0)</f>
        <v/>
      </c>
      <c r="B89" s="147"/>
      <c r="C89" s="80">
        <v>22</v>
      </c>
      <c r="D89" s="81" t="str">
        <f ca="1">VLOOKUP(C89,Postupy!$A$3:$B$66,2,0)</f>
        <v xml:space="preserve"> - </v>
      </c>
      <c r="E89" s="130"/>
      <c r="F89" s="150"/>
      <c r="G89" s="149"/>
      <c r="H89" s="166"/>
      <c r="I89" s="200"/>
      <c r="J89" s="158"/>
      <c r="K89" s="152"/>
      <c r="L89" s="296" t="s">
        <v>1680</v>
      </c>
      <c r="M89" s="297" t="str">
        <f ca="1">IF(OR(TRIM(L90)="-",TRIM(L91)="-"),"",VLOOKUP(MIN(K90,K91),Hřiště!$B$11:$E$42,4,0))</f>
        <v/>
      </c>
      <c r="N89" s="181"/>
      <c r="O89" s="40"/>
      <c r="P89" s="179"/>
      <c r="Q89" s="200"/>
      <c r="R89" s="158"/>
      <c r="S89" s="177"/>
      <c r="T89" s="153"/>
      <c r="U89" s="158"/>
      <c r="V89" s="149"/>
      <c r="W89" s="161"/>
      <c r="X89" s="16"/>
      <c r="Y89" s="16"/>
      <c r="Z89" s="16"/>
      <c r="AA89" s="16"/>
      <c r="AB89" s="16"/>
      <c r="AC89" s="16"/>
      <c r="AD89" s="16"/>
      <c r="AE89" s="16"/>
      <c r="AF89" s="16"/>
      <c r="AG89" s="16"/>
      <c r="AH89" s="16"/>
      <c r="AI89" s="16"/>
      <c r="AJ89" s="16"/>
    </row>
    <row r="90" spans="1:36" ht="18.45" thickTop="1" thickBot="1" x14ac:dyDescent="0.45">
      <c r="A90" s="76"/>
      <c r="B90" s="155"/>
      <c r="C90" s="155">
        <f>C88+C89</f>
        <v>65</v>
      </c>
      <c r="D90" s="156"/>
      <c r="E90" s="196"/>
      <c r="F90" s="259">
        <f>C86+C90</f>
        <v>130</v>
      </c>
      <c r="G90" s="149"/>
      <c r="H90" s="169"/>
      <c r="I90" s="199"/>
      <c r="J90" s="149"/>
      <c r="K90" s="78">
        <v>11</v>
      </c>
      <c r="L90" s="79" t="str">
        <f ca="1">IF(OR(TRIM(H86)="-",TRIM(H87)="-"), IF(TRIM(H86)="-",H87,H86),IF(AND(I86="",I87="")," ",IF(N(I86)=N(I87)," ",IF(N(I86)&gt;N(I87),H86,H87))))</f>
        <v xml:space="preserve">51   - Erik, Dánsko  </v>
      </c>
      <c r="M90" s="129"/>
      <c r="N90" s="163"/>
      <c r="O90" s="149"/>
      <c r="P90" s="176"/>
      <c r="Q90" s="200"/>
      <c r="R90" s="158"/>
      <c r="S90" s="177"/>
      <c r="T90" s="153"/>
      <c r="U90" s="149"/>
      <c r="V90" s="149"/>
      <c r="W90" s="161"/>
      <c r="X90" s="16"/>
      <c r="Y90" s="17"/>
      <c r="Z90" s="16"/>
      <c r="AA90" s="16"/>
      <c r="AB90" s="16"/>
      <c r="AC90" s="17"/>
      <c r="AD90" s="16"/>
      <c r="AE90" s="16"/>
      <c r="AF90" s="16"/>
      <c r="AG90" s="16"/>
      <c r="AH90" s="16"/>
      <c r="AI90" s="17"/>
      <c r="AJ90" s="16"/>
    </row>
    <row r="91" spans="1:36" ht="18.899999999999999" thickTop="1" thickBot="1" x14ac:dyDescent="0.5">
      <c r="A91" s="75"/>
      <c r="B91" s="159"/>
      <c r="C91" s="160"/>
      <c r="D91" s="296" t="s">
        <v>1680</v>
      </c>
      <c r="E91" s="297" t="str">
        <f ca="1">IF(OR(TRIM(D92)="-",TRIM(D93)="-"),"",VLOOKUP(MIN(C92,C93),Hřiště!$B$11:$E$42,4,0))</f>
        <v/>
      </c>
      <c r="F91" s="149"/>
      <c r="G91" s="149"/>
      <c r="H91" s="169"/>
      <c r="I91" s="199"/>
      <c r="J91" s="149"/>
      <c r="K91" s="80">
        <v>6</v>
      </c>
      <c r="L91" s="81" t="str">
        <f ca="1">IF(OR(TRIM(H94)="-",TRIM(H95)="-"), IF(TRIM(H94)="-",H95,H94),IF(AND(I94="",I95="")," ",IF(N(I94)=N(I95)," ",IF(N(I94)&gt;N(I95),H94,H95))))</f>
        <v>21 SK Pétanque Řepy - Pastorek Jaroslav</v>
      </c>
      <c r="M91" s="130"/>
      <c r="N91" s="150"/>
      <c r="O91" s="149"/>
      <c r="P91" s="176"/>
      <c r="Q91" s="200"/>
      <c r="R91" s="158"/>
      <c r="S91" s="177"/>
      <c r="T91" s="153"/>
      <c r="U91" s="149"/>
      <c r="V91" s="149"/>
      <c r="W91" s="161"/>
      <c r="X91" s="16"/>
      <c r="Y91" s="17"/>
      <c r="Z91" s="16"/>
      <c r="AA91" s="16"/>
      <c r="AB91" s="16"/>
      <c r="AC91" s="17"/>
      <c r="AD91" s="16"/>
      <c r="AE91" s="16"/>
      <c r="AF91" s="16"/>
      <c r="AG91" s="16"/>
      <c r="AH91" s="16"/>
      <c r="AI91" s="17"/>
      <c r="AJ91" s="16"/>
    </row>
    <row r="92" spans="1:36" ht="18.45" thickTop="1" thickBot="1" x14ac:dyDescent="0.45">
      <c r="A92" s="86" t="str">
        <f ca="1">VLOOKUP(C92,Postupy!$A$3:$C$66,3,0)</f>
        <v/>
      </c>
      <c r="B92" s="147"/>
      <c r="C92" s="78">
        <v>27</v>
      </c>
      <c r="D92" s="79" t="str">
        <f ca="1">VLOOKUP(C92,Postupy!$A$3:$B$66,2,0)</f>
        <v xml:space="preserve"> - </v>
      </c>
      <c r="E92" s="129"/>
      <c r="F92" s="152"/>
      <c r="G92" s="149"/>
      <c r="H92" s="166"/>
      <c r="I92" s="199"/>
      <c r="J92" s="158"/>
      <c r="K92" s="170"/>
      <c r="L92" s="171"/>
      <c r="M92" s="201"/>
      <c r="N92" s="149"/>
      <c r="O92" s="149"/>
      <c r="P92" s="176"/>
      <c r="Q92" s="200"/>
      <c r="R92" s="158"/>
      <c r="S92" s="177"/>
      <c r="T92" s="167"/>
      <c r="U92" s="158"/>
      <c r="V92" s="149"/>
      <c r="W92" s="161"/>
      <c r="X92" s="16"/>
      <c r="Y92" s="16"/>
      <c r="Z92" s="16"/>
      <c r="AA92" s="16"/>
      <c r="AB92" s="16"/>
      <c r="AC92" s="16"/>
      <c r="AD92" s="16"/>
      <c r="AE92" s="16"/>
      <c r="AF92" s="16"/>
      <c r="AG92" s="16"/>
      <c r="AH92" s="16"/>
      <c r="AI92" s="16"/>
      <c r="AJ92" s="16"/>
    </row>
    <row r="93" spans="1:36" ht="18.899999999999999" thickTop="1" thickBot="1" x14ac:dyDescent="0.5">
      <c r="A93" s="86" t="str">
        <f ca="1">VLOOKUP(C93,Postupy!$A$3:$C$66,3,0)</f>
        <v/>
      </c>
      <c r="B93" s="147"/>
      <c r="C93" s="80">
        <v>38</v>
      </c>
      <c r="D93" s="81" t="str">
        <f ca="1">VLOOKUP(C93,Postupy!$A$3:$B$66,2,0)</f>
        <v xml:space="preserve"> - </v>
      </c>
      <c r="E93" s="130"/>
      <c r="F93" s="172" t="s">
        <v>1681</v>
      </c>
      <c r="G93" s="152"/>
      <c r="H93" s="296" t="s">
        <v>1680</v>
      </c>
      <c r="I93" s="297" t="str">
        <f ca="1">IF(OR(TRIM(H94)="-",TRIM(H95)="-"),"",VLOOKUP(MIN(G94,G95),Hřiště!$B$11:$E$42,4,0))</f>
        <v/>
      </c>
      <c r="J93" s="158"/>
      <c r="K93" s="161"/>
      <c r="L93" s="169"/>
      <c r="M93" s="197"/>
      <c r="N93" s="149"/>
      <c r="O93" s="149"/>
      <c r="P93" s="176"/>
      <c r="Q93" s="200"/>
      <c r="R93" s="158"/>
      <c r="S93" s="177"/>
      <c r="T93" s="167"/>
      <c r="U93" s="158"/>
      <c r="V93" s="149"/>
      <c r="W93" s="161"/>
      <c r="X93" s="33"/>
      <c r="Y93" s="16"/>
      <c r="Z93" s="16"/>
      <c r="AA93" s="16"/>
      <c r="AB93" s="16"/>
      <c r="AC93" s="16"/>
      <c r="AD93" s="16"/>
      <c r="AE93" s="16"/>
      <c r="AF93" s="16"/>
      <c r="AG93" s="16"/>
      <c r="AH93" s="16"/>
      <c r="AI93" s="16"/>
      <c r="AJ93" s="16"/>
    </row>
    <row r="94" spans="1:36" ht="18.45" thickTop="1" thickBot="1" x14ac:dyDescent="0.45">
      <c r="A94" s="76"/>
      <c r="B94" s="155"/>
      <c r="C94" s="155">
        <f>C92+C93</f>
        <v>65</v>
      </c>
      <c r="D94" s="156"/>
      <c r="E94" s="196"/>
      <c r="F94" s="22"/>
      <c r="G94" s="78">
        <v>27</v>
      </c>
      <c r="H94" s="79" t="str">
        <f ca="1">IF(OR(TRIM(D92)="-",TRIM(D93)="-"), IF(TRIM(D92)="-",D93,D92),IF(AND(E92="",E93="")," ",IF(N(E92)=N(E93)," ",IF(N(E92)&gt;N(E93),D92,D93))))</f>
        <v xml:space="preserve"> - </v>
      </c>
      <c r="I94" s="129"/>
      <c r="J94" s="163"/>
      <c r="K94" s="161"/>
      <c r="L94" s="169"/>
      <c r="M94" s="197"/>
      <c r="N94" s="149"/>
      <c r="O94" s="149"/>
      <c r="P94" s="176"/>
      <c r="Q94" s="200"/>
      <c r="R94" s="158"/>
      <c r="S94" s="177"/>
      <c r="T94" s="167"/>
      <c r="U94" s="158"/>
      <c r="V94" s="149"/>
      <c r="W94" s="161"/>
      <c r="X94" s="33"/>
      <c r="Y94" s="16"/>
      <c r="Z94" s="16"/>
      <c r="AA94" s="16"/>
      <c r="AB94" s="16"/>
      <c r="AC94" s="16"/>
      <c r="AD94" s="16"/>
      <c r="AE94" s="16"/>
      <c r="AF94" s="16"/>
      <c r="AG94" s="16"/>
      <c r="AH94" s="16"/>
      <c r="AI94" s="16"/>
      <c r="AJ94" s="16"/>
    </row>
    <row r="95" spans="1:36" ht="18.899999999999999" thickTop="1" thickBot="1" x14ac:dyDescent="0.5">
      <c r="A95" s="75"/>
      <c r="B95" s="159"/>
      <c r="C95" s="160"/>
      <c r="D95" s="296" t="s">
        <v>1680</v>
      </c>
      <c r="E95" s="297" t="str">
        <f ca="1">IF(OR(TRIM(D96)="-",TRIM(D97)="-"),"",VLOOKUP(MIN(C96,C97),Hřiště!$B$11:$E$42,4,0))</f>
        <v/>
      </c>
      <c r="F95" s="168"/>
      <c r="G95" s="80">
        <v>6</v>
      </c>
      <c r="H95" s="81" t="str">
        <f ca="1">IF(OR(TRIM(D96)="-",TRIM(D97)="-"), IF(TRIM(D96)="-",D97,D96),IF(AND(E96="",E97="")," ",IF(N(E96)=N(E97)," ",IF(N(E96)&gt;N(E97),D96,D97))))</f>
        <v>21 SK Pétanque Řepy - Pastorek Jaroslav</v>
      </c>
      <c r="I95" s="130"/>
      <c r="J95" s="150"/>
      <c r="K95" s="149"/>
      <c r="L95" s="169"/>
      <c r="M95" s="199"/>
      <c r="N95" s="149"/>
      <c r="O95" s="149"/>
      <c r="P95" s="176"/>
      <c r="Q95" s="200"/>
      <c r="R95" s="158"/>
      <c r="S95" s="177"/>
      <c r="T95" s="167"/>
      <c r="U95" s="158"/>
      <c r="V95" s="149"/>
      <c r="W95" s="161"/>
      <c r="X95" s="33"/>
      <c r="Y95" s="16"/>
      <c r="Z95" s="16"/>
      <c r="AA95" s="16"/>
      <c r="AB95" s="16"/>
      <c r="AC95" s="16"/>
      <c r="AD95" s="16"/>
      <c r="AE95" s="16"/>
      <c r="AF95" s="16"/>
      <c r="AG95" s="16"/>
      <c r="AH95" s="16"/>
      <c r="AI95" s="16"/>
      <c r="AJ95" s="16"/>
    </row>
    <row r="96" spans="1:36" ht="18.45" thickTop="1" thickBot="1" x14ac:dyDescent="0.45">
      <c r="A96" s="86" t="str">
        <f ca="1">VLOOKUP(C96,Postupy!$A$3:$C$66,3,0)</f>
        <v/>
      </c>
      <c r="B96" s="147"/>
      <c r="C96" s="78">
        <v>59</v>
      </c>
      <c r="D96" s="79" t="str">
        <f ca="1">VLOOKUP(C96,Postupy!$A$3:$B$66,2,0)</f>
        <v xml:space="preserve"> - </v>
      </c>
      <c r="E96" s="129"/>
      <c r="F96" s="173"/>
      <c r="G96" s="170"/>
      <c r="H96" s="171"/>
      <c r="I96" s="201"/>
      <c r="J96" s="149"/>
      <c r="K96" s="149"/>
      <c r="L96" s="166"/>
      <c r="M96" s="199"/>
      <c r="N96" s="149"/>
      <c r="O96" s="149"/>
      <c r="P96" s="176"/>
      <c r="Q96" s="200"/>
      <c r="R96" s="158"/>
      <c r="S96" s="177"/>
      <c r="T96" s="167"/>
      <c r="U96" s="158"/>
      <c r="V96" s="149"/>
      <c r="W96" s="161"/>
      <c r="X96" s="33"/>
      <c r="Y96" s="16"/>
      <c r="Z96" s="16"/>
      <c r="AA96" s="16"/>
      <c r="AB96" s="16"/>
      <c r="AC96" s="16"/>
      <c r="AD96" s="16"/>
      <c r="AE96" s="16"/>
      <c r="AF96" s="16"/>
      <c r="AG96" s="16"/>
      <c r="AH96" s="16"/>
      <c r="AI96" s="16"/>
      <c r="AJ96" s="16"/>
    </row>
    <row r="97" spans="1:36" ht="18.899999999999999" thickTop="1" thickBot="1" x14ac:dyDescent="0.5">
      <c r="A97" s="86">
        <f ca="1">VLOOKUP(C97,Postupy!$A$3:$C$66,3,0)</f>
        <v>21</v>
      </c>
      <c r="B97" s="147"/>
      <c r="C97" s="80">
        <v>6</v>
      </c>
      <c r="D97" s="81" t="str">
        <f ca="1">VLOOKUP(C97,Postupy!$A$3:$B$66,2,0)</f>
        <v>21 SK Pétanque Řepy - Pastorek Jaroslav</v>
      </c>
      <c r="E97" s="130"/>
      <c r="F97" s="174"/>
      <c r="G97" s="149"/>
      <c r="H97" s="166"/>
      <c r="I97" s="199"/>
      <c r="J97" s="149"/>
      <c r="K97" s="149"/>
      <c r="L97" s="175"/>
      <c r="M97" s="199"/>
      <c r="N97" s="149"/>
      <c r="O97" s="149"/>
      <c r="P97" s="176"/>
      <c r="Q97" s="200"/>
      <c r="R97" s="158"/>
      <c r="S97" s="177"/>
      <c r="T97" s="296" t="s">
        <v>1680</v>
      </c>
      <c r="U97" s="297" t="str">
        <f ca="1">IF(OR(TRIM(T98)="-",TRIM(T99)="-"),"",VLOOKUP(MIN(S98,S99),Hřiště!$B$11:$E$42,4,0))</f>
        <v/>
      </c>
      <c r="V97" s="149"/>
      <c r="W97" s="161"/>
      <c r="X97" s="16"/>
      <c r="Y97" s="16"/>
      <c r="Z97" s="16"/>
      <c r="AA97" s="16"/>
      <c r="AB97" s="16"/>
      <c r="AC97" s="16"/>
      <c r="AD97" s="16"/>
      <c r="AE97" s="16"/>
      <c r="AF97" s="16"/>
      <c r="AG97" s="16"/>
      <c r="AH97" s="16"/>
      <c r="AI97" s="16"/>
      <c r="AJ97" s="16"/>
    </row>
    <row r="98" spans="1:36" ht="18.45" thickTop="1" thickBot="1" x14ac:dyDescent="0.45">
      <c r="A98" s="76"/>
      <c r="B98" s="155"/>
      <c r="C98" s="155">
        <f>C96+C97</f>
        <v>65</v>
      </c>
      <c r="D98" s="156"/>
      <c r="E98" s="196"/>
      <c r="F98" s="259">
        <f>C94+C98</f>
        <v>130</v>
      </c>
      <c r="G98" s="149"/>
      <c r="H98" s="169"/>
      <c r="I98" s="199"/>
      <c r="J98" s="149"/>
      <c r="K98" s="149"/>
      <c r="L98" s="182"/>
      <c r="M98" s="199"/>
      <c r="N98" s="149"/>
      <c r="O98" s="149"/>
      <c r="P98" s="182"/>
      <c r="Q98" s="199"/>
      <c r="R98" s="149"/>
      <c r="S98" s="37">
        <v>3</v>
      </c>
      <c r="T98" s="79" t="str">
        <f ca="1">IF(OR(TRIM(P82)="-",TRIM(P83)="-"), IF(TRIM(P82)="-",P83,P82),IF(AND(Q82="",Q83="")," ",IF(N(Q82)=N(Q83)," ",IF(N(Q82)&gt;N(Q83),P82,P83))))</f>
        <v xml:space="preserve"> </v>
      </c>
      <c r="U98" s="129"/>
      <c r="V98" s="163"/>
      <c r="W98" s="149"/>
      <c r="X98" s="16"/>
      <c r="Y98" s="16"/>
      <c r="Z98" s="16"/>
      <c r="AA98" s="16"/>
      <c r="AB98" s="16"/>
      <c r="AC98" s="16"/>
      <c r="AD98" s="16"/>
      <c r="AE98" s="16"/>
      <c r="AF98" s="16"/>
      <c r="AG98" s="16"/>
      <c r="AH98" s="16"/>
      <c r="AI98" s="16"/>
      <c r="AJ98" s="16"/>
    </row>
    <row r="99" spans="1:36" ht="18.899999999999999" thickTop="1" thickBot="1" x14ac:dyDescent="0.5">
      <c r="A99" s="75"/>
      <c r="B99" s="159"/>
      <c r="C99" s="160"/>
      <c r="D99" s="296" t="s">
        <v>1680</v>
      </c>
      <c r="E99" s="297" t="str">
        <f ca="1">IF(OR(TRIM(D100)="-",TRIM(D101)="-"),"",VLOOKUP(MIN(C100,C101),Hřiště!$B$11:$E$42,4,0))</f>
        <v/>
      </c>
      <c r="F99" s="22"/>
      <c r="G99" s="149"/>
      <c r="H99" s="169"/>
      <c r="I99" s="199"/>
      <c r="J99" s="149"/>
      <c r="K99" s="149"/>
      <c r="L99" s="182"/>
      <c r="M99" s="199"/>
      <c r="N99" s="149"/>
      <c r="O99" s="149"/>
      <c r="P99" s="182"/>
      <c r="Q99" s="199"/>
      <c r="R99" s="149"/>
      <c r="S99" s="80">
        <v>2</v>
      </c>
      <c r="T99" s="81" t="str">
        <f ca="1">IF(OR(TRIM(P114)="-",TRIM(P115)="-"), IF(TRIM(P114)="-",P115,P114),IF(AND(Q114="",Q115="")," ",IF(N(Q114)=N(Q115)," ",IF(N(Q114)&gt;N(Q115),P114,P115))))</f>
        <v xml:space="preserve"> </v>
      </c>
      <c r="U99" s="130"/>
      <c r="V99" s="150"/>
      <c r="W99" s="149"/>
      <c r="X99" s="16"/>
      <c r="Y99" s="17"/>
      <c r="Z99" s="16"/>
      <c r="AA99" s="16"/>
      <c r="AB99" s="16"/>
      <c r="AC99" s="16"/>
      <c r="AD99" s="16"/>
      <c r="AE99" s="16"/>
      <c r="AF99" s="16"/>
      <c r="AG99" s="16"/>
      <c r="AH99" s="16"/>
      <c r="AI99" s="16"/>
      <c r="AJ99" s="16"/>
    </row>
    <row r="100" spans="1:36" ht="18.45" thickTop="1" thickBot="1" x14ac:dyDescent="0.45">
      <c r="A100" s="86">
        <f ca="1">VLOOKUP(C100,Postupy!$A$3:$C$66,3,0)</f>
        <v>14</v>
      </c>
      <c r="B100" s="147"/>
      <c r="C100" s="78">
        <v>7</v>
      </c>
      <c r="D100" s="79" t="str">
        <f ca="1">VLOOKUP(C100,Postupy!$A$3:$B$66,2,0)</f>
        <v>14 PC Sokol Lipník - Morávek Petr</v>
      </c>
      <c r="E100" s="129"/>
      <c r="F100" s="152"/>
      <c r="G100" s="149"/>
      <c r="H100" s="166"/>
      <c r="I100" s="199"/>
      <c r="J100" s="149"/>
      <c r="K100" s="149"/>
      <c r="L100" s="182"/>
      <c r="M100" s="199"/>
      <c r="N100" s="149"/>
      <c r="O100" s="149"/>
      <c r="P100" s="176"/>
      <c r="Q100" s="200"/>
      <c r="R100" s="158"/>
      <c r="S100" s="170"/>
      <c r="T100" s="183"/>
      <c r="U100" s="29"/>
      <c r="V100" s="149"/>
      <c r="W100" s="149"/>
      <c r="X100" s="16"/>
      <c r="Y100" s="17"/>
      <c r="Z100" s="16"/>
      <c r="AA100" s="16"/>
      <c r="AB100" s="16"/>
      <c r="AC100" s="16"/>
      <c r="AD100" s="16"/>
      <c r="AE100" s="16"/>
      <c r="AF100" s="16"/>
      <c r="AG100" s="16"/>
      <c r="AH100" s="16"/>
      <c r="AI100" s="16"/>
      <c r="AJ100" s="16"/>
    </row>
    <row r="101" spans="1:36" ht="18.899999999999999" thickTop="1" thickBot="1" x14ac:dyDescent="0.5">
      <c r="A101" s="86" t="str">
        <f ca="1">VLOOKUP(C101,Postupy!$A$3:$C$66,3,0)</f>
        <v/>
      </c>
      <c r="B101" s="147"/>
      <c r="C101" s="80">
        <v>58</v>
      </c>
      <c r="D101" s="81" t="str">
        <f ca="1">VLOOKUP(C101,Postupy!$A$3:$B$66,2,0)</f>
        <v xml:space="preserve"> - </v>
      </c>
      <c r="E101" s="130"/>
      <c r="F101" s="178"/>
      <c r="G101" s="152"/>
      <c r="H101" s="296" t="s">
        <v>1680</v>
      </c>
      <c r="I101" s="297" t="str">
        <f ca="1">IF(OR(TRIM(H102)="-",TRIM(H103)="-"),"",VLOOKUP(MIN(G102,G103),Hřiště!$B$11:$E$42,4,0))</f>
        <v/>
      </c>
      <c r="J101" s="149"/>
      <c r="K101" s="149"/>
      <c r="L101" s="182"/>
      <c r="M101" s="199"/>
      <c r="N101" s="149"/>
      <c r="O101" s="149"/>
      <c r="P101" s="176"/>
      <c r="Q101" s="200"/>
      <c r="R101" s="158"/>
      <c r="S101" s="161"/>
      <c r="T101" s="154"/>
      <c r="U101" s="40"/>
      <c r="V101" s="149"/>
      <c r="W101" s="149"/>
      <c r="X101" s="33"/>
      <c r="Y101" s="16"/>
      <c r="Z101" s="16"/>
      <c r="AA101" s="16"/>
      <c r="AB101" s="16"/>
      <c r="AC101" s="16"/>
      <c r="AD101" s="16"/>
      <c r="AE101" s="16"/>
      <c r="AF101" s="16"/>
      <c r="AG101" s="16"/>
      <c r="AH101" s="16"/>
      <c r="AI101" s="16"/>
      <c r="AJ101" s="16"/>
    </row>
    <row r="102" spans="1:36" ht="18" thickBot="1" x14ac:dyDescent="0.45">
      <c r="A102" s="76"/>
      <c r="B102" s="155"/>
      <c r="C102" s="155">
        <f>C100+C101</f>
        <v>65</v>
      </c>
      <c r="D102" s="156"/>
      <c r="E102" s="196"/>
      <c r="F102" s="157"/>
      <c r="G102" s="78">
        <v>7</v>
      </c>
      <c r="H102" s="79" t="str">
        <f ca="1">IF(OR(TRIM(D100)="-",TRIM(D101)="-"), IF(TRIM(D100)="-",D101,D100),IF(AND(E100="",E101="")," ",IF(N(E100)=N(E101)," ",IF(N(E100)&gt;N(E101),D100,D101))))</f>
        <v>14 PC Sokol Lipník - Morávek Petr</v>
      </c>
      <c r="I102" s="129"/>
      <c r="J102" s="148"/>
      <c r="K102" s="149"/>
      <c r="L102" s="182"/>
      <c r="M102" s="199"/>
      <c r="N102" s="149"/>
      <c r="O102" s="149"/>
      <c r="P102" s="176"/>
      <c r="Q102" s="200"/>
      <c r="R102" s="158"/>
      <c r="S102" s="161"/>
      <c r="T102" s="154"/>
      <c r="U102" s="40"/>
      <c r="V102" s="149"/>
      <c r="W102" s="149"/>
      <c r="X102" s="33"/>
      <c r="Y102" s="16"/>
      <c r="Z102" s="16"/>
      <c r="AA102" s="16"/>
      <c r="AB102" s="16"/>
      <c r="AC102" s="16"/>
      <c r="AD102" s="16"/>
      <c r="AE102" s="16"/>
      <c r="AF102" s="16"/>
      <c r="AG102" s="16"/>
      <c r="AH102" s="16"/>
      <c r="AI102" s="16"/>
      <c r="AJ102" s="16"/>
    </row>
    <row r="103" spans="1:36" ht="18.899999999999999" thickTop="1" thickBot="1" x14ac:dyDescent="0.5">
      <c r="A103" s="75"/>
      <c r="B103" s="159"/>
      <c r="C103" s="160"/>
      <c r="D103" s="296" t="s">
        <v>1680</v>
      </c>
      <c r="E103" s="297" t="str">
        <f ca="1">IF(OR(TRIM(D104)="-",TRIM(D105)="-"),"",VLOOKUP(MIN(C104,C105),Hřiště!$B$11:$E$42,4,0))</f>
        <v/>
      </c>
      <c r="F103" s="157"/>
      <c r="G103" s="80">
        <v>26</v>
      </c>
      <c r="H103" s="81" t="str">
        <f ca="1">IF(OR(TRIM(D104)="-",TRIM(D105)="-"), IF(TRIM(D104)="-",D105,D104),IF(AND(E104="",E105="")," ",IF(N(E104)=N(E105)," ",IF(N(E104)&gt;N(E105),D104,D105))))</f>
        <v xml:space="preserve"> - </v>
      </c>
      <c r="I103" s="130"/>
      <c r="J103" s="151"/>
      <c r="K103" s="161"/>
      <c r="L103" s="156"/>
      <c r="M103" s="197"/>
      <c r="N103" s="149"/>
      <c r="O103" s="149"/>
      <c r="P103" s="176"/>
      <c r="Q103" s="200"/>
      <c r="R103" s="158"/>
      <c r="S103" s="161"/>
      <c r="T103" s="154"/>
      <c r="U103" s="40"/>
      <c r="V103" s="149"/>
      <c r="W103" s="149"/>
      <c r="X103" s="210" t="s">
        <v>1682</v>
      </c>
      <c r="Y103" s="199"/>
      <c r="Z103" s="149"/>
      <c r="AA103" s="149"/>
      <c r="AB103" s="16"/>
      <c r="AC103" s="16"/>
      <c r="AD103" s="16"/>
      <c r="AE103" s="16"/>
      <c r="AF103" s="16"/>
      <c r="AG103" s="16"/>
      <c r="AH103" s="16"/>
      <c r="AI103" s="16"/>
      <c r="AJ103" s="16"/>
    </row>
    <row r="104" spans="1:36" ht="18.45" thickTop="1" thickBot="1" x14ac:dyDescent="0.45">
      <c r="A104" s="86" t="str">
        <f ca="1">VLOOKUP(C104,Postupy!$A$3:$C$66,3,0)</f>
        <v/>
      </c>
      <c r="B104" s="147"/>
      <c r="C104" s="78">
        <v>39</v>
      </c>
      <c r="D104" s="79" t="str">
        <f ca="1">VLOOKUP(C104,Postupy!$A$3:$B$66,2,0)</f>
        <v xml:space="preserve"> - </v>
      </c>
      <c r="E104" s="129"/>
      <c r="F104" s="163"/>
      <c r="G104" s="170"/>
      <c r="H104" s="171"/>
      <c r="I104" s="201"/>
      <c r="J104" s="158"/>
      <c r="K104" s="161"/>
      <c r="L104" s="180"/>
      <c r="M104" s="197"/>
      <c r="N104" s="149"/>
      <c r="O104" s="149"/>
      <c r="P104" s="176"/>
      <c r="Q104" s="200"/>
      <c r="R104" s="158"/>
      <c r="S104" s="161"/>
      <c r="T104" s="149"/>
      <c r="U104" s="40"/>
      <c r="V104" s="149"/>
      <c r="W104" s="149"/>
      <c r="X104" s="211" t="s">
        <v>1683</v>
      </c>
      <c r="Y104" s="199"/>
      <c r="Z104" s="149"/>
      <c r="AA104" s="149"/>
      <c r="AB104" s="16"/>
      <c r="AC104" s="16"/>
      <c r="AD104" s="16"/>
      <c r="AE104" s="16"/>
      <c r="AF104" s="16"/>
      <c r="AG104" s="16"/>
      <c r="AH104" s="16"/>
      <c r="AI104" s="16"/>
      <c r="AJ104" s="16"/>
    </row>
    <row r="105" spans="1:36" ht="18.899999999999999" thickTop="1" thickBot="1" x14ac:dyDescent="0.5">
      <c r="A105" s="86" t="str">
        <f ca="1">VLOOKUP(C105,Postupy!$A$3:$C$66,3,0)</f>
        <v/>
      </c>
      <c r="B105" s="147"/>
      <c r="C105" s="80">
        <v>26</v>
      </c>
      <c r="D105" s="81" t="str">
        <f ca="1">VLOOKUP(C105,Postupy!$A$3:$B$66,2,0)</f>
        <v xml:space="preserve"> - </v>
      </c>
      <c r="E105" s="130"/>
      <c r="F105" s="150"/>
      <c r="G105" s="149"/>
      <c r="H105" s="166"/>
      <c r="I105" s="200"/>
      <c r="J105" s="158"/>
      <c r="K105" s="152"/>
      <c r="L105" s="296" t="s">
        <v>1680</v>
      </c>
      <c r="M105" s="297" t="str">
        <f ca="1">IF(OR(TRIM(L106)="-",TRIM(L107)="-"),"",VLOOKUP(MIN(K106,K107),Hřiště!$B$11:$E$42,4,0))</f>
        <v/>
      </c>
      <c r="N105" s="168"/>
      <c r="O105" s="149"/>
      <c r="P105" s="176"/>
      <c r="Q105" s="200"/>
      <c r="R105" s="158"/>
      <c r="S105" s="161"/>
      <c r="T105" s="149"/>
      <c r="U105" s="40"/>
      <c r="V105" s="149"/>
      <c r="W105" s="149"/>
      <c r="X105" s="296" t="s">
        <v>1680</v>
      </c>
      <c r="Y105" s="297" t="str">
        <f ca="1">IF(OR(TRIM(X106)="-",TRIM(X107)="-"),"",VLOOKUP(MIN(W106,W107),Hřiště!$B$11:$E$42,4,0))</f>
        <v/>
      </c>
      <c r="Z105" s="149"/>
      <c r="AA105" s="149"/>
      <c r="AB105" s="16"/>
      <c r="AC105" s="16"/>
      <c r="AD105" s="16"/>
      <c r="AE105" s="16"/>
      <c r="AF105" s="16"/>
      <c r="AG105" s="16"/>
      <c r="AH105" s="16"/>
      <c r="AI105" s="16"/>
      <c r="AJ105" s="16"/>
    </row>
    <row r="106" spans="1:36" ht="18.45" thickTop="1" thickBot="1" x14ac:dyDescent="0.45">
      <c r="A106" s="76"/>
      <c r="B106" s="155"/>
      <c r="C106" s="155">
        <f>C104+C105</f>
        <v>65</v>
      </c>
      <c r="D106" s="156"/>
      <c r="E106" s="196"/>
      <c r="F106" s="259">
        <f>C102+C106</f>
        <v>130</v>
      </c>
      <c r="G106" s="149"/>
      <c r="H106" s="169"/>
      <c r="I106" s="199"/>
      <c r="J106" s="149"/>
      <c r="K106" s="78">
        <v>7</v>
      </c>
      <c r="L106" s="79" t="str">
        <f ca="1">IF(OR(TRIM(H102)="-",TRIM(H103)="-"), IF(TRIM(H102)="-",H103,H102),IF(AND(I102="",I103="")," ",IF(N(I102)=N(I103)," ",IF(N(I102)&gt;N(I103),H102,H103))))</f>
        <v>14 PC Sokol Lipník - Morávek Petr</v>
      </c>
      <c r="M106" s="129"/>
      <c r="N106" s="148"/>
      <c r="O106" s="40"/>
      <c r="P106" s="176"/>
      <c r="Q106" s="200"/>
      <c r="R106" s="158"/>
      <c r="S106" s="161"/>
      <c r="T106" s="40"/>
      <c r="U106" s="40"/>
      <c r="V106" s="149"/>
      <c r="W106" s="78">
        <v>4</v>
      </c>
      <c r="X106" s="79" t="str">
        <f ca="1">IF(OR(TRIM(T34)="-",TRIM(T35)="-"), IF(TRIM(T34)="-",T34,T35),IF(AND(U34="",U35="")," ",IF(N(U34)=N(U35)," ",IF(N(U34)&gt;N(U35),T35,T34))))</f>
        <v xml:space="preserve"> </v>
      </c>
      <c r="Y106" s="129"/>
      <c r="Z106" s="163"/>
      <c r="AA106" s="37">
        <v>3</v>
      </c>
      <c r="AB106" s="98" t="str">
        <f>IF(AND(Y106="",Y107="")," ",IF(N(Y106)=N(Y107)," ",IF(N(Y106)&gt;N(Y107),X106,X107)))</f>
        <v xml:space="preserve"> </v>
      </c>
      <c r="AC106" s="97">
        <v>3</v>
      </c>
      <c r="AD106" s="16"/>
      <c r="AE106" s="16"/>
      <c r="AF106" s="16"/>
      <c r="AG106" s="17"/>
      <c r="AH106" s="17"/>
      <c r="AI106" s="16"/>
      <c r="AJ106" s="16"/>
    </row>
    <row r="107" spans="1:36" ht="18.899999999999999" thickTop="1" thickBot="1" x14ac:dyDescent="0.5">
      <c r="A107" s="75"/>
      <c r="B107" s="159"/>
      <c r="C107" s="160"/>
      <c r="D107" s="296" t="s">
        <v>1680</v>
      </c>
      <c r="E107" s="297" t="str">
        <f ca="1">IF(OR(TRIM(D108)="-",TRIM(D109)="-"),"",VLOOKUP(MIN(C108,C109),Hřiště!$B$11:$E$42,4,0))</f>
        <v/>
      </c>
      <c r="F107" s="149"/>
      <c r="G107" s="149"/>
      <c r="H107" s="169"/>
      <c r="I107" s="199"/>
      <c r="J107" s="149"/>
      <c r="K107" s="80">
        <v>10</v>
      </c>
      <c r="L107" s="81" t="str">
        <f ca="1">IF(OR(TRIM(H110)="-",TRIM(H111)="-"), IF(TRIM(H110)="-",H111,H110),IF(AND(I110="",I111="")," ",IF(N(I110)=N(I111)," ",IF(N(I110)&gt;N(I111),H110,H111))))</f>
        <v>12 PC Mimo Done - Heller Jan</v>
      </c>
      <c r="M107" s="130"/>
      <c r="N107" s="151"/>
      <c r="O107" s="161"/>
      <c r="P107" s="176"/>
      <c r="Q107" s="200"/>
      <c r="R107" s="158"/>
      <c r="S107" s="161"/>
      <c r="T107" s="40"/>
      <c r="U107" s="40"/>
      <c r="V107" s="149"/>
      <c r="W107" s="80">
        <v>3</v>
      </c>
      <c r="X107" s="81" t="str">
        <f ca="1">IF(OR(TRIM(T98)="-",TRIM(T99)="-"), IF(TRIM(T98)="-",T98,T99),IF(AND(U98="",U99="")," ",IF(N(U98)=N(U99)," ",IF(N(U98)&gt;N(U99),T99,T98))))</f>
        <v xml:space="preserve"> </v>
      </c>
      <c r="Y107" s="130"/>
      <c r="Z107" s="151"/>
      <c r="AA107" s="37">
        <v>4</v>
      </c>
      <c r="AB107" s="98" t="str">
        <f>IF(AND(Y106="",Y107="")," ",IF(N(Y107)=N(Y106)," ",IF(N(Y107)&gt;N(Y106),X106,X107)))</f>
        <v xml:space="preserve"> </v>
      </c>
      <c r="AC107" s="97">
        <v>4</v>
      </c>
      <c r="AD107" s="16"/>
      <c r="AE107" s="17"/>
      <c r="AF107" s="17"/>
      <c r="AG107" s="17"/>
      <c r="AH107" s="17"/>
      <c r="AI107" s="16"/>
      <c r="AJ107" s="16"/>
    </row>
    <row r="108" spans="1:36" ht="18.45" thickTop="1" thickBot="1" x14ac:dyDescent="0.45">
      <c r="A108" s="86" t="str">
        <f ca="1">VLOOKUP(C108,Postupy!$A$3:$C$66,3,0)</f>
        <v/>
      </c>
      <c r="B108" s="147"/>
      <c r="C108" s="78">
        <v>23</v>
      </c>
      <c r="D108" s="79" t="str">
        <f ca="1">VLOOKUP(C108,Postupy!$A$3:$B$66,2,0)</f>
        <v xml:space="preserve"> - </v>
      </c>
      <c r="E108" s="129"/>
      <c r="F108" s="152"/>
      <c r="G108" s="149"/>
      <c r="H108" s="166"/>
      <c r="I108" s="199"/>
      <c r="J108" s="158"/>
      <c r="K108" s="170"/>
      <c r="L108" s="171"/>
      <c r="M108" s="201"/>
      <c r="N108" s="149"/>
      <c r="O108" s="161"/>
      <c r="P108" s="176"/>
      <c r="Q108" s="200"/>
      <c r="R108" s="158"/>
      <c r="S108" s="161"/>
      <c r="T108" s="40"/>
      <c r="U108" s="40"/>
      <c r="V108" s="149"/>
      <c r="W108" s="149"/>
      <c r="X108" s="40"/>
      <c r="Y108" s="197"/>
      <c r="Z108" s="40"/>
      <c r="AA108" s="149"/>
      <c r="AB108" s="16"/>
      <c r="AC108" s="16"/>
      <c r="AD108" s="16"/>
      <c r="AE108" s="16"/>
      <c r="AF108" s="16"/>
      <c r="AG108" s="16"/>
      <c r="AH108" s="16"/>
      <c r="AI108" s="16"/>
      <c r="AJ108" s="16"/>
    </row>
    <row r="109" spans="1:36" ht="18.899999999999999" thickTop="1" thickBot="1" x14ac:dyDescent="0.5">
      <c r="A109" s="86" t="str">
        <f ca="1">VLOOKUP(C109,Postupy!$A$3:$C$66,3,0)</f>
        <v/>
      </c>
      <c r="B109" s="147"/>
      <c r="C109" s="80">
        <v>42</v>
      </c>
      <c r="D109" s="81" t="str">
        <f ca="1">VLOOKUP(C109,Postupy!$A$3:$B$66,2,0)</f>
        <v xml:space="preserve"> - </v>
      </c>
      <c r="E109" s="130"/>
      <c r="F109" s="172" t="s">
        <v>1681</v>
      </c>
      <c r="G109" s="152"/>
      <c r="H109" s="296" t="s">
        <v>1680</v>
      </c>
      <c r="I109" s="297" t="str">
        <f ca="1">IF(OR(TRIM(H110)="-",TRIM(H111)="-"),"",VLOOKUP(MIN(G110,G111),Hřiště!$B$11:$E$42,4,0))</f>
        <v/>
      </c>
      <c r="J109" s="158"/>
      <c r="K109" s="161"/>
      <c r="L109" s="169"/>
      <c r="M109" s="197"/>
      <c r="N109" s="149"/>
      <c r="O109" s="161"/>
      <c r="P109" s="176"/>
      <c r="Q109" s="200"/>
      <c r="R109" s="158"/>
      <c r="S109" s="161"/>
      <c r="T109" s="40"/>
      <c r="U109" s="40"/>
      <c r="V109" s="149"/>
      <c r="W109" s="149"/>
      <c r="X109" s="16"/>
      <c r="Y109" s="16"/>
      <c r="Z109" s="16"/>
      <c r="AA109" s="16"/>
      <c r="AB109" s="16"/>
      <c r="AC109" s="16"/>
      <c r="AD109" s="16"/>
      <c r="AE109" s="16"/>
      <c r="AF109" s="16"/>
      <c r="AG109" s="16"/>
      <c r="AH109" s="16"/>
      <c r="AI109" s="16"/>
      <c r="AJ109" s="16"/>
    </row>
    <row r="110" spans="1:36" ht="18" thickBot="1" x14ac:dyDescent="0.45">
      <c r="A110" s="76"/>
      <c r="B110" s="155"/>
      <c r="C110" s="155">
        <f>C108+C109</f>
        <v>65</v>
      </c>
      <c r="D110" s="156"/>
      <c r="E110" s="196"/>
      <c r="F110" s="157"/>
      <c r="G110" s="78">
        <v>23</v>
      </c>
      <c r="H110" s="79" t="str">
        <f ca="1">IF(OR(TRIM(D108)="-",TRIM(D109)="-"), IF(TRIM(D108)="-",D109,D108),IF(AND(E108="",E109="")," ",IF(N(E108)=N(E109)," ",IF(N(E108)&gt;N(E109),D108,D109))))</f>
        <v xml:space="preserve"> - </v>
      </c>
      <c r="I110" s="129"/>
      <c r="J110" s="163"/>
      <c r="K110" s="161"/>
      <c r="L110" s="169"/>
      <c r="M110" s="197"/>
      <c r="N110" s="149"/>
      <c r="O110" s="161"/>
      <c r="P110" s="176"/>
      <c r="Q110" s="200"/>
      <c r="R110" s="158"/>
      <c r="S110" s="161"/>
      <c r="T110" s="40"/>
      <c r="U110" s="40"/>
      <c r="V110" s="149"/>
      <c r="W110" s="149"/>
      <c r="X110" s="16"/>
      <c r="Y110" s="16"/>
      <c r="Z110" s="16"/>
      <c r="AA110" s="16"/>
      <c r="AB110" s="16"/>
      <c r="AC110" s="16"/>
      <c r="AD110" s="16"/>
      <c r="AE110" s="16"/>
      <c r="AF110" s="16"/>
      <c r="AG110" s="16"/>
      <c r="AH110" s="16"/>
      <c r="AI110" s="16"/>
      <c r="AJ110" s="16"/>
    </row>
    <row r="111" spans="1:36" ht="18.899999999999999" thickTop="1" thickBot="1" x14ac:dyDescent="0.5">
      <c r="A111" s="75"/>
      <c r="B111" s="159"/>
      <c r="C111" s="160"/>
      <c r="D111" s="296" t="s">
        <v>1680</v>
      </c>
      <c r="E111" s="297" t="str">
        <f ca="1">IF(OR(TRIM(D112)="-",TRIM(D113)="-"),"",VLOOKUP(MIN(C112,C113),Hřiště!$B$11:$E$42,4,0))</f>
        <v/>
      </c>
      <c r="F111" s="168"/>
      <c r="G111" s="80">
        <v>10</v>
      </c>
      <c r="H111" s="81" t="str">
        <f ca="1">IF(OR(TRIM(D112)="-",TRIM(D113)="-"), IF(TRIM(D112)="-",D113,D112),IF(AND(E112="",E113="")," ",IF(N(E112)=N(E113)," ",IF(N(E112)&gt;N(E113),D112,D113))))</f>
        <v>12 PC Mimo Done - Heller Jan</v>
      </c>
      <c r="I111" s="130"/>
      <c r="J111" s="150"/>
      <c r="K111" s="149"/>
      <c r="L111" s="169"/>
      <c r="M111" s="199"/>
      <c r="N111" s="149"/>
      <c r="O111" s="161"/>
      <c r="P111" s="176"/>
      <c r="Q111" s="200"/>
      <c r="R111" s="158"/>
      <c r="S111" s="161"/>
      <c r="T111" s="40"/>
      <c r="U111" s="40"/>
      <c r="V111" s="149"/>
      <c r="W111" s="149"/>
      <c r="X111" s="16"/>
      <c r="Y111" s="16"/>
      <c r="Z111" s="16"/>
      <c r="AA111" s="16"/>
      <c r="AB111" s="16"/>
      <c r="AC111" s="16"/>
      <c r="AD111" s="16"/>
      <c r="AE111" s="16"/>
      <c r="AF111" s="16"/>
      <c r="AG111" s="16"/>
      <c r="AH111" s="16"/>
      <c r="AI111" s="16"/>
      <c r="AJ111" s="16"/>
    </row>
    <row r="112" spans="1:36" ht="18.45" thickTop="1" thickBot="1" x14ac:dyDescent="0.45">
      <c r="A112" s="86" t="str">
        <f ca="1">VLOOKUP(C112,Postupy!$A$3:$C$66,3,0)</f>
        <v/>
      </c>
      <c r="B112" s="147"/>
      <c r="C112" s="78">
        <v>55</v>
      </c>
      <c r="D112" s="79" t="str">
        <f ca="1">VLOOKUP(C112,Postupy!$A$3:$B$66,2,0)</f>
        <v xml:space="preserve"> - </v>
      </c>
      <c r="E112" s="129"/>
      <c r="F112" s="173"/>
      <c r="G112" s="170"/>
      <c r="H112" s="171"/>
      <c r="I112" s="201"/>
      <c r="J112" s="149"/>
      <c r="K112" s="149"/>
      <c r="L112" s="166"/>
      <c r="M112" s="199"/>
      <c r="N112" s="149"/>
      <c r="O112" s="161"/>
      <c r="P112" s="180"/>
      <c r="Q112" s="200"/>
      <c r="R112" s="158"/>
      <c r="S112" s="161"/>
      <c r="T112" s="40"/>
      <c r="U112" s="40"/>
      <c r="V112" s="149"/>
      <c r="W112" s="158"/>
      <c r="X112" s="16"/>
      <c r="Y112" s="16"/>
      <c r="Z112" s="16"/>
      <c r="AA112" s="16"/>
      <c r="AB112" s="16"/>
      <c r="AC112" s="16"/>
      <c r="AD112" s="16"/>
      <c r="AE112" s="16"/>
      <c r="AF112" s="16"/>
      <c r="AG112" s="16"/>
      <c r="AH112" s="16"/>
      <c r="AI112" s="16"/>
      <c r="AJ112" s="16"/>
    </row>
    <row r="113" spans="1:36" ht="18.899999999999999" thickTop="1" thickBot="1" x14ac:dyDescent="0.5">
      <c r="A113" s="86">
        <f ca="1">VLOOKUP(C113,Postupy!$A$3:$C$66,3,0)</f>
        <v>12</v>
      </c>
      <c r="B113" s="147"/>
      <c r="C113" s="80">
        <v>10</v>
      </c>
      <c r="D113" s="81" t="str">
        <f ca="1">VLOOKUP(C113,Postupy!$A$3:$B$66,2,0)</f>
        <v>12 PC Mimo Done - Heller Jan</v>
      </c>
      <c r="E113" s="130"/>
      <c r="F113" s="174"/>
      <c r="G113" s="149"/>
      <c r="H113" s="166"/>
      <c r="I113" s="199"/>
      <c r="J113" s="149"/>
      <c r="K113" s="149"/>
      <c r="L113" s="175"/>
      <c r="M113" s="200"/>
      <c r="N113" s="158"/>
      <c r="O113" s="161"/>
      <c r="P113" s="296" t="s">
        <v>1680</v>
      </c>
      <c r="Q113" s="297" t="str">
        <f ca="1">IF(OR(TRIM(P114)="-",TRIM(P115)="-"),"",VLOOKUP(MIN(O114,O115),Hřiště!$B$11:$E$42,4,0))</f>
        <v/>
      </c>
      <c r="R113" s="158"/>
      <c r="S113" s="161"/>
      <c r="T113" s="40"/>
      <c r="U113" s="40"/>
      <c r="V113" s="149"/>
      <c r="W113" s="149"/>
      <c r="X113" s="16"/>
      <c r="Y113" s="16"/>
      <c r="Z113" s="16"/>
      <c r="AA113" s="16"/>
      <c r="AB113" s="16"/>
      <c r="AC113" s="16"/>
      <c r="AD113" s="16"/>
      <c r="AE113" s="16"/>
      <c r="AF113" s="16"/>
      <c r="AG113" s="16"/>
      <c r="AH113" s="16"/>
      <c r="AI113" s="16"/>
      <c r="AJ113" s="16"/>
    </row>
    <row r="114" spans="1:36" ht="18" thickBot="1" x14ac:dyDescent="0.45">
      <c r="A114" s="76"/>
      <c r="B114" s="155"/>
      <c r="C114" s="155">
        <f>C112+C113</f>
        <v>65</v>
      </c>
      <c r="D114" s="156"/>
      <c r="E114" s="196"/>
      <c r="F114" s="259">
        <f>C110+C114</f>
        <v>130</v>
      </c>
      <c r="G114" s="259"/>
      <c r="H114" s="169"/>
      <c r="I114" s="199"/>
      <c r="J114" s="149"/>
      <c r="K114" s="149"/>
      <c r="L114" s="176"/>
      <c r="M114" s="200"/>
      <c r="N114" s="158"/>
      <c r="O114" s="78">
        <v>7</v>
      </c>
      <c r="P114" s="79" t="str">
        <f ca="1">IF(OR(TRIM(L106)="-",TRIM(L107)="-"), IF(TRIM(L106)="-",L107,L106),IF(AND(M106="",M107="")," ",IF(N(M106)=N(M107)," ",IF(N(M106)&gt;N(M107),L106,L107))))</f>
        <v xml:space="preserve"> </v>
      </c>
      <c r="Q114" s="129"/>
      <c r="R114" s="163"/>
      <c r="S114" s="161"/>
      <c r="T114" s="40"/>
      <c r="U114" s="40"/>
      <c r="V114" s="149"/>
      <c r="W114" s="149"/>
      <c r="X114" s="16"/>
      <c r="Y114" s="16"/>
      <c r="Z114" s="16"/>
      <c r="AA114" s="16"/>
      <c r="AB114" s="16"/>
      <c r="AC114" s="16"/>
      <c r="AD114" s="16"/>
      <c r="AE114" s="16"/>
      <c r="AF114" s="16"/>
      <c r="AG114" s="16"/>
      <c r="AH114" s="16"/>
      <c r="AI114" s="16"/>
      <c r="AJ114" s="16"/>
    </row>
    <row r="115" spans="1:36" ht="18.899999999999999" thickTop="1" thickBot="1" x14ac:dyDescent="0.5">
      <c r="A115" s="75"/>
      <c r="B115" s="159"/>
      <c r="C115" s="160"/>
      <c r="D115" s="296" t="s">
        <v>1680</v>
      </c>
      <c r="E115" s="297" t="str">
        <f ca="1">IF(OR(TRIM(D116)="-",TRIM(D117)="-"),"",VLOOKUP(MIN(C116,C117),Hřiště!$B$11:$E$42,4,0))</f>
        <v/>
      </c>
      <c r="F115" s="259"/>
      <c r="G115" s="149"/>
      <c r="H115" s="169"/>
      <c r="I115" s="199"/>
      <c r="J115" s="149"/>
      <c r="K115" s="149"/>
      <c r="L115" s="176"/>
      <c r="M115" s="200"/>
      <c r="N115" s="158"/>
      <c r="O115" s="80">
        <v>2</v>
      </c>
      <c r="P115" s="81" t="str">
        <f ca="1">IF(OR(TRIM(L122)="-",TRIM(L123)="-"),IF(TRIM(L122)="-",L123,L122),IF(AND(M122="",M123="")," ",IF(N(M122)=N(M123)," ",IF(N(M122)&gt;N(M123),L122,L123))))</f>
        <v xml:space="preserve"> </v>
      </c>
      <c r="Q115" s="130"/>
      <c r="R115" s="150"/>
      <c r="S115" s="149"/>
      <c r="U115" s="149"/>
      <c r="V115" s="149"/>
      <c r="W115" s="158"/>
      <c r="X115" s="16"/>
      <c r="Y115" s="16"/>
      <c r="Z115" s="16"/>
      <c r="AA115" s="16"/>
      <c r="AB115" s="16"/>
      <c r="AC115" s="16"/>
      <c r="AD115" s="16"/>
      <c r="AE115" s="16"/>
      <c r="AF115" s="16"/>
      <c r="AG115" s="16"/>
      <c r="AH115" s="16"/>
      <c r="AI115" s="16"/>
      <c r="AJ115" s="16"/>
    </row>
    <row r="116" spans="1:36" ht="18.45" thickTop="1" thickBot="1" x14ac:dyDescent="0.45">
      <c r="A116" s="86">
        <f ca="1">VLOOKUP(C116,Postupy!$A$3:$C$66,3,0)</f>
        <v>44</v>
      </c>
      <c r="B116" s="147"/>
      <c r="C116" s="78">
        <v>15</v>
      </c>
      <c r="D116" s="79" t="str">
        <f ca="1">VLOOKUP(C116,Postupy!$A$3:$B$66,2,0)</f>
        <v xml:space="preserve">44   - michael dánsko  </v>
      </c>
      <c r="E116" s="129"/>
      <c r="F116" s="152"/>
      <c r="G116" s="149"/>
      <c r="H116" s="166"/>
      <c r="I116" s="199"/>
      <c r="J116" s="149"/>
      <c r="K116" s="149"/>
      <c r="L116" s="176"/>
      <c r="M116" s="200"/>
      <c r="N116" s="157"/>
      <c r="O116" s="170"/>
      <c r="P116" s="183"/>
      <c r="Q116" s="40"/>
      <c r="R116" s="149"/>
      <c r="S116" s="149"/>
      <c r="T116" s="40"/>
      <c r="U116" s="149"/>
      <c r="V116" s="149"/>
      <c r="W116" s="149"/>
      <c r="X116" s="16"/>
      <c r="Y116" s="16"/>
      <c r="Z116" s="16"/>
      <c r="AA116" s="16"/>
      <c r="AB116" s="16"/>
      <c r="AC116" s="16"/>
      <c r="AD116" s="16"/>
      <c r="AE116" s="16"/>
      <c r="AF116" s="16"/>
      <c r="AG116" s="16"/>
      <c r="AH116" s="16"/>
      <c r="AI116" s="16"/>
      <c r="AJ116" s="16"/>
    </row>
    <row r="117" spans="1:36" ht="18.899999999999999" thickTop="1" thickBot="1" x14ac:dyDescent="0.5">
      <c r="A117" s="86" t="str">
        <f ca="1">VLOOKUP(C117,Postupy!$A$3:$C$66,3,0)</f>
        <v/>
      </c>
      <c r="B117" s="147"/>
      <c r="C117" s="80">
        <v>50</v>
      </c>
      <c r="D117" s="81" t="str">
        <f ca="1">VLOOKUP(C117,Postupy!$A$3:$B$66,2,0)</f>
        <v xml:space="preserve"> - </v>
      </c>
      <c r="E117" s="130"/>
      <c r="F117" s="178"/>
      <c r="G117" s="152"/>
      <c r="H117" s="296" t="s">
        <v>1680</v>
      </c>
      <c r="I117" s="297" t="str">
        <f ca="1">IF(OR(TRIM(H118)="-",TRIM(H119)="-"),"",VLOOKUP(MIN(G118,G119),Hřiště!$B$11:$E$42,4,0))</f>
        <v/>
      </c>
      <c r="J117" s="149"/>
      <c r="K117" s="149"/>
      <c r="L117" s="176"/>
      <c r="M117" s="200"/>
      <c r="N117" s="157"/>
      <c r="O117" s="40"/>
      <c r="P117" s="154"/>
      <c r="Q117" s="40"/>
      <c r="R117" s="149"/>
      <c r="S117" s="149"/>
      <c r="T117" s="40"/>
      <c r="U117" s="149"/>
      <c r="V117" s="149"/>
      <c r="W117" s="149"/>
      <c r="X117" s="16"/>
      <c r="Y117" s="16"/>
      <c r="Z117" s="16"/>
      <c r="AA117" s="16"/>
      <c r="AB117" s="16"/>
      <c r="AC117" s="16"/>
      <c r="AD117" s="16"/>
      <c r="AE117" s="16"/>
      <c r="AF117" s="16"/>
      <c r="AG117" s="16"/>
      <c r="AH117" s="16"/>
      <c r="AI117" s="16"/>
      <c r="AJ117" s="16"/>
    </row>
    <row r="118" spans="1:36" ht="18" thickBot="1" x14ac:dyDescent="0.45">
      <c r="A118" s="76"/>
      <c r="B118" s="155"/>
      <c r="C118" s="155">
        <f>C116+C117</f>
        <v>65</v>
      </c>
      <c r="D118" s="156"/>
      <c r="E118" s="196"/>
      <c r="F118" s="157"/>
      <c r="G118" s="78">
        <v>15</v>
      </c>
      <c r="H118" s="79" t="str">
        <f ca="1">IF(OR(TRIM(D116)="-",TRIM(D117)="-"), IF(TRIM(D116)="-",D117,D116),IF(AND(E116="",E117="")," ",IF(N(E116)=N(E117)," ",IF(N(E116)&gt;N(E117),D116,D117))))</f>
        <v xml:space="preserve">44   - michael dánsko  </v>
      </c>
      <c r="I118" s="129"/>
      <c r="J118" s="148"/>
      <c r="K118" s="149"/>
      <c r="L118" s="176"/>
      <c r="M118" s="200"/>
      <c r="N118" s="157"/>
      <c r="O118" s="40"/>
      <c r="P118" s="154"/>
      <c r="Q118" s="40"/>
      <c r="R118" s="149"/>
      <c r="S118" s="149"/>
      <c r="T118" s="149"/>
      <c r="U118" s="149"/>
      <c r="V118" s="149"/>
      <c r="W118" s="149"/>
      <c r="X118" s="16"/>
      <c r="Y118" s="16"/>
      <c r="Z118" s="16"/>
      <c r="AA118" s="16"/>
      <c r="AB118" s="16"/>
      <c r="AC118" s="16"/>
      <c r="AD118" s="16"/>
      <c r="AE118" s="16"/>
      <c r="AF118" s="16"/>
      <c r="AG118" s="16"/>
      <c r="AH118" s="16"/>
      <c r="AI118" s="16"/>
      <c r="AJ118" s="16"/>
    </row>
    <row r="119" spans="1:36" ht="18.899999999999999" thickTop="1" thickBot="1" x14ac:dyDescent="0.5">
      <c r="A119" s="75"/>
      <c r="B119" s="159"/>
      <c r="C119" s="160"/>
      <c r="D119" s="296" t="s">
        <v>1680</v>
      </c>
      <c r="E119" s="297" t="str">
        <f ca="1">IF(OR(TRIM(D120)="-",TRIM(D121)="-"),"",VLOOKUP(MIN(C120,C121),Hřiště!$B$11:$E$42,4,0))</f>
        <v/>
      </c>
      <c r="F119" s="157"/>
      <c r="G119" s="80">
        <v>18</v>
      </c>
      <c r="H119" s="81" t="str">
        <f ca="1">IF(OR(TRIM(D120)="-",TRIM(D121)="-"), IF(TRIM(D120)="-",D121,D120),IF(AND(E120="",E121="")," ",IF(N(E120)=N(E121)," ",IF(N(E120)&gt;N(E121),D120,D121))))</f>
        <v xml:space="preserve"> - </v>
      </c>
      <c r="I119" s="130"/>
      <c r="J119" s="151"/>
      <c r="K119" s="161"/>
      <c r="L119" s="176"/>
      <c r="M119" s="200"/>
      <c r="N119" s="157"/>
      <c r="O119" s="40"/>
      <c r="P119" s="154"/>
      <c r="Q119" s="40"/>
      <c r="R119" s="149"/>
      <c r="S119" s="149"/>
      <c r="T119" s="40"/>
      <c r="U119" s="149"/>
      <c r="V119" s="149"/>
      <c r="W119" s="149"/>
      <c r="X119" s="16"/>
      <c r="Y119" s="16"/>
      <c r="Z119" s="16"/>
      <c r="AA119" s="16"/>
      <c r="AB119" s="16"/>
      <c r="AC119" s="16"/>
      <c r="AD119" s="16"/>
      <c r="AE119" s="16"/>
      <c r="AF119" s="16"/>
      <c r="AG119" s="16"/>
      <c r="AH119" s="16"/>
      <c r="AI119" s="16"/>
      <c r="AJ119" s="16"/>
    </row>
    <row r="120" spans="1:36" ht="18.45" thickTop="1" thickBot="1" x14ac:dyDescent="0.45">
      <c r="A120" s="86" t="str">
        <f ca="1">VLOOKUP(C120,Postupy!$A$3:$C$66,3,0)</f>
        <v/>
      </c>
      <c r="B120" s="147"/>
      <c r="C120" s="78">
        <v>47</v>
      </c>
      <c r="D120" s="79" t="str">
        <f ca="1">VLOOKUP(C120,Postupy!$A$3:$B$66,2,0)</f>
        <v xml:space="preserve"> - </v>
      </c>
      <c r="E120" s="129"/>
      <c r="F120" s="163"/>
      <c r="G120" s="170"/>
      <c r="H120" s="171"/>
      <c r="I120" s="201"/>
      <c r="J120" s="158"/>
      <c r="K120" s="161"/>
      <c r="L120" s="180"/>
      <c r="M120" s="200"/>
      <c r="N120" s="157"/>
      <c r="O120" s="40"/>
      <c r="P120" s="154"/>
      <c r="Q120" s="40"/>
      <c r="R120" s="149"/>
      <c r="S120" s="149"/>
      <c r="T120" s="40"/>
      <c r="U120" s="149"/>
      <c r="V120" s="149"/>
      <c r="W120" s="149"/>
      <c r="X120" s="16"/>
      <c r="Y120" s="16"/>
      <c r="Z120" s="16"/>
      <c r="AA120" s="16"/>
      <c r="AB120" s="16"/>
      <c r="AC120" s="16"/>
      <c r="AD120" s="16"/>
      <c r="AE120" s="16"/>
      <c r="AF120" s="16"/>
      <c r="AG120" s="16"/>
      <c r="AH120" s="16"/>
      <c r="AI120" s="16"/>
      <c r="AJ120" s="16"/>
    </row>
    <row r="121" spans="1:36" ht="18.899999999999999" thickTop="1" thickBot="1" x14ac:dyDescent="0.5">
      <c r="A121" s="86" t="str">
        <f ca="1">VLOOKUP(C121,Postupy!$A$3:$C$66,3,0)</f>
        <v/>
      </c>
      <c r="B121" s="147"/>
      <c r="C121" s="80">
        <v>18</v>
      </c>
      <c r="D121" s="81" t="str">
        <f ca="1">VLOOKUP(C121,Postupy!$A$3:$B$66,2,0)</f>
        <v xml:space="preserve"> - </v>
      </c>
      <c r="E121" s="130"/>
      <c r="F121" s="150"/>
      <c r="G121" s="149"/>
      <c r="H121" s="166"/>
      <c r="I121" s="199"/>
      <c r="J121" s="158"/>
      <c r="K121" s="152"/>
      <c r="L121" s="296" t="s">
        <v>1680</v>
      </c>
      <c r="M121" s="297" t="str">
        <f ca="1">IF(OR(TRIM(L122)="-",TRIM(L123)="-"),"",VLOOKUP(MIN(K122,K123),Hřiště!$B$11:$E$42,4,0))</f>
        <v/>
      </c>
      <c r="N121" s="181"/>
      <c r="O121" s="40"/>
      <c r="P121" s="154"/>
      <c r="Q121" s="40"/>
      <c r="R121" s="149"/>
      <c r="S121" s="149"/>
      <c r="T121" s="40"/>
      <c r="U121" s="40"/>
      <c r="V121" s="40"/>
      <c r="W121" s="149"/>
      <c r="X121" s="16"/>
      <c r="Y121" s="16"/>
      <c r="Z121" s="16"/>
      <c r="AA121" s="16"/>
      <c r="AB121" s="16"/>
      <c r="AC121" s="16"/>
      <c r="AD121" s="16"/>
      <c r="AE121" s="16"/>
      <c r="AF121" s="16"/>
      <c r="AG121" s="16"/>
      <c r="AH121" s="16"/>
      <c r="AI121" s="16"/>
      <c r="AJ121" s="16"/>
    </row>
    <row r="122" spans="1:36" ht="18" thickBot="1" x14ac:dyDescent="0.45">
      <c r="A122" s="76"/>
      <c r="B122" s="155"/>
      <c r="C122" s="155">
        <f>C120+C121</f>
        <v>65</v>
      </c>
      <c r="D122" s="156"/>
      <c r="E122" s="196"/>
      <c r="F122" s="259">
        <f>C118+C122</f>
        <v>130</v>
      </c>
      <c r="G122" s="149"/>
      <c r="H122" s="169"/>
      <c r="I122" s="199"/>
      <c r="J122" s="149"/>
      <c r="K122" s="78">
        <v>15</v>
      </c>
      <c r="L122" s="79" t="str">
        <f ca="1">IF(OR(TRIM(H118)="-",TRIM(H119)="-"), IF(TRIM(H118)="-",H119,H118),IF(AND(I118="",I119="")," ",IF(N(I118)=N(I119)," ",IF(N(I118)&gt;N(I119),H118,H119))))</f>
        <v xml:space="preserve">44   - michael dánsko  </v>
      </c>
      <c r="M122" s="129"/>
      <c r="N122" s="163"/>
      <c r="O122" s="149"/>
      <c r="P122" s="154"/>
      <c r="Q122" s="149"/>
      <c r="R122" s="149"/>
      <c r="S122" s="149"/>
      <c r="T122" s="149"/>
      <c r="U122" s="149"/>
      <c r="V122" s="149"/>
      <c r="W122" s="149"/>
      <c r="X122" s="16"/>
      <c r="Y122" s="16"/>
      <c r="Z122" s="16"/>
      <c r="AA122" s="16"/>
      <c r="AB122" s="16"/>
      <c r="AC122" s="16"/>
      <c r="AD122" s="16"/>
      <c r="AE122" s="16"/>
      <c r="AF122" s="16"/>
      <c r="AG122" s="16"/>
      <c r="AH122" s="16"/>
      <c r="AI122" s="16"/>
      <c r="AJ122" s="16"/>
    </row>
    <row r="123" spans="1:36" ht="18.899999999999999" thickTop="1" thickBot="1" x14ac:dyDescent="0.5">
      <c r="A123" s="75"/>
      <c r="B123" s="159"/>
      <c r="C123" s="160"/>
      <c r="D123" s="296" t="s">
        <v>1680</v>
      </c>
      <c r="E123" s="297" t="str">
        <f ca="1">IF(OR(TRIM(D124)="-",TRIM(D125)="-"),"",VLOOKUP(MIN(C124,C125),Hřiště!$B$11:$E$42,4,0))</f>
        <v/>
      </c>
      <c r="F123" s="149"/>
      <c r="G123" s="149"/>
      <c r="H123" s="169"/>
      <c r="I123" s="199"/>
      <c r="J123" s="149"/>
      <c r="K123" s="80">
        <v>2</v>
      </c>
      <c r="L123" s="81" t="str">
        <f ca="1">IF(OR(TRIM(H126)="-",TRIM(H127)="-"), IF(TRIM(H126)="-",H127,H126),IF(AND(I126="",I127="")," ",IF(N(I126)=N(I127)," ",IF(N(I126)&gt;N(I127),H126,H127))))</f>
        <v>1 PC Sokol Lipník - Vavrovič ml. Petr</v>
      </c>
      <c r="M123" s="130"/>
      <c r="N123" s="150"/>
      <c r="O123" s="149"/>
      <c r="P123" s="154"/>
      <c r="Q123" s="149"/>
      <c r="R123" s="149"/>
      <c r="S123" s="149"/>
      <c r="T123" s="149"/>
      <c r="U123" s="149"/>
      <c r="V123" s="149"/>
      <c r="W123" s="158"/>
      <c r="X123" s="16"/>
      <c r="Y123" s="16"/>
      <c r="Z123" s="16"/>
      <c r="AA123" s="16"/>
      <c r="AB123" s="16"/>
      <c r="AC123" s="16"/>
      <c r="AD123" s="16"/>
      <c r="AE123" s="16"/>
      <c r="AF123" s="16"/>
      <c r="AG123" s="16"/>
      <c r="AH123" s="16"/>
      <c r="AI123" s="16"/>
      <c r="AJ123" s="16"/>
    </row>
    <row r="124" spans="1:36" ht="18.45" thickTop="1" thickBot="1" x14ac:dyDescent="0.45">
      <c r="A124" s="86" t="str">
        <f ca="1">VLOOKUP(C124,Postupy!$A$3:$C$66,3,0)</f>
        <v/>
      </c>
      <c r="B124" s="147"/>
      <c r="C124" s="78">
        <v>31</v>
      </c>
      <c r="D124" s="79" t="str">
        <f ca="1">VLOOKUP(C124,Postupy!$A$3:$B$66,2,0)</f>
        <v xml:space="preserve"> - </v>
      </c>
      <c r="E124" s="129"/>
      <c r="F124" s="152"/>
      <c r="G124" s="149"/>
      <c r="H124" s="166"/>
      <c r="I124" s="200"/>
      <c r="J124" s="158"/>
      <c r="K124" s="170"/>
      <c r="L124" s="183"/>
      <c r="M124" s="29"/>
      <c r="N124" s="149"/>
      <c r="O124" s="149"/>
      <c r="P124" s="149"/>
      <c r="Q124" s="149"/>
      <c r="R124" s="149"/>
      <c r="S124" s="149"/>
      <c r="T124" s="149"/>
      <c r="U124" s="149"/>
      <c r="V124" s="149"/>
      <c r="W124" s="158"/>
      <c r="X124" s="16"/>
      <c r="Y124" s="16"/>
      <c r="Z124" s="16"/>
      <c r="AA124" s="16"/>
      <c r="AB124" s="16"/>
      <c r="AC124" s="16"/>
      <c r="AD124" s="16"/>
      <c r="AE124" s="16"/>
      <c r="AF124" s="16"/>
      <c r="AG124" s="16"/>
      <c r="AH124" s="16"/>
      <c r="AI124" s="16"/>
      <c r="AJ124" s="16"/>
    </row>
    <row r="125" spans="1:36" ht="18.899999999999999" thickTop="1" thickBot="1" x14ac:dyDescent="0.5">
      <c r="A125" s="86" t="str">
        <f ca="1">VLOOKUP(C125,Postupy!$A$3:$C$66,3,0)</f>
        <v/>
      </c>
      <c r="B125" s="147"/>
      <c r="C125" s="80">
        <v>34</v>
      </c>
      <c r="D125" s="81" t="str">
        <f ca="1">VLOOKUP(C125,Postupy!$A$3:$B$66,2,0)</f>
        <v xml:space="preserve"> - </v>
      </c>
      <c r="E125" s="130"/>
      <c r="F125" s="172" t="s">
        <v>1681</v>
      </c>
      <c r="G125" s="152"/>
      <c r="H125" s="296" t="s">
        <v>1680</v>
      </c>
      <c r="I125" s="297" t="str">
        <f ca="1">IF(OR(TRIM(H126)="-",TRIM(H127)="-"),"",VLOOKUP(MIN(G126,G127),Hřiště!$B$11:$E$42,4,0))</f>
        <v/>
      </c>
      <c r="J125" s="158"/>
      <c r="K125" s="161"/>
      <c r="L125" s="154"/>
      <c r="M125" s="40"/>
      <c r="N125" s="149"/>
      <c r="O125" s="149"/>
      <c r="P125" s="149"/>
      <c r="Q125" s="149"/>
      <c r="R125" s="149"/>
      <c r="S125" s="149"/>
      <c r="T125" s="149"/>
      <c r="U125" s="149"/>
      <c r="V125" s="149"/>
      <c r="W125" s="158"/>
      <c r="X125" s="16"/>
      <c r="Y125" s="16"/>
      <c r="Z125" s="16"/>
      <c r="AA125" s="16"/>
      <c r="AB125" s="16"/>
      <c r="AC125" s="16"/>
      <c r="AD125" s="16"/>
      <c r="AE125" s="16"/>
      <c r="AF125" s="16"/>
      <c r="AG125" s="16"/>
      <c r="AH125" s="16"/>
      <c r="AI125" s="16"/>
      <c r="AJ125" s="16"/>
    </row>
    <row r="126" spans="1:36" ht="18" thickBot="1" x14ac:dyDescent="0.45">
      <c r="A126" s="76"/>
      <c r="B126" s="155"/>
      <c r="C126" s="155">
        <f>C124+C125</f>
        <v>65</v>
      </c>
      <c r="D126" s="156"/>
      <c r="E126" s="196"/>
      <c r="F126" s="22"/>
      <c r="G126" s="78">
        <v>31</v>
      </c>
      <c r="H126" s="79" t="str">
        <f ca="1">IF(OR(TRIM(D124)="-",TRIM(D125)="-"), IF(TRIM(D124)="-",D125,D124),IF(AND(E124="",E125="")," ",IF(N(E124)=N(E125)," ",IF(N(E124)&gt;N(E125),D124,D125))))</f>
        <v xml:space="preserve"> - </v>
      </c>
      <c r="I126" s="129"/>
      <c r="J126" s="163"/>
      <c r="K126" s="161"/>
      <c r="L126" s="154"/>
      <c r="M126" s="40"/>
      <c r="N126" s="149"/>
      <c r="O126" s="149"/>
      <c r="P126" s="149"/>
      <c r="Q126" s="149"/>
      <c r="R126" s="149"/>
      <c r="S126" s="149"/>
      <c r="T126" s="149"/>
      <c r="U126" s="149"/>
      <c r="V126" s="149"/>
      <c r="W126" s="158"/>
      <c r="X126" s="16"/>
      <c r="Y126" s="16"/>
      <c r="Z126" s="16"/>
      <c r="AA126" s="16"/>
      <c r="AB126" s="16"/>
      <c r="AC126" s="16"/>
      <c r="AD126" s="16"/>
      <c r="AE126" s="16"/>
      <c r="AF126" s="16"/>
      <c r="AG126" s="16"/>
      <c r="AH126" s="16"/>
      <c r="AI126" s="16"/>
      <c r="AJ126" s="16"/>
    </row>
    <row r="127" spans="1:36" ht="18.899999999999999" thickTop="1" thickBot="1" x14ac:dyDescent="0.5">
      <c r="A127" s="75"/>
      <c r="B127" s="159"/>
      <c r="C127" s="160"/>
      <c r="D127" s="296" t="s">
        <v>1680</v>
      </c>
      <c r="E127" s="297" t="str">
        <f ca="1">IF(OR(TRIM(D128)="-",TRIM(D129)="-"),"",VLOOKUP(MIN(C128,C129),Hřiště!$B$11:$E$42,4,0))</f>
        <v/>
      </c>
      <c r="F127" s="168"/>
      <c r="G127" s="80">
        <v>2</v>
      </c>
      <c r="H127" s="81" t="str">
        <f ca="1">IF(OR(TRIM(D128)="-",TRIM(D129)="-"), IF(TRIM(D128)="-",D129,D128),IF(AND(E128="",E129="")," ",IF(N(E128)=N(E129)," ",IF(N(E128)&gt;N(E129),D128,D129))))</f>
        <v>1 PC Sokol Lipník - Vavrovič ml. Petr</v>
      </c>
      <c r="I127" s="130"/>
      <c r="J127" s="150"/>
      <c r="K127" s="149"/>
      <c r="L127" s="154"/>
      <c r="M127" s="149"/>
      <c r="N127" s="149"/>
      <c r="O127" s="149"/>
      <c r="P127" s="149"/>
      <c r="Q127" s="149"/>
      <c r="R127" s="149"/>
      <c r="S127" s="149"/>
      <c r="T127" s="149"/>
      <c r="U127" s="149"/>
      <c r="V127" s="149"/>
      <c r="W127" s="158"/>
      <c r="X127" s="16"/>
      <c r="Y127" s="16"/>
      <c r="Z127" s="16"/>
      <c r="AA127" s="16"/>
      <c r="AB127" s="16"/>
      <c r="AC127" s="16"/>
      <c r="AD127" s="16"/>
      <c r="AE127" s="16"/>
      <c r="AF127" s="16"/>
      <c r="AG127" s="16"/>
      <c r="AH127" s="16"/>
      <c r="AI127" s="16"/>
      <c r="AJ127" s="16"/>
    </row>
    <row r="128" spans="1:36" ht="18.45" thickTop="1" thickBot="1" x14ac:dyDescent="0.45">
      <c r="A128" s="86" t="str">
        <f ca="1">VLOOKUP(C128,Postupy!$A$3:$C$66,3,0)</f>
        <v/>
      </c>
      <c r="B128" s="147"/>
      <c r="C128" s="78">
        <v>63</v>
      </c>
      <c r="D128" s="79" t="str">
        <f ca="1">VLOOKUP(C128,Postupy!$A$3:$B$66,2,0)</f>
        <v xml:space="preserve"> - </v>
      </c>
      <c r="E128" s="129"/>
      <c r="F128" s="173"/>
      <c r="G128" s="170"/>
      <c r="H128" s="184"/>
      <c r="I128" s="29"/>
      <c r="J128" s="149"/>
      <c r="K128" s="149"/>
      <c r="L128" s="185"/>
      <c r="M128" s="149"/>
      <c r="N128" s="149"/>
      <c r="O128" s="149"/>
      <c r="P128" s="149"/>
      <c r="Q128" s="149"/>
      <c r="R128" s="149"/>
      <c r="S128" s="149"/>
      <c r="T128" s="149"/>
      <c r="U128" s="149"/>
      <c r="V128" s="149"/>
      <c r="W128" s="158"/>
      <c r="X128" s="16"/>
      <c r="Y128" s="16"/>
      <c r="Z128" s="16"/>
      <c r="AA128" s="16"/>
      <c r="AB128" s="16"/>
      <c r="AC128" s="16"/>
      <c r="AD128" s="16"/>
      <c r="AE128" s="16"/>
      <c r="AF128" s="16"/>
      <c r="AG128" s="16"/>
      <c r="AH128" s="16"/>
      <c r="AI128" s="16"/>
      <c r="AJ128" s="16"/>
    </row>
    <row r="129" spans="1:36" ht="18.45" thickTop="1" thickBot="1" x14ac:dyDescent="0.45">
      <c r="A129" s="86">
        <f ca="1">VLOOKUP(C129,Postupy!$A$3:$C$66,3,0)</f>
        <v>1</v>
      </c>
      <c r="B129" s="147"/>
      <c r="C129" s="80">
        <v>2</v>
      </c>
      <c r="D129" s="81" t="str">
        <f ca="1">VLOOKUP(C129,Postupy!$A$3:$B$66,2,0)</f>
        <v>1 PC Sokol Lipník - Vavrovič ml. Petr</v>
      </c>
      <c r="E129" s="130"/>
      <c r="F129" s="174"/>
      <c r="G129" s="149"/>
      <c r="H129" s="158"/>
      <c r="I129" s="149"/>
      <c r="J129" s="149"/>
      <c r="K129" s="149"/>
      <c r="L129" s="186"/>
      <c r="M129" s="149"/>
      <c r="N129" s="149"/>
      <c r="O129" s="149"/>
      <c r="P129" s="149"/>
      <c r="Q129" s="149"/>
      <c r="R129" s="149"/>
      <c r="S129" s="149"/>
      <c r="T129" s="149"/>
      <c r="U129" s="149"/>
      <c r="V129" s="149"/>
      <c r="W129" s="158"/>
      <c r="X129" s="16"/>
      <c r="Y129" s="16"/>
      <c r="Z129" s="16"/>
      <c r="AA129" s="16"/>
      <c r="AB129" s="16"/>
      <c r="AC129" s="16"/>
      <c r="AD129" s="16"/>
      <c r="AE129" s="16"/>
      <c r="AF129" s="16"/>
      <c r="AG129" s="16"/>
      <c r="AH129" s="16"/>
      <c r="AI129" s="16"/>
      <c r="AJ129" s="16"/>
    </row>
    <row r="130" spans="1:36" ht="12.45" x14ac:dyDescent="0.4">
      <c r="A130" s="76"/>
      <c r="B130" s="21"/>
      <c r="C130" s="155">
        <f>C128+C129</f>
        <v>65</v>
      </c>
      <c r="D130" s="156"/>
      <c r="E130" s="22"/>
      <c r="F130" s="259">
        <f>C126+C130</f>
        <v>130</v>
      </c>
      <c r="G130" s="149"/>
      <c r="H130" s="149"/>
      <c r="I130" s="149"/>
      <c r="J130" s="149"/>
      <c r="K130" s="149"/>
      <c r="L130" s="149"/>
      <c r="M130" s="149"/>
      <c r="N130" s="149"/>
      <c r="O130" s="149"/>
      <c r="P130" s="149"/>
      <c r="Q130" s="149"/>
      <c r="R130" s="149"/>
      <c r="S130" s="149"/>
      <c r="T130" s="149"/>
      <c r="U130" s="149"/>
      <c r="V130" s="149"/>
      <c r="W130" s="158"/>
      <c r="X130" s="16"/>
      <c r="Y130" s="16"/>
      <c r="Z130" s="16"/>
      <c r="AA130" s="16"/>
      <c r="AB130" s="16"/>
      <c r="AC130" s="16"/>
      <c r="AD130" s="16"/>
      <c r="AE130" s="16"/>
      <c r="AF130" s="16"/>
      <c r="AG130" s="16"/>
      <c r="AH130" s="16"/>
      <c r="AI130" s="16"/>
      <c r="AJ130" s="16"/>
    </row>
    <row r="131" spans="1:36" ht="79.95" customHeight="1" x14ac:dyDescent="0.4">
      <c r="A131" s="75"/>
      <c r="B131" s="21"/>
      <c r="C131" s="160"/>
      <c r="D131" s="156"/>
      <c r="E131" s="24"/>
      <c r="F131" s="164"/>
      <c r="G131" s="22"/>
      <c r="H131" s="149"/>
      <c r="I131" s="22"/>
      <c r="J131" s="149"/>
      <c r="K131" s="149"/>
      <c r="L131" s="149"/>
      <c r="M131" s="149"/>
      <c r="N131" s="149"/>
      <c r="O131" s="149"/>
      <c r="P131" s="149"/>
      <c r="Q131" s="149"/>
      <c r="R131" s="149"/>
      <c r="S131" s="149"/>
      <c r="T131" s="149"/>
      <c r="U131" s="149"/>
      <c r="V131" s="149"/>
      <c r="W131" s="158"/>
      <c r="X131" s="16"/>
      <c r="Y131" s="16"/>
      <c r="Z131" s="16"/>
      <c r="AA131" s="16"/>
      <c r="AB131" s="16"/>
      <c r="AC131" s="16"/>
      <c r="AD131" s="16"/>
      <c r="AE131" s="16"/>
      <c r="AF131" s="16"/>
      <c r="AG131" s="16"/>
      <c r="AH131" s="16"/>
      <c r="AI131" s="16"/>
      <c r="AJ131" s="16"/>
    </row>
    <row r="132" spans="1:36" ht="79.95" customHeight="1" x14ac:dyDescent="0.4">
      <c r="A132" s="75"/>
      <c r="B132" s="21"/>
      <c r="C132" s="160"/>
      <c r="D132" s="156"/>
      <c r="E132" s="24"/>
      <c r="F132" s="164"/>
      <c r="G132" s="22"/>
      <c r="H132" s="149"/>
      <c r="I132" s="22"/>
      <c r="J132" s="149"/>
      <c r="K132" s="149"/>
      <c r="L132" s="149"/>
      <c r="M132" s="149"/>
      <c r="N132" s="149"/>
      <c r="O132" s="149"/>
      <c r="P132" s="149"/>
      <c r="Q132" s="149"/>
      <c r="R132" s="149"/>
      <c r="S132" s="149"/>
      <c r="T132" s="149"/>
      <c r="U132" s="149"/>
      <c r="V132" s="149"/>
      <c r="W132" s="158"/>
      <c r="X132" s="16"/>
      <c r="Y132" s="16"/>
      <c r="Z132" s="16"/>
      <c r="AA132" s="16"/>
      <c r="AB132" s="16"/>
      <c r="AC132" s="16"/>
      <c r="AD132" s="16"/>
      <c r="AE132" s="16"/>
      <c r="AF132" s="16"/>
      <c r="AG132" s="16"/>
      <c r="AH132" s="16"/>
      <c r="AI132" s="16"/>
      <c r="AJ132" s="16"/>
    </row>
    <row r="133" spans="1:36" ht="79.95" customHeight="1" x14ac:dyDescent="0.4">
      <c r="A133" s="75"/>
      <c r="B133" s="21"/>
      <c r="C133" s="160"/>
      <c r="D133" s="156"/>
      <c r="E133" s="24"/>
      <c r="F133" s="164"/>
      <c r="G133" s="22"/>
      <c r="H133" s="149"/>
      <c r="I133" s="22"/>
      <c r="J133" s="149"/>
      <c r="K133" s="149"/>
      <c r="L133" s="149"/>
      <c r="M133" s="149"/>
      <c r="N133" s="149"/>
      <c r="O133" s="149"/>
      <c r="P133" s="149"/>
      <c r="Q133" s="149"/>
      <c r="R133" s="149"/>
      <c r="S133" s="149"/>
      <c r="T133" s="149"/>
      <c r="U133" s="149"/>
      <c r="V133" s="149"/>
      <c r="W133" s="158"/>
      <c r="X133" s="16"/>
      <c r="Y133" s="16"/>
      <c r="Z133" s="16"/>
      <c r="AA133" s="16"/>
      <c r="AB133" s="16"/>
      <c r="AC133" s="16"/>
      <c r="AD133" s="16"/>
      <c r="AE133" s="16"/>
      <c r="AF133" s="16"/>
      <c r="AG133" s="16"/>
      <c r="AH133" s="16"/>
      <c r="AI133" s="16"/>
      <c r="AJ133" s="16"/>
    </row>
  </sheetData>
  <sheetProtection password="CA1B" sheet="1" formatCells="0" formatColumns="0" formatRows="0"/>
  <phoneticPr fontId="0" type="noConversion"/>
  <conditionalFormatting sqref="D4 H118 P82 T98 D8 D12 P18 P50 X66 D16 D20 D24 D28 D32 D36 D40 D44 D48 H46 H6 D128 H22 H30 H38 H14 L26 L10 H126 L122 L106 T34 X106 D52 L58 H54 D56 D60 D64 D68 D72 D76 D80 D84 D88 D92 D96 D100 D104 D108 D112 H62 H70 H78 H86 H94 H102 H110 L90 L74 L42 D116 D120 D124 P114">
    <cfRule type="expression" dxfId="77" priority="1" stopIfTrue="1">
      <formula>IF(N(E4)&gt;N(E5),TRUE,FALSE)</formula>
    </cfRule>
  </conditionalFormatting>
  <conditionalFormatting sqref="C4 K26 G6 C8 C12 C16 G22 C24 C28 C32 C36 C40 C44 C48 G54 C56 C60 C64 G14 C52 G30 G38 G46 C84 G62 K58 K42 K10 O18 O50 W106 C68 K90 G70 C72 C76 C80 G86 C88 C92 C96 C100 C104 C108 C112 C116 C120 C124 C128 G78 O114 G94 G102 G110 G118 G126 K122 K106 K74 O82 C20">
    <cfRule type="expression" dxfId="76" priority="2" stopIfTrue="1">
      <formula>IF(N(E4)&gt;N(E5),TRUE,FALSE)</formula>
    </cfRule>
  </conditionalFormatting>
  <conditionalFormatting sqref="M58 M10 I14 E4 E8 E12 E16 E20 E24 E28 E32 E36 E40 E44 E48 E52 E56 E60 I22 I30 I38 I46 I54 I62 E64 M42 Q50 I6 M26 Q18 Y106 Y66 M106 M74 I78 E68 E72 E76 E80 E84 E88 E92 E96 E100 E104 E108 E112 E116 E120 E124 I86 I94 I102 I110 I118 I126 E128 U34 Q114 I70 M90 Q82 U98 M122">
    <cfRule type="expression" dxfId="75" priority="3" stopIfTrue="1">
      <formula>IF(N(E4)&gt;N(E5),TRUE,FALSE)</formula>
    </cfRule>
  </conditionalFormatting>
  <conditionalFormatting sqref="C5 K27 G7 C9 C13 G15 C21 C25 C29 C33 C37 C41 C45 G47 C53 C57 C61 C65 C49 G23 G31 G39 C81 G55 G63 K59 K43 K11 O19 O51 S35 W107 C69 K91 G71 C73 C77 G79 C85 C89 C93 C97 C101 C105 C109 G111 C117 C121 C125 C129 C113 G87 G95 G103 S99 G119 G127 K123 K107 K75 O83 O115 W67 C17">
    <cfRule type="expression" dxfId="74" priority="4" stopIfTrue="1">
      <formula>IF(N(E5)&gt;N(E4),TRUE,FALSE)</formula>
    </cfRule>
  </conditionalFormatting>
  <conditionalFormatting sqref="D5 H119 P83 T99 D9 D13 P19 P51 X67 D17 D21 D25 D29 D33 D37 D41 D45 D49 H111 H7 H15 H23 H31 H39 H47 L27 L11 H127 L123 L107 T35 X107 D53 L59 H55 D57 D61 D65 D69 D73 D77 D81 D85 D89 D93 D97 D101 D105 D109 D113 H63 H71 H79 H87 H95 H103 D129 L91 L75 L43 D117 D121 D125 P115">
    <cfRule type="expression" dxfId="73" priority="5" stopIfTrue="1">
      <formula>IF(N(E5)&gt;N(E4),TRUE,FALSE)</formula>
    </cfRule>
  </conditionalFormatting>
  <conditionalFormatting sqref="M59 M11 I15 E5 E9 E13 E17 E21 E25 E29 E33 E37 E41 E45 E49 E53 E57 E61 I23 I31 I39 I47 I55 I63 E65 M43 Q51 I7 M27 Q19 Y107 Y67 M107 M75 I79 E69 E73 E77 E81 E85 E89 E93 E97 E101 E105 E109 E113 E117 E121 E125 I87 I95 I103 I111 I119 I127 E129 U35 Q115 I71 M91 Q83 U99 M123">
    <cfRule type="expression" dxfId="72" priority="6" stopIfTrue="1">
      <formula>IF(N(E5)&gt;N(E4),TRUE,FALSE)</formula>
    </cfRule>
  </conditionalFormatting>
  <pageMargins left="0.78740157499999996" right="0.78740157499999996" top="0.16" bottom="0.2" header="0.4921259845" footer="0.4921259845"/>
  <pageSetup paperSize="9" scale="66" fitToWidth="2"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5601" r:id="rId4" name="Button 1">
              <controlPr defaultSize="0" print="0" autoFill="0" autoPict="0" macro="[0]!BezHrist">
                <anchor moveWithCells="1">
                  <from>
                    <xdr:col>11</xdr:col>
                    <xdr:colOff>250371</xdr:colOff>
                    <xdr:row>4</xdr:row>
                    <xdr:rowOff>27214</xdr:rowOff>
                  </from>
                  <to>
                    <xdr:col>11</xdr:col>
                    <xdr:colOff>1447800</xdr:colOff>
                    <xdr:row>6</xdr:row>
                    <xdr:rowOff>97971</xdr:rowOff>
                  </to>
                </anchor>
              </controlPr>
            </control>
          </mc:Choice>
        </mc:AlternateContent>
        <mc:AlternateContent xmlns:mc="http://schemas.openxmlformats.org/markup-compatibility/2006">
          <mc:Choice Requires="x14">
            <control shapeId="25603" r:id="rId5" name="Button 3">
              <controlPr defaultSize="0" print="0" autoFill="0" autoPict="0" macro="[0]!Hriste32">
                <anchor moveWithCells="1">
                  <from>
                    <xdr:col>7</xdr:col>
                    <xdr:colOff>250371</xdr:colOff>
                    <xdr:row>2</xdr:row>
                    <xdr:rowOff>103414</xdr:rowOff>
                  </from>
                  <to>
                    <xdr:col>7</xdr:col>
                    <xdr:colOff>1447800</xdr:colOff>
                    <xdr:row>4</xdr:row>
                    <xdr:rowOff>59871</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List8">
    <pageSetUpPr fitToPage="1"/>
  </sheetPr>
  <dimension ref="A1:AH93"/>
  <sheetViews>
    <sheetView workbookViewId="0">
      <pane xSplit="4" ySplit="3" topLeftCell="E49" activePane="bottomRight" state="frozen"/>
      <selection pane="topRight" activeCell="G8" sqref="G8"/>
      <selection pane="bottomLeft" activeCell="G8" sqref="G8"/>
      <selection pane="bottomRight" activeCell="U57" sqref="U57"/>
    </sheetView>
  </sheetViews>
  <sheetFormatPr defaultRowHeight="12" x14ac:dyDescent="0.4"/>
  <cols>
    <col min="1" max="1" width="6.4140625" customWidth="1"/>
    <col min="2" max="2" width="1.75" customWidth="1"/>
    <col min="3" max="3" width="5.4140625" customWidth="1"/>
    <col min="4" max="4" width="28.4140625" customWidth="1"/>
    <col min="5" max="5" width="5" customWidth="1"/>
    <col min="6" max="6" width="2.4140625" customWidth="1"/>
    <col min="7" max="7" width="5.4140625" customWidth="1"/>
    <col min="8" max="8" width="28.4140625" customWidth="1"/>
    <col min="9" max="9" width="5" customWidth="1"/>
    <col min="10" max="10" width="2.4140625" customWidth="1"/>
    <col min="11" max="11" width="5.4140625" customWidth="1"/>
    <col min="12" max="12" width="28.4140625" customWidth="1"/>
    <col min="13" max="13" width="5" customWidth="1"/>
    <col min="14" max="14" width="2.4140625" customWidth="1"/>
    <col min="15" max="15" width="5.4140625" customWidth="1"/>
    <col min="16" max="16" width="28.4140625" customWidth="1"/>
    <col min="17" max="17" width="5" customWidth="1"/>
    <col min="18" max="18" width="2.4140625" customWidth="1"/>
    <col min="19" max="19" width="5.4140625" customWidth="1"/>
    <col min="20" max="20" width="22.83203125" customWidth="1"/>
    <col min="21" max="21" width="5" customWidth="1"/>
    <col min="22" max="22" width="2.4140625" customWidth="1"/>
    <col min="23" max="23" width="0.25" customWidth="1"/>
    <col min="24" max="24" width="25.4140625" customWidth="1"/>
    <col min="25" max="25" width="5" customWidth="1"/>
    <col min="26" max="26" width="2.4140625" customWidth="1"/>
    <col min="27" max="27" width="5.4140625" customWidth="1"/>
    <col min="28" max="28" width="25.4140625" customWidth="1"/>
    <col min="29" max="29" width="5" customWidth="1"/>
  </cols>
  <sheetData>
    <row r="1" spans="1:34" ht="12.45" thickBot="1" x14ac:dyDescent="0.45">
      <c r="B1" s="27"/>
      <c r="C1" s="54"/>
      <c r="D1" s="54"/>
      <c r="E1" s="54"/>
      <c r="F1" s="54"/>
      <c r="G1" s="54"/>
      <c r="H1" s="54"/>
      <c r="I1" s="54"/>
      <c r="J1" s="54"/>
      <c r="K1" s="54"/>
      <c r="L1" s="54"/>
      <c r="M1" s="54"/>
      <c r="N1" s="54"/>
      <c r="O1" s="54"/>
      <c r="P1" s="54"/>
      <c r="Q1" s="54"/>
      <c r="R1" s="54"/>
      <c r="S1" s="54"/>
      <c r="T1" s="54"/>
      <c r="U1" s="54"/>
      <c r="V1" s="54"/>
      <c r="W1" s="54"/>
      <c r="Y1" s="54"/>
      <c r="Z1" s="54"/>
      <c r="AA1" s="54"/>
      <c r="AB1" s="54"/>
      <c r="AC1" s="54"/>
      <c r="AD1" s="54"/>
      <c r="AE1" s="54"/>
      <c r="AF1" s="54"/>
      <c r="AG1" s="54"/>
    </row>
    <row r="2" spans="1:34" ht="32.5" customHeight="1" thickBot="1" x14ac:dyDescent="1.1000000000000001">
      <c r="A2" s="50"/>
      <c r="B2" s="251"/>
      <c r="C2" s="252">
        <v>32</v>
      </c>
      <c r="D2" s="131" t="s">
        <v>1676</v>
      </c>
      <c r="E2" s="15"/>
      <c r="F2" s="15"/>
      <c r="G2" s="187">
        <v>16</v>
      </c>
      <c r="H2" s="131" t="s">
        <v>1676</v>
      </c>
      <c r="I2" s="15"/>
      <c r="J2" s="16"/>
      <c r="K2" s="187">
        <v>8</v>
      </c>
      <c r="L2" s="131" t="s">
        <v>1676</v>
      </c>
      <c r="M2" s="15"/>
      <c r="N2" s="16"/>
      <c r="O2" s="187">
        <v>4</v>
      </c>
      <c r="P2" s="131" t="s">
        <v>1677</v>
      </c>
      <c r="Q2" s="16"/>
      <c r="R2" s="16"/>
      <c r="S2" s="187">
        <v>2</v>
      </c>
      <c r="T2" s="131" t="s">
        <v>1678</v>
      </c>
      <c r="U2" s="16"/>
      <c r="V2" s="16"/>
      <c r="W2" s="187">
        <v>1</v>
      </c>
      <c r="X2" s="146" t="s">
        <v>1679</v>
      </c>
      <c r="Y2" s="16"/>
      <c r="Z2" s="16"/>
      <c r="AA2" s="16"/>
      <c r="AB2" s="16"/>
      <c r="AC2" s="16"/>
      <c r="AD2" s="16"/>
      <c r="AE2" s="16"/>
      <c r="AF2" s="16"/>
      <c r="AG2" s="16"/>
    </row>
    <row r="3" spans="1:34" ht="28.95" customHeight="1" thickBot="1" x14ac:dyDescent="0.5">
      <c r="A3" s="28"/>
      <c r="B3" s="31"/>
      <c r="C3" s="213"/>
      <c r="D3" s="296" t="s">
        <v>1680</v>
      </c>
      <c r="E3" s="297" t="str">
        <f ca="1">IF(OR(TRIM(D4)="-",TRIM(D5)="-"),"",VLOOKUP(MIN(C4,C5),Hřiště!$B$11:$E$42,4,0))</f>
        <v/>
      </c>
      <c r="F3" s="51"/>
      <c r="G3" s="52"/>
      <c r="H3" s="93"/>
      <c r="I3" s="53"/>
      <c r="J3" s="51"/>
      <c r="K3" s="51"/>
      <c r="L3" s="93"/>
      <c r="M3" s="53"/>
      <c r="N3" s="51"/>
      <c r="O3" s="51"/>
      <c r="P3" s="93"/>
      <c r="Q3" s="53"/>
      <c r="R3" s="51"/>
      <c r="S3" s="51"/>
      <c r="T3" s="93"/>
      <c r="U3" s="53"/>
      <c r="V3" s="51"/>
      <c r="W3" s="51"/>
      <c r="X3" s="57"/>
      <c r="Y3" s="53"/>
      <c r="Z3" s="51"/>
      <c r="AA3" s="51"/>
      <c r="AB3" s="53"/>
      <c r="AC3" s="53"/>
      <c r="AD3" s="51"/>
      <c r="AE3" s="51"/>
      <c r="AF3" s="51"/>
      <c r="AG3" s="51"/>
    </row>
    <row r="4" spans="1:34" ht="18" thickBot="1" x14ac:dyDescent="0.45">
      <c r="A4" s="86">
        <f ca="1">VLOOKUP(C4,Postupy!$A$3:$C$34,3,0)</f>
        <v>4</v>
      </c>
      <c r="B4" s="147"/>
      <c r="C4" s="78">
        <v>1</v>
      </c>
      <c r="D4" s="253" t="str">
        <f ca="1">VLOOKUP(C4,Postupy!$A$3:$BG$34,59,0)</f>
        <v>4 1. KPK Vrchlabí - Srnský Lubomír</v>
      </c>
      <c r="E4" s="129" t="str">
        <f>IF(VLOOKUP(C4,Postupy!$A$3:$BH$34,60,0)=0,"",VLOOKUP(C4,Postupy!$A$3:$BH$34,60,0))</f>
        <v/>
      </c>
      <c r="F4" s="148"/>
      <c r="G4" s="149"/>
      <c r="H4" s="150"/>
      <c r="I4" s="149"/>
      <c r="J4" s="149"/>
      <c r="K4" s="149"/>
      <c r="L4" s="149"/>
      <c r="M4" s="149"/>
      <c r="N4" s="149"/>
      <c r="O4" s="149"/>
      <c r="P4" s="149"/>
      <c r="Q4" s="149"/>
      <c r="R4" s="149"/>
      <c r="S4" s="149"/>
      <c r="T4" s="149"/>
      <c r="U4" s="149"/>
      <c r="V4" s="149"/>
      <c r="W4" s="149"/>
      <c r="X4" s="17"/>
      <c r="Y4" s="16"/>
      <c r="Z4" s="16"/>
      <c r="AA4" s="16"/>
      <c r="AB4" s="16"/>
      <c r="AC4" s="16"/>
      <c r="AD4" s="16"/>
      <c r="AE4" s="16"/>
      <c r="AF4" s="16"/>
      <c r="AG4" s="16"/>
    </row>
    <row r="5" spans="1:34" ht="18.899999999999999" thickTop="1" thickBot="1" x14ac:dyDescent="0.5">
      <c r="A5" s="86" t="str">
        <f ca="1">VLOOKUP(C5,Postupy!$A$3:$C$34,3,0)</f>
        <v/>
      </c>
      <c r="B5" s="147"/>
      <c r="C5" s="80">
        <v>32</v>
      </c>
      <c r="D5" s="253" t="str">
        <f ca="1">VLOOKUP(C5,Postupy!$A$3:$BG$34,59,0)</f>
        <v xml:space="preserve"> - </v>
      </c>
      <c r="E5" s="129" t="str">
        <f>IF(VLOOKUP(C5,Postupy!$A$3:$BH$34,60,0)=0,"",VLOOKUP(C5,Postupy!$A$3:$BH$34,60,0))</f>
        <v/>
      </c>
      <c r="F5" s="151"/>
      <c r="G5" s="152"/>
      <c r="H5" s="296" t="s">
        <v>1680</v>
      </c>
      <c r="I5" s="297" t="str">
        <f ca="1">IF(OR(TRIM(H6)="-",TRIM(H7)="-"),"",VLOOKUP(MIN(G6,G7),Hřiště!$B$11:$E$42,4,0))</f>
        <v/>
      </c>
      <c r="J5" s="149"/>
      <c r="K5" s="149"/>
      <c r="L5" s="149"/>
      <c r="M5" s="149"/>
      <c r="N5" s="149"/>
      <c r="O5" s="149"/>
      <c r="P5" s="154"/>
      <c r="Q5" s="149"/>
      <c r="R5" s="149"/>
      <c r="S5" s="149"/>
      <c r="T5" s="149"/>
      <c r="U5" s="149"/>
      <c r="V5" s="149"/>
      <c r="W5" s="149"/>
      <c r="X5" s="17"/>
      <c r="Y5" s="16"/>
      <c r="Z5" s="16"/>
      <c r="AA5" s="16"/>
      <c r="AB5" s="16"/>
      <c r="AC5" s="16"/>
      <c r="AD5" s="16"/>
      <c r="AE5" s="16"/>
      <c r="AF5" s="16"/>
      <c r="AG5" s="16"/>
    </row>
    <row r="6" spans="1:34" ht="18" thickBot="1" x14ac:dyDescent="0.45">
      <c r="A6" s="76"/>
      <c r="B6" s="155"/>
      <c r="C6" s="155">
        <f>C4+C5</f>
        <v>33</v>
      </c>
      <c r="D6" s="156"/>
      <c r="E6" s="22"/>
      <c r="F6" s="157"/>
      <c r="G6" s="78">
        <v>1</v>
      </c>
      <c r="H6" s="79" t="str">
        <f ca="1">IF(OR(TRIM(D4)="-",TRIM(D5)="-"), IF(TRIM(D4)="-",D5,D4),IF(AND(E4="",E5="")," ",IF(N(E4)=N(E5)," ",IF(N(E4)&gt;N(E5),D4,D5))))</f>
        <v>4 1. KPK Vrchlabí - Srnský Lubomír</v>
      </c>
      <c r="I6" s="129" t="str">
        <f>IF(VLOOKUP(G6,Postupy!$A$3:$BJ$18,62,0)=0,"",VLOOKUP(G6,Postupy!$A$3:$BJ$18,62,0))</f>
        <v/>
      </c>
      <c r="J6" s="148"/>
      <c r="K6" s="149"/>
      <c r="L6" s="154"/>
      <c r="M6" s="149"/>
      <c r="N6" s="149"/>
      <c r="O6" s="149"/>
      <c r="P6" s="154"/>
      <c r="Q6" s="149"/>
      <c r="R6" s="149"/>
      <c r="S6" s="149"/>
      <c r="T6" s="149"/>
      <c r="U6" s="149"/>
      <c r="V6" s="149"/>
      <c r="W6" s="158"/>
      <c r="X6" s="16"/>
      <c r="Y6" s="16"/>
      <c r="Z6" s="16"/>
      <c r="AA6" s="16"/>
      <c r="AB6" s="16"/>
      <c r="AC6" s="16"/>
      <c r="AD6" s="16"/>
      <c r="AE6" s="16"/>
      <c r="AF6" s="16"/>
      <c r="AG6" s="16"/>
    </row>
    <row r="7" spans="1:34" ht="18.899999999999999" thickTop="1" thickBot="1" x14ac:dyDescent="0.5">
      <c r="A7" s="75"/>
      <c r="B7" s="159"/>
      <c r="C7" s="160"/>
      <c r="D7" s="296" t="s">
        <v>1680</v>
      </c>
      <c r="E7" s="297" t="str">
        <f ca="1">IF(OR(TRIM(D8)="-",TRIM(D9)="-"),"",VLOOKUP(MIN(C8,C9),Hřiště!$B$11:$E$42,4,0))</f>
        <v/>
      </c>
      <c r="F7" s="157"/>
      <c r="G7" s="80">
        <v>16</v>
      </c>
      <c r="H7" s="81" t="str">
        <f ca="1">IF(OR(TRIM(D8)="-",TRIM(D9)="-"), IF(TRIM(D8)="-",D9,D8),IF(AND(E8="",E9="")," ",IF(N(E8)=N(E9)," ",IF(N(E8)&gt;N(E9),D8,D9))))</f>
        <v>24 SK Pétanque Řepy - Váňová Věra</v>
      </c>
      <c r="I7" s="129" t="str">
        <f>IF(VLOOKUP(G7,Postupy!$A$3:$BJ$18,62,0)=0,"",VLOOKUP(G7,Postupy!$A$3:$BJ$18,62,0))</f>
        <v/>
      </c>
      <c r="J7" s="151"/>
      <c r="K7" s="161"/>
      <c r="L7" s="162"/>
      <c r="M7" s="40"/>
      <c r="N7" s="149"/>
      <c r="O7" s="149"/>
      <c r="P7" s="154"/>
      <c r="Q7" s="149"/>
      <c r="R7" s="149"/>
      <c r="S7" s="149"/>
      <c r="T7" s="149"/>
      <c r="U7" s="149"/>
      <c r="V7" s="149"/>
      <c r="W7" s="158"/>
      <c r="X7" s="16"/>
      <c r="Y7" s="16"/>
      <c r="Z7" s="16"/>
      <c r="AA7" s="16"/>
      <c r="AB7" s="16"/>
      <c r="AC7" s="16"/>
      <c r="AD7" s="16"/>
      <c r="AE7" s="16"/>
      <c r="AF7" s="16"/>
      <c r="AG7" s="16"/>
    </row>
    <row r="8" spans="1:34" ht="18" thickBot="1" x14ac:dyDescent="0.45">
      <c r="A8" s="86" t="str">
        <f ca="1">VLOOKUP(C8,Postupy!$A$3:$C$34,3,0)</f>
        <v/>
      </c>
      <c r="B8" s="147"/>
      <c r="C8" s="78">
        <v>17</v>
      </c>
      <c r="D8" s="253" t="str">
        <f ca="1">VLOOKUP(C8,Postupy!$A$3:$BG$34,59,0)</f>
        <v xml:space="preserve"> - </v>
      </c>
      <c r="E8" s="129" t="str">
        <f>IF(VLOOKUP(C8,Postupy!$A$3:$BH$34,60,0)=0,"",VLOOKUP(C8,Postupy!$A$3:$BH$34,60,0))</f>
        <v/>
      </c>
      <c r="F8" s="163"/>
      <c r="G8" s="164"/>
      <c r="H8" s="165"/>
      <c r="I8" s="158"/>
      <c r="J8" s="158"/>
      <c r="K8" s="161"/>
      <c r="L8" s="162"/>
      <c r="M8" s="40"/>
      <c r="N8" s="149"/>
      <c r="O8" s="149"/>
      <c r="P8" s="154"/>
      <c r="Q8" s="149"/>
      <c r="R8" s="149"/>
      <c r="S8" s="149"/>
      <c r="T8" s="149"/>
      <c r="U8" s="149"/>
      <c r="V8" s="149"/>
      <c r="W8" s="158"/>
      <c r="X8" s="16"/>
      <c r="Y8" s="16"/>
      <c r="Z8" s="16"/>
      <c r="AA8" s="16"/>
      <c r="AB8" s="16"/>
      <c r="AC8" s="16"/>
      <c r="AD8" s="16"/>
      <c r="AE8" s="16"/>
      <c r="AF8" s="16"/>
      <c r="AG8" s="16"/>
    </row>
    <row r="9" spans="1:34" ht="18.899999999999999" thickTop="1" thickBot="1" x14ac:dyDescent="0.5">
      <c r="A9" s="86">
        <f ca="1">VLOOKUP(C9,Postupy!$A$3:$C$34,3,0)</f>
        <v>24</v>
      </c>
      <c r="B9" s="147"/>
      <c r="C9" s="80">
        <v>16</v>
      </c>
      <c r="D9" s="253" t="str">
        <f ca="1">VLOOKUP(C9,Postupy!$A$3:$BG$34,59,0)</f>
        <v>24 SK Pétanque Řepy - Váňová Věra</v>
      </c>
      <c r="E9" s="129" t="str">
        <f>IF(VLOOKUP(C9,Postupy!$A$3:$BH$34,60,0)=0,"",VLOOKUP(C9,Postupy!$A$3:$BH$34,60,0))</f>
        <v/>
      </c>
      <c r="F9" s="150"/>
      <c r="G9" s="149"/>
      <c r="H9" s="166"/>
      <c r="I9" s="158"/>
      <c r="J9" s="158"/>
      <c r="K9" s="152"/>
      <c r="L9" s="296" t="s">
        <v>1680</v>
      </c>
      <c r="M9" s="297" t="str">
        <f ca="1">IF(OR(TRIM(L10)="-",TRIM(L11)="-"),"",VLOOKUP(MIN(K10,K11),Hřiště!$B$11:$E$42,4,0))</f>
        <v/>
      </c>
      <c r="N9" s="168"/>
      <c r="O9" s="149"/>
      <c r="P9" s="154"/>
      <c r="Q9" s="149"/>
      <c r="R9" s="149"/>
      <c r="S9" s="149"/>
      <c r="T9" s="149"/>
      <c r="U9" s="149"/>
      <c r="V9" s="149"/>
      <c r="W9" s="158"/>
      <c r="X9" s="16"/>
      <c r="Y9" s="16"/>
      <c r="Z9" s="16"/>
      <c r="AA9" s="16"/>
      <c r="AB9" s="16"/>
      <c r="AC9" s="16"/>
      <c r="AD9" s="16"/>
      <c r="AE9" s="16"/>
      <c r="AF9" s="16"/>
      <c r="AG9" s="16"/>
    </row>
    <row r="10" spans="1:34" ht="18" thickBot="1" x14ac:dyDescent="0.45">
      <c r="A10" s="76"/>
      <c r="B10" s="155"/>
      <c r="C10" s="155">
        <f>C8+C9</f>
        <v>33</v>
      </c>
      <c r="D10" s="156"/>
      <c r="E10" s="22"/>
      <c r="F10" s="164">
        <f>C6+C10</f>
        <v>66</v>
      </c>
      <c r="G10" s="149"/>
      <c r="H10" s="169"/>
      <c r="I10" s="149"/>
      <c r="J10" s="149"/>
      <c r="K10" s="78">
        <v>1</v>
      </c>
      <c r="L10" s="79" t="str">
        <f ca="1">IF(OR(TRIM(H6)="-",TRIM(H7)="-"), IF(TRIM(H6)="-",H7,H6),IF(AND(I6="",I7="")," ",IF(N(I6)=N(I7)," ",IF(N(I6)&gt;N(I7),H6,H7))))</f>
        <v xml:space="preserve"> </v>
      </c>
      <c r="M10" s="129" t="str">
        <f>IF(VLOOKUP(K10,Postupy!$A$3:$BL$10,64,0)=0,"",VLOOKUP(K10,Postupy!$A$3:$BL$10,64,0))</f>
        <v/>
      </c>
      <c r="N10" s="148"/>
      <c r="O10" s="40"/>
      <c r="P10" s="162"/>
      <c r="Q10" s="40"/>
      <c r="R10" s="149"/>
      <c r="S10" s="149"/>
      <c r="T10" s="149"/>
      <c r="U10" s="149"/>
      <c r="V10" s="149"/>
      <c r="W10" s="158"/>
      <c r="X10" s="16"/>
      <c r="Y10" s="16"/>
      <c r="Z10" s="16"/>
      <c r="AA10" s="16"/>
      <c r="AB10" s="16"/>
      <c r="AC10" s="16"/>
      <c r="AD10" s="15"/>
      <c r="AE10" s="16"/>
      <c r="AF10" s="16"/>
      <c r="AG10" s="16"/>
      <c r="AH10" s="17"/>
    </row>
    <row r="11" spans="1:34" ht="18.899999999999999" thickTop="1" thickBot="1" x14ac:dyDescent="0.5">
      <c r="A11" s="75"/>
      <c r="B11" s="159"/>
      <c r="C11" s="160"/>
      <c r="D11" s="296" t="s">
        <v>1680</v>
      </c>
      <c r="E11" s="297" t="str">
        <f ca="1">IF(OR(TRIM(D12)="-",TRIM(D13)="-"),"",VLOOKUP(MIN(C12,C13),Hřiště!$B$11:$E$42,4,0))</f>
        <v/>
      </c>
      <c r="F11" s="149"/>
      <c r="G11" s="149"/>
      <c r="H11" s="169"/>
      <c r="I11" s="149"/>
      <c r="J11" s="149"/>
      <c r="K11" s="80">
        <v>8</v>
      </c>
      <c r="L11" s="81" t="str">
        <f ca="1">IF(OR(TRIM(H14)="-",TRIM(H15)="-"), IF(TRIM(H14)="-",H15,H14),IF(AND(I14="",I15="")," ",IF(N(I14)=N(I15)," ",IF(N(I14)&gt;N(I15),H14,H15))))</f>
        <v xml:space="preserve"> </v>
      </c>
      <c r="M11" s="129" t="str">
        <f>IF(VLOOKUP(K11,Postupy!$A$3:$BL$10,64,0)=0,"",VLOOKUP(K11,Postupy!$A$3:$BL$10,64,0))</f>
        <v/>
      </c>
      <c r="N11" s="151"/>
      <c r="O11" s="161"/>
      <c r="P11" s="162"/>
      <c r="Q11" s="40"/>
      <c r="R11" s="149"/>
      <c r="S11" s="149"/>
      <c r="T11" s="149"/>
      <c r="U11" s="149"/>
      <c r="V11" s="149"/>
      <c r="W11" s="158"/>
      <c r="X11" s="16"/>
      <c r="Y11" s="16"/>
      <c r="Z11" s="16"/>
      <c r="AA11" s="16"/>
      <c r="AB11" s="16"/>
      <c r="AC11" s="16"/>
      <c r="AD11" s="15"/>
      <c r="AE11" s="16"/>
      <c r="AF11" s="16"/>
      <c r="AG11" s="16"/>
      <c r="AH11" s="16"/>
    </row>
    <row r="12" spans="1:34" ht="18.45" thickTop="1" thickBot="1" x14ac:dyDescent="0.45">
      <c r="A12" s="86">
        <f ca="1">VLOOKUP(C12,Postupy!$A$3:$C$34,3,0)</f>
        <v>34</v>
      </c>
      <c r="B12" s="147"/>
      <c r="C12" s="78">
        <v>9</v>
      </c>
      <c r="D12" s="253" t="str">
        <f ca="1">VLOOKUP(C12,Postupy!$A$3:$BG$34,59,0)</f>
        <v>34 1. KPK Vrchlabí - Šebek Viktor</v>
      </c>
      <c r="E12" s="129" t="str">
        <f>IF(VLOOKUP(C12,Postupy!$A$3:$BH$34,60,0)=0,"",VLOOKUP(C12,Postupy!$A$3:$BH$34,60,0))</f>
        <v/>
      </c>
      <c r="F12" s="152"/>
      <c r="G12" s="149"/>
      <c r="H12" s="166"/>
      <c r="I12" s="158"/>
      <c r="J12" s="158"/>
      <c r="K12" s="170"/>
      <c r="L12" s="171"/>
      <c r="M12" s="29"/>
      <c r="N12" s="149"/>
      <c r="O12" s="161"/>
      <c r="P12" s="162"/>
      <c r="Q12" s="40"/>
      <c r="R12" s="149"/>
      <c r="S12" s="149"/>
      <c r="T12" s="149"/>
      <c r="U12" s="149"/>
      <c r="V12" s="149"/>
      <c r="W12" s="158"/>
      <c r="X12" s="16"/>
      <c r="Y12" s="16"/>
      <c r="Z12" s="16"/>
      <c r="AA12" s="16"/>
      <c r="AB12" s="16"/>
      <c r="AC12" s="16"/>
      <c r="AD12" s="15"/>
      <c r="AE12" s="16"/>
      <c r="AF12" s="16"/>
      <c r="AG12" s="16"/>
      <c r="AH12" s="16"/>
    </row>
    <row r="13" spans="1:34" ht="18.899999999999999" thickTop="1" thickBot="1" x14ac:dyDescent="0.5">
      <c r="A13" s="86" t="str">
        <f ca="1">VLOOKUP(C13,Postupy!$A$3:$C$34,3,0)</f>
        <v/>
      </c>
      <c r="B13" s="147"/>
      <c r="C13" s="80">
        <v>24</v>
      </c>
      <c r="D13" s="253" t="str">
        <f ca="1">VLOOKUP(C13,Postupy!$A$3:$BG$34,59,0)</f>
        <v xml:space="preserve"> - </v>
      </c>
      <c r="E13" s="129" t="str">
        <f>IF(VLOOKUP(C13,Postupy!$A$3:$BH$34,60,0)=0,"",VLOOKUP(C13,Postupy!$A$3:$BH$34,60,0))</f>
        <v/>
      </c>
      <c r="F13" s="172" t="s">
        <v>1681</v>
      </c>
      <c r="G13" s="152"/>
      <c r="H13" s="296" t="s">
        <v>1680</v>
      </c>
      <c r="I13" s="297" t="str">
        <f ca="1">IF(OR(TRIM(H14)="-",TRIM(H15)="-"),"",VLOOKUP(MIN(G14,G15),Hřiště!$B$11:$E$42,4,0))</f>
        <v/>
      </c>
      <c r="J13" s="158"/>
      <c r="K13" s="161"/>
      <c r="L13" s="169"/>
      <c r="M13" s="40"/>
      <c r="N13" s="149"/>
      <c r="O13" s="161"/>
      <c r="P13" s="162"/>
      <c r="Q13" s="40"/>
      <c r="R13" s="149"/>
      <c r="S13" s="149"/>
      <c r="T13" s="149"/>
      <c r="U13" s="149"/>
      <c r="V13" s="149"/>
      <c r="W13" s="158"/>
      <c r="X13" s="16"/>
      <c r="Y13" s="16"/>
      <c r="Z13" s="16"/>
      <c r="AA13" s="16"/>
      <c r="AB13" s="16"/>
      <c r="AC13" s="16"/>
      <c r="AD13" s="15"/>
      <c r="AE13" s="16"/>
      <c r="AF13" s="16"/>
      <c r="AG13" s="16"/>
      <c r="AH13" s="16"/>
    </row>
    <row r="14" spans="1:34" ht="18" thickBot="1" x14ac:dyDescent="0.45">
      <c r="A14" s="76"/>
      <c r="B14" s="155"/>
      <c r="C14" s="155">
        <f>C12+C13</f>
        <v>33</v>
      </c>
      <c r="D14" s="156"/>
      <c r="E14" s="22"/>
      <c r="F14" s="157"/>
      <c r="G14" s="78">
        <v>9</v>
      </c>
      <c r="H14" s="79" t="str">
        <f ca="1">IF(OR(TRIM(D12)="-",TRIM(D13)="-"), IF(TRIM(D12)="-",D13,D12),IF(AND(E12="",E13="")," ",IF(N(E12)=N(E13)," ",IF(N(E12)&gt;N(E13),D12,D13))))</f>
        <v>34 1. KPK Vrchlabí - Šebek Viktor</v>
      </c>
      <c r="I14" s="129" t="str">
        <f>IF(VLOOKUP(G14,Postupy!$A$3:$BJ$18,62,0)=0,"",VLOOKUP(G14,Postupy!$A$3:$BJ$18,62,0))</f>
        <v/>
      </c>
      <c r="J14" s="163"/>
      <c r="K14" s="161"/>
      <c r="L14" s="169"/>
      <c r="M14" s="40"/>
      <c r="N14" s="149"/>
      <c r="O14" s="161"/>
      <c r="P14" s="162"/>
      <c r="Q14" s="40"/>
      <c r="R14" s="149"/>
      <c r="S14" s="149"/>
      <c r="T14" s="149"/>
      <c r="U14" s="149"/>
      <c r="V14" s="149"/>
      <c r="W14" s="158"/>
      <c r="X14" s="16"/>
      <c r="Y14" s="16"/>
      <c r="Z14" s="16"/>
      <c r="AA14" s="16"/>
      <c r="AB14" s="16"/>
      <c r="AC14" s="16"/>
      <c r="AD14" s="15"/>
      <c r="AE14" s="16"/>
      <c r="AF14" s="16"/>
      <c r="AG14" s="16"/>
      <c r="AH14" s="16"/>
    </row>
    <row r="15" spans="1:34" ht="18.899999999999999" thickTop="1" thickBot="1" x14ac:dyDescent="0.5">
      <c r="A15" s="75"/>
      <c r="B15" s="159"/>
      <c r="C15" s="160"/>
      <c r="D15" s="296" t="s">
        <v>1680</v>
      </c>
      <c r="E15" s="297" t="str">
        <f ca="1">IF(OR(TRIM(D16)="-",TRIM(D17)="-"),"",VLOOKUP(MIN(C16,C17),Hřiště!$B$11:$E$42,4,0))</f>
        <v/>
      </c>
      <c r="F15" s="168"/>
      <c r="G15" s="80">
        <v>8</v>
      </c>
      <c r="H15" s="81" t="str">
        <f ca="1">IF(OR(TRIM(D16)="-",TRIM(D17)="-"), IF(TRIM(D16)="-",D17,D16),IF(AND(E16="",E17="")," ",IF(N(E16)=N(E17)," ",IF(N(E16)&gt;N(E17),D16,D17))))</f>
        <v>28 PC Sokol PP Hr. Králové - Hochmann Lukáš</v>
      </c>
      <c r="I15" s="129" t="str">
        <f>IF(VLOOKUP(G15,Postupy!$A$3:$BJ$18,62,0)=0,"",VLOOKUP(G15,Postupy!$A$3:$BJ$18,62,0))</f>
        <v/>
      </c>
      <c r="J15" s="150"/>
      <c r="K15" s="149"/>
      <c r="L15" s="169"/>
      <c r="M15" s="149"/>
      <c r="N15" s="149"/>
      <c r="O15" s="161"/>
      <c r="P15" s="162"/>
      <c r="Q15" s="40"/>
      <c r="R15" s="149"/>
      <c r="S15" s="149"/>
      <c r="T15" s="149"/>
      <c r="U15" s="149"/>
      <c r="V15" s="149"/>
      <c r="W15" s="158"/>
      <c r="X15" s="16"/>
      <c r="Y15" s="16"/>
      <c r="Z15" s="16"/>
      <c r="AA15" s="16"/>
      <c r="AB15" s="16"/>
      <c r="AC15" s="16"/>
      <c r="AD15" s="16"/>
      <c r="AE15" s="16"/>
      <c r="AF15" s="16"/>
      <c r="AG15" s="16"/>
    </row>
    <row r="16" spans="1:34" ht="18.45" thickTop="1" thickBot="1" x14ac:dyDescent="0.45">
      <c r="A16" s="86" t="str">
        <f ca="1">VLOOKUP(C16,Postupy!$A$3:$C$34,3,0)</f>
        <v/>
      </c>
      <c r="B16" s="147"/>
      <c r="C16" s="78">
        <v>25</v>
      </c>
      <c r="D16" s="253" t="str">
        <f ca="1">VLOOKUP(C16,Postupy!$A$3:$BG$34,59,0)</f>
        <v xml:space="preserve"> - </v>
      </c>
      <c r="E16" s="129" t="str">
        <f>IF(VLOOKUP(C16,Postupy!$A$3:$BH$34,60,0)=0,"",VLOOKUP(C16,Postupy!$A$3:$BH$34,60,0))</f>
        <v/>
      </c>
      <c r="F16" s="173"/>
      <c r="G16" s="170"/>
      <c r="H16" s="171"/>
      <c r="I16" s="29"/>
      <c r="J16" s="149"/>
      <c r="K16" s="149"/>
      <c r="L16" s="166"/>
      <c r="M16" s="149"/>
      <c r="N16" s="149"/>
      <c r="O16" s="161"/>
      <c r="P16" s="162"/>
      <c r="Q16" s="40"/>
      <c r="R16" s="149"/>
      <c r="S16" s="149"/>
      <c r="T16" s="149"/>
      <c r="U16" s="149"/>
      <c r="V16" s="149"/>
      <c r="W16" s="158"/>
      <c r="X16" s="16"/>
      <c r="Y16" s="16"/>
      <c r="Z16" s="16"/>
      <c r="AA16" s="16"/>
      <c r="AB16" s="16"/>
      <c r="AC16" s="16"/>
      <c r="AD16" s="16"/>
      <c r="AE16" s="16"/>
      <c r="AF16" s="16"/>
      <c r="AG16" s="16"/>
    </row>
    <row r="17" spans="1:33" ht="18.899999999999999" thickTop="1" thickBot="1" x14ac:dyDescent="0.5">
      <c r="A17" s="86">
        <f ca="1">VLOOKUP(C17,Postupy!$A$3:$C$34,3,0)</f>
        <v>28</v>
      </c>
      <c r="B17" s="147"/>
      <c r="C17" s="80">
        <v>8</v>
      </c>
      <c r="D17" s="253" t="str">
        <f ca="1">VLOOKUP(C17,Postupy!$A$3:$BG$34,59,0)</f>
        <v>28 PC Sokol PP Hr. Králové - Hochmann Lukáš</v>
      </c>
      <c r="E17" s="129" t="str">
        <f>IF(VLOOKUP(C17,Postupy!$A$3:$BH$34,60,0)=0,"",VLOOKUP(C17,Postupy!$A$3:$BH$34,60,0))</f>
        <v/>
      </c>
      <c r="F17" s="174"/>
      <c r="G17" s="149"/>
      <c r="H17" s="166"/>
      <c r="I17" s="149"/>
      <c r="J17" s="149"/>
      <c r="K17" s="149"/>
      <c r="L17" s="175"/>
      <c r="M17" s="158"/>
      <c r="N17" s="158"/>
      <c r="O17" s="152"/>
      <c r="P17" s="296" t="s">
        <v>1680</v>
      </c>
      <c r="Q17" s="297" t="str">
        <f ca="1">IF(OR(TRIM(P18)="-",TRIM(P19)="-"),"",VLOOKUP(MIN(O18,O19),Hřiště!$B$11:$E$42,4,0))</f>
        <v/>
      </c>
      <c r="S17" s="168"/>
      <c r="T17" s="168"/>
      <c r="U17" s="168"/>
      <c r="V17" s="149"/>
      <c r="W17" s="158"/>
      <c r="X17" s="16"/>
      <c r="Y17" s="16"/>
      <c r="Z17" s="16"/>
      <c r="AA17" s="16"/>
      <c r="AB17" s="16"/>
      <c r="AC17" s="16"/>
      <c r="AD17" s="16"/>
      <c r="AE17" s="16"/>
      <c r="AF17" s="16"/>
      <c r="AG17" s="16"/>
    </row>
    <row r="18" spans="1:33" ht="18" thickBot="1" x14ac:dyDescent="0.45">
      <c r="A18" s="76"/>
      <c r="B18" s="155"/>
      <c r="C18" s="155">
        <f>C16+C17</f>
        <v>33</v>
      </c>
      <c r="D18" s="156"/>
      <c r="E18" s="22"/>
      <c r="F18" s="164">
        <f>C14+C18</f>
        <v>66</v>
      </c>
      <c r="G18" s="149"/>
      <c r="H18" s="169"/>
      <c r="I18" s="149"/>
      <c r="J18" s="149"/>
      <c r="K18" s="149"/>
      <c r="L18" s="176"/>
      <c r="M18" s="158"/>
      <c r="N18" s="158"/>
      <c r="O18" s="78">
        <v>1</v>
      </c>
      <c r="P18" s="79" t="str">
        <f ca="1">IF(OR(TRIM(L10)="-",TRIM(L11)="-"), IF(TRIM(L10)="-",L11,L10),IF(AND(M10="",M11="")," ",IF(N(M10)=N(M11)," ",IF(N(M10)&gt;N(M11),L10,L11))))</f>
        <v xml:space="preserve"> </v>
      </c>
      <c r="Q18" s="129" t="str">
        <f>IF(VLOOKUP(O18,Postupy!$A$3:$BN$6,66,0)=0,"",VLOOKUP(O18,Postupy!$A$3:$BN$6,66,0))</f>
        <v/>
      </c>
      <c r="R18" s="158"/>
      <c r="S18" s="149"/>
      <c r="T18" s="149"/>
      <c r="U18" s="149"/>
      <c r="V18" s="149"/>
      <c r="W18" s="158"/>
      <c r="X18" s="16"/>
      <c r="Y18" s="16"/>
      <c r="Z18" s="16"/>
      <c r="AA18" s="16"/>
      <c r="AB18" s="16"/>
      <c r="AC18" s="16"/>
      <c r="AD18" s="16"/>
      <c r="AE18" s="16"/>
      <c r="AF18" s="16"/>
      <c r="AG18" s="16"/>
    </row>
    <row r="19" spans="1:33" ht="18.899999999999999" thickTop="1" thickBot="1" x14ac:dyDescent="0.5">
      <c r="A19" s="75"/>
      <c r="B19" s="159"/>
      <c r="C19" s="160"/>
      <c r="D19" s="296" t="s">
        <v>1680</v>
      </c>
      <c r="E19" s="297" t="str">
        <f ca="1">IF(OR(TRIM(D20)="-",TRIM(D21)="-"),"",VLOOKUP(MIN(C20,C21),Hřiště!$B$11:$E$42,4,0))</f>
        <v/>
      </c>
      <c r="F19" s="149"/>
      <c r="G19" s="149"/>
      <c r="H19" s="169"/>
      <c r="I19" s="149"/>
      <c r="J19" s="149"/>
      <c r="K19" s="149"/>
      <c r="L19" s="176"/>
      <c r="M19" s="158"/>
      <c r="N19" s="157"/>
      <c r="O19" s="80">
        <v>4</v>
      </c>
      <c r="P19" s="81" t="str">
        <f ca="1">IF(OR(TRIM(L26)="-",TRIM(L27)="-"),IF(TRIM(L26)="-",L27,L26),IF(AND(M26="",M27="")," ",IF(N(M26)=N(M27)," ",IF(N(M26)&gt;N(M27),L26,L27))))</f>
        <v xml:space="preserve"> </v>
      </c>
      <c r="Q19" s="129" t="str">
        <f>IF(VLOOKUP(O19,Postupy!$A$3:$BN$6,66,0)=0,"",VLOOKUP(O19,Postupy!$A$3:$BN$6,66,0))</f>
        <v/>
      </c>
      <c r="R19" s="151"/>
      <c r="S19" s="177"/>
      <c r="T19" s="149"/>
      <c r="U19" s="149"/>
      <c r="V19" s="149"/>
      <c r="W19" s="158"/>
      <c r="X19" s="16"/>
      <c r="Y19" s="16"/>
      <c r="Z19" s="16"/>
      <c r="AA19" s="16"/>
      <c r="AB19" s="16"/>
      <c r="AC19" s="16"/>
      <c r="AD19" s="16"/>
      <c r="AE19" s="16"/>
      <c r="AF19" s="16"/>
      <c r="AG19" s="16"/>
    </row>
    <row r="20" spans="1:33" ht="18.45" thickTop="1" thickBot="1" x14ac:dyDescent="0.45">
      <c r="A20" s="86">
        <f ca="1">VLOOKUP(C20,Postupy!$A$3:$C$34,3,0)</f>
        <v>23</v>
      </c>
      <c r="B20" s="147"/>
      <c r="C20" s="78">
        <v>5</v>
      </c>
      <c r="D20" s="253" t="str">
        <f ca="1">VLOOKUP(C20,Postupy!$A$3:$BG$34,59,0)</f>
        <v>23 PC Kolová - Horáček Jindřich</v>
      </c>
      <c r="E20" s="129" t="str">
        <f>IF(VLOOKUP(C20,Postupy!$A$3:$BH$34,60,0)=0,"",VLOOKUP(C20,Postupy!$A$3:$BH$34,60,0))</f>
        <v/>
      </c>
      <c r="F20" s="152"/>
      <c r="G20" s="149"/>
      <c r="H20" s="166"/>
      <c r="I20" s="149"/>
      <c r="J20" s="149"/>
      <c r="K20" s="149"/>
      <c r="L20" s="176"/>
      <c r="M20" s="158"/>
      <c r="N20" s="157"/>
      <c r="O20" s="170"/>
      <c r="P20" s="171"/>
      <c r="Q20" s="40"/>
      <c r="R20" s="158"/>
      <c r="S20" s="177"/>
      <c r="T20" s="153"/>
      <c r="U20" s="158"/>
      <c r="V20" s="149"/>
      <c r="W20" s="158"/>
      <c r="X20" s="16"/>
      <c r="Y20" s="16"/>
      <c r="Z20" s="16"/>
      <c r="AA20" s="16"/>
      <c r="AB20" s="16"/>
      <c r="AC20" s="15"/>
      <c r="AD20" s="16"/>
      <c r="AE20" s="16"/>
      <c r="AF20" s="16"/>
      <c r="AG20" s="16"/>
    </row>
    <row r="21" spans="1:33" ht="18.899999999999999" thickTop="1" thickBot="1" x14ac:dyDescent="0.5">
      <c r="A21" s="86" t="str">
        <f ca="1">VLOOKUP(C21,Postupy!$A$3:$C$34,3,0)</f>
        <v/>
      </c>
      <c r="B21" s="147"/>
      <c r="C21" s="80">
        <v>28</v>
      </c>
      <c r="D21" s="253" t="str">
        <f ca="1">VLOOKUP(C21,Postupy!$A$3:$BG$34,59,0)</f>
        <v xml:space="preserve"> - </v>
      </c>
      <c r="E21" s="129" t="str">
        <f>IF(VLOOKUP(C21,Postupy!$A$3:$BH$34,60,0)=0,"",VLOOKUP(C21,Postupy!$A$3:$BH$34,60,0))</f>
        <v/>
      </c>
      <c r="F21" s="178"/>
      <c r="G21" s="152"/>
      <c r="H21" s="296" t="s">
        <v>1680</v>
      </c>
      <c r="I21" s="297" t="str">
        <f ca="1">IF(OR(TRIM(H22)="-",TRIM(H23)="-"),"",VLOOKUP(MIN(G22,G23),Hřiště!$B$11:$E$42,4,0))</f>
        <v/>
      </c>
      <c r="J21" s="149"/>
      <c r="K21" s="149"/>
      <c r="L21" s="176"/>
      <c r="M21" s="158"/>
      <c r="N21" s="157"/>
      <c r="O21" s="40"/>
      <c r="P21" s="169"/>
      <c r="Q21" s="158"/>
      <c r="R21" s="158"/>
      <c r="S21" s="177"/>
      <c r="T21" s="153"/>
      <c r="U21" s="158"/>
      <c r="V21" s="149"/>
      <c r="W21" s="158"/>
      <c r="X21" s="16"/>
      <c r="Y21" s="16"/>
      <c r="Z21" s="16"/>
      <c r="AA21" s="16"/>
      <c r="AB21" s="16"/>
      <c r="AC21" s="15"/>
      <c r="AD21" s="16"/>
      <c r="AE21" s="16"/>
      <c r="AF21" s="16"/>
      <c r="AG21" s="16"/>
    </row>
    <row r="22" spans="1:33" ht="18.45" thickTop="1" thickBot="1" x14ac:dyDescent="0.45">
      <c r="A22" s="76"/>
      <c r="B22" s="155"/>
      <c r="C22" s="155">
        <f>C20+C21</f>
        <v>33</v>
      </c>
      <c r="D22" s="156"/>
      <c r="E22" s="22"/>
      <c r="F22" s="157"/>
      <c r="G22" s="78">
        <v>5</v>
      </c>
      <c r="H22" s="79" t="str">
        <f ca="1">IF(OR(TRIM(D20)="-",TRIM(D21)="-"), IF(TRIM(D20)="-",D21,D20),IF(AND(E20="",E21="")," ",IF(N(E20)=N(E21)," ",IF(N(E20)&gt;N(E21),D20,D21))))</f>
        <v>23 PC Kolová - Horáček Jindřich</v>
      </c>
      <c r="I22" s="129" t="str">
        <f>IF(VLOOKUP(G22,Postupy!$A$3:$BJ$18,62,0)=0,"",VLOOKUP(G22,Postupy!$A$3:$BJ$18,62,0))</f>
        <v/>
      </c>
      <c r="J22" s="148"/>
      <c r="K22" s="149"/>
      <c r="L22" s="176"/>
      <c r="M22" s="158"/>
      <c r="N22" s="157"/>
      <c r="O22" s="40"/>
      <c r="P22" s="169"/>
      <c r="Q22" s="158"/>
      <c r="R22" s="158"/>
      <c r="S22" s="177"/>
      <c r="T22" s="153"/>
      <c r="U22" s="158"/>
      <c r="V22" s="149"/>
      <c r="W22" s="158"/>
      <c r="X22" s="16"/>
      <c r="Y22" s="16"/>
      <c r="Z22" s="16"/>
      <c r="AA22" s="16"/>
      <c r="AB22" s="16"/>
      <c r="AC22" s="15"/>
      <c r="AD22" s="16"/>
      <c r="AE22" s="16"/>
      <c r="AF22" s="16"/>
      <c r="AG22" s="16"/>
    </row>
    <row r="23" spans="1:33" ht="18.899999999999999" thickTop="1" thickBot="1" x14ac:dyDescent="0.5">
      <c r="A23" s="75"/>
      <c r="B23" s="159"/>
      <c r="C23" s="160"/>
      <c r="D23" s="296" t="s">
        <v>1680</v>
      </c>
      <c r="E23" s="297" t="str">
        <f ca="1">IF(OR(TRIM(D24)="-",TRIM(D25)="-"),"",VLOOKUP(MIN(C24,C25),Hřiště!$B$11:$E$42,4,0))</f>
        <v/>
      </c>
      <c r="F23" s="157"/>
      <c r="G23" s="80">
        <v>12</v>
      </c>
      <c r="H23" s="81" t="str">
        <f ca="1">IF(OR(TRIM(D24)="-",TRIM(D25)="-"), IF(TRIM(D24)="-",D25,D24),IF(AND(E24="",E25="")," ",IF(N(E24)=N(E25)," ",IF(N(E24)&gt;N(E25),D24,D25))))</f>
        <v>5 CdP Loděnice - Dlouhá Ivana</v>
      </c>
      <c r="I23" s="129" t="str">
        <f>IF(VLOOKUP(G23,Postupy!$A$3:$BJ$18,62,0)=0,"",VLOOKUP(G23,Postupy!$A$3:$BJ$18,62,0))</f>
        <v/>
      </c>
      <c r="J23" s="151"/>
      <c r="K23" s="161"/>
      <c r="L23" s="179"/>
      <c r="M23" s="158"/>
      <c r="N23" s="157"/>
      <c r="O23" s="40"/>
      <c r="P23" s="166"/>
      <c r="Q23" s="158"/>
      <c r="R23" s="158"/>
      <c r="S23" s="177"/>
      <c r="T23" s="153"/>
      <c r="U23" s="158"/>
      <c r="V23" s="149"/>
      <c r="W23" s="158"/>
      <c r="X23" s="16"/>
      <c r="Y23" s="16"/>
      <c r="Z23" s="16"/>
      <c r="AA23" s="16"/>
      <c r="AB23" s="16"/>
      <c r="AC23" s="16"/>
      <c r="AD23" s="16"/>
      <c r="AE23" s="16"/>
      <c r="AF23" s="16"/>
      <c r="AG23" s="16"/>
    </row>
    <row r="24" spans="1:33" ht="18.45" thickTop="1" thickBot="1" x14ac:dyDescent="0.45">
      <c r="A24" s="86" t="str">
        <f ca="1">VLOOKUP(C24,Postupy!$A$3:$C$34,3,0)</f>
        <v/>
      </c>
      <c r="B24" s="147"/>
      <c r="C24" s="78">
        <v>21</v>
      </c>
      <c r="D24" s="253" t="str">
        <f ca="1">VLOOKUP(C24,Postupy!$A$3:$BG$34,59,0)</f>
        <v xml:space="preserve"> - </v>
      </c>
      <c r="E24" s="129" t="str">
        <f>IF(VLOOKUP(C24,Postupy!$A$3:$BH$34,60,0)=0,"",VLOOKUP(C24,Postupy!$A$3:$BH$34,60,0))</f>
        <v/>
      </c>
      <c r="F24" s="163"/>
      <c r="G24" s="164"/>
      <c r="H24" s="171"/>
      <c r="I24" s="214"/>
      <c r="J24" s="158"/>
      <c r="K24" s="161"/>
      <c r="L24" s="180"/>
      <c r="M24" s="158"/>
      <c r="N24" s="157"/>
      <c r="O24" s="40"/>
      <c r="P24" s="175"/>
      <c r="Q24" s="158"/>
      <c r="R24" s="158"/>
      <c r="S24" s="177"/>
      <c r="T24" s="153"/>
      <c r="U24" s="158"/>
      <c r="V24" s="149"/>
      <c r="W24" s="158"/>
      <c r="X24" s="16"/>
      <c r="Y24" s="16"/>
      <c r="Z24" s="16"/>
      <c r="AA24" s="16"/>
      <c r="AB24" s="16"/>
      <c r="AC24" s="16"/>
      <c r="AD24" s="16"/>
      <c r="AE24" s="16"/>
      <c r="AF24" s="16"/>
      <c r="AG24" s="16"/>
    </row>
    <row r="25" spans="1:33" ht="18.899999999999999" thickTop="1" thickBot="1" x14ac:dyDescent="0.5">
      <c r="A25" s="86">
        <f ca="1">VLOOKUP(C25,Postupy!$A$3:$C$34,3,0)</f>
        <v>5</v>
      </c>
      <c r="B25" s="147"/>
      <c r="C25" s="80">
        <v>12</v>
      </c>
      <c r="D25" s="253" t="str">
        <f ca="1">VLOOKUP(C25,Postupy!$A$3:$BG$34,59,0)</f>
        <v>5 CdP Loděnice - Dlouhá Ivana</v>
      </c>
      <c r="E25" s="129" t="str">
        <f>IF(VLOOKUP(C25,Postupy!$A$3:$BH$34,60,0)=0,"",VLOOKUP(C25,Postupy!$A$3:$BH$34,60,0))</f>
        <v/>
      </c>
      <c r="F25" s="150"/>
      <c r="G25" s="149"/>
      <c r="H25" s="166"/>
      <c r="I25" s="158"/>
      <c r="J25" s="158"/>
      <c r="K25" s="152"/>
      <c r="L25" s="296" t="s">
        <v>1680</v>
      </c>
      <c r="M25" s="297" t="str">
        <f ca="1">IF(OR(TRIM(L26)="-",TRIM(L27)="-"),"",VLOOKUP(MIN(K26,K27),Hřiště!$B$11:$E$42,4,0))</f>
        <v/>
      </c>
      <c r="N25" s="181"/>
      <c r="O25" s="40"/>
      <c r="P25" s="179"/>
      <c r="Q25" s="158"/>
      <c r="R25" s="158"/>
      <c r="S25" s="177"/>
      <c r="T25" s="153"/>
      <c r="U25" s="158"/>
      <c r="V25" s="149"/>
      <c r="W25" s="158"/>
      <c r="X25" s="16"/>
      <c r="Y25" s="16"/>
      <c r="Z25" s="16"/>
      <c r="AA25" s="16"/>
      <c r="AB25" s="16"/>
      <c r="AC25" s="16"/>
      <c r="AD25" s="16"/>
      <c r="AE25" s="16"/>
      <c r="AF25" s="16"/>
      <c r="AG25" s="16"/>
    </row>
    <row r="26" spans="1:33" ht="18.45" thickTop="1" thickBot="1" x14ac:dyDescent="0.45">
      <c r="A26" s="76"/>
      <c r="B26" s="155"/>
      <c r="C26" s="155">
        <f>C24+C25</f>
        <v>33</v>
      </c>
      <c r="D26" s="156"/>
      <c r="E26" s="22"/>
      <c r="F26" s="164">
        <f>C22+C26</f>
        <v>66</v>
      </c>
      <c r="G26" s="149"/>
      <c r="H26" s="169"/>
      <c r="I26" s="149"/>
      <c r="J26" s="149"/>
      <c r="K26" s="78">
        <v>5</v>
      </c>
      <c r="L26" s="79" t="str">
        <f ca="1">IF(OR(TRIM(H22)="-",TRIM(H23)="-"), IF(TRIM(H22)="-",H23,H22),IF(AND(I22="",I23="")," ",IF(N(I22)=N(I23)," ",IF(N(I22)&gt;N(I23),H22,H23))))</f>
        <v xml:space="preserve"> </v>
      </c>
      <c r="M26" s="129" t="str">
        <f>IF(VLOOKUP(K26,Postupy!$A$3:$BL$10,64,0)=0,"",VLOOKUP(K26,Postupy!$A$3:$BL$10,64,0))</f>
        <v/>
      </c>
      <c r="N26" s="163"/>
      <c r="O26" s="149"/>
      <c r="P26" s="176"/>
      <c r="Q26" s="158"/>
      <c r="R26" s="158"/>
      <c r="S26" s="177"/>
      <c r="T26" s="153"/>
      <c r="U26" s="149"/>
      <c r="V26" s="149"/>
      <c r="W26" s="149"/>
      <c r="X26" s="16"/>
      <c r="Y26" s="17"/>
      <c r="Z26" s="16"/>
      <c r="AA26" s="16"/>
      <c r="AB26" s="16"/>
      <c r="AC26" s="17"/>
      <c r="AD26" s="16"/>
      <c r="AE26" s="16"/>
      <c r="AF26" s="16"/>
      <c r="AG26" s="16"/>
    </row>
    <row r="27" spans="1:33" ht="18.899999999999999" thickTop="1" thickBot="1" x14ac:dyDescent="0.5">
      <c r="A27" s="75"/>
      <c r="B27" s="159"/>
      <c r="C27" s="160"/>
      <c r="D27" s="296" t="s">
        <v>1680</v>
      </c>
      <c r="E27" s="297" t="str">
        <f ca="1">IF(OR(TRIM(D28)="-",TRIM(D29)="-"),"",VLOOKUP(MIN(C28,C29),Hřiště!$B$11:$E$42,4,0))</f>
        <v/>
      </c>
      <c r="F27" s="149"/>
      <c r="G27" s="149"/>
      <c r="H27" s="169"/>
      <c r="I27" s="149"/>
      <c r="J27" s="149"/>
      <c r="K27" s="80">
        <v>4</v>
      </c>
      <c r="L27" s="81" t="str">
        <f ca="1">IF(OR(TRIM(H30)="-",TRIM(H31)="-"), IF(TRIM(H30)="-",H31,H30),IF(AND(I30="",I31="")," ",IF(N(I30)=N(I31)," ",IF(N(I30)&gt;N(I31),H30,H31))))</f>
        <v xml:space="preserve"> </v>
      </c>
      <c r="M27" s="129" t="str">
        <f>IF(VLOOKUP(K27,Postupy!$A$3:$BL$10,64,0)=0,"",VLOOKUP(K27,Postupy!$A$3:$BL$10,64,0))</f>
        <v/>
      </c>
      <c r="N27" s="150"/>
      <c r="O27" s="149"/>
      <c r="P27" s="176"/>
      <c r="Q27" s="158"/>
      <c r="R27" s="158"/>
      <c r="S27" s="177"/>
      <c r="T27" s="153"/>
      <c r="U27" s="149"/>
      <c r="V27" s="149"/>
      <c r="W27" s="149"/>
      <c r="X27" s="16"/>
      <c r="Y27" s="17"/>
      <c r="Z27" s="16"/>
      <c r="AA27" s="16"/>
      <c r="AB27" s="16"/>
      <c r="AC27" s="17"/>
      <c r="AD27" s="16"/>
      <c r="AE27" s="16"/>
      <c r="AF27" s="16"/>
      <c r="AG27" s="16"/>
    </row>
    <row r="28" spans="1:33" ht="18.45" thickTop="1" thickBot="1" x14ac:dyDescent="0.45">
      <c r="A28" s="86">
        <f ca="1">VLOOKUP(C28,Postupy!$A$3:$C$34,3,0)</f>
        <v>52</v>
      </c>
      <c r="B28" s="147"/>
      <c r="C28" s="78">
        <v>13</v>
      </c>
      <c r="D28" s="253" t="str">
        <f ca="1">VLOOKUP(C28,Postupy!$A$3:$BG$34,59,0)</f>
        <v xml:space="preserve">52   - Jesper R, Dánsko  </v>
      </c>
      <c r="E28" s="129" t="str">
        <f>IF(VLOOKUP(C28,Postupy!$A$3:$BH$34,60,0)=0,"",VLOOKUP(C28,Postupy!$A$3:$BH$34,60,0))</f>
        <v/>
      </c>
      <c r="F28" s="152"/>
      <c r="G28" s="149"/>
      <c r="H28" s="166"/>
      <c r="I28" s="149"/>
      <c r="J28" s="158"/>
      <c r="K28" s="170"/>
      <c r="L28" s="171"/>
      <c r="M28" s="29"/>
      <c r="N28" s="149"/>
      <c r="O28" s="149"/>
      <c r="P28" s="176"/>
      <c r="Q28" s="158"/>
      <c r="R28" s="158"/>
      <c r="S28" s="177"/>
      <c r="T28" s="167"/>
      <c r="U28" s="158"/>
      <c r="V28" s="149"/>
      <c r="W28" s="158"/>
      <c r="X28" s="16"/>
      <c r="Y28" s="16"/>
      <c r="Z28" s="16"/>
      <c r="AA28" s="16"/>
      <c r="AB28" s="16"/>
      <c r="AC28" s="16"/>
      <c r="AD28" s="16"/>
      <c r="AE28" s="16"/>
      <c r="AF28" s="16"/>
      <c r="AG28" s="16"/>
    </row>
    <row r="29" spans="1:33" ht="18.899999999999999" thickTop="1" thickBot="1" x14ac:dyDescent="0.5">
      <c r="A29" s="86" t="str">
        <f ca="1">VLOOKUP(C29,Postupy!$A$3:$C$34,3,0)</f>
        <v/>
      </c>
      <c r="B29" s="147"/>
      <c r="C29" s="80">
        <v>20</v>
      </c>
      <c r="D29" s="253" t="str">
        <f ca="1">VLOOKUP(C29,Postupy!$A$3:$BG$34,59,0)</f>
        <v xml:space="preserve"> - </v>
      </c>
      <c r="E29" s="129" t="str">
        <f>IF(VLOOKUP(C29,Postupy!$A$3:$BH$34,60,0)=0,"",VLOOKUP(C29,Postupy!$A$3:$BH$34,60,0))</f>
        <v/>
      </c>
      <c r="F29" s="172" t="s">
        <v>1681</v>
      </c>
      <c r="G29" s="152"/>
      <c r="H29" s="296" t="s">
        <v>1680</v>
      </c>
      <c r="I29" s="297" t="str">
        <f ca="1">IF(OR(TRIM(H30)="-",TRIM(H31)="-"),"",VLOOKUP(MIN(G30,G31),Hřiště!$B$11:$E$42,4,0))</f>
        <v/>
      </c>
      <c r="J29" s="158"/>
      <c r="K29" s="161"/>
      <c r="L29" s="169"/>
      <c r="M29" s="40"/>
      <c r="N29" s="149"/>
      <c r="O29" s="149"/>
      <c r="P29" s="176"/>
      <c r="Q29" s="158"/>
      <c r="R29" s="158"/>
      <c r="S29" s="177"/>
      <c r="T29" s="167"/>
      <c r="U29" s="158"/>
      <c r="V29" s="149"/>
      <c r="W29" s="158"/>
      <c r="X29" s="33"/>
      <c r="Y29" s="16"/>
      <c r="Z29" s="16"/>
      <c r="AA29" s="16"/>
      <c r="AB29" s="16"/>
      <c r="AC29" s="16"/>
      <c r="AD29" s="16"/>
      <c r="AE29" s="16"/>
      <c r="AF29" s="16"/>
      <c r="AG29" s="16"/>
    </row>
    <row r="30" spans="1:33" ht="18.45" thickTop="1" thickBot="1" x14ac:dyDescent="0.45">
      <c r="A30" s="76"/>
      <c r="B30" s="155"/>
      <c r="C30" s="155">
        <f>C28+C29</f>
        <v>33</v>
      </c>
      <c r="D30" s="156"/>
      <c r="E30" s="22"/>
      <c r="F30" s="22"/>
      <c r="G30" s="78">
        <v>13</v>
      </c>
      <c r="H30" s="79" t="str">
        <f ca="1">IF(OR(TRIM(D28)="-",TRIM(D29)="-"), IF(TRIM(D28)="-",D29,D28),IF(AND(E28="",E29="")," ",IF(N(E28)=N(E29)," ",IF(N(E28)&gt;N(E29),D28,D29))))</f>
        <v xml:space="preserve">52   - Jesper R, Dánsko  </v>
      </c>
      <c r="I30" s="129" t="str">
        <f>IF(VLOOKUP(G30,Postupy!$A$3:$BJ$18,62,0)=0,"",VLOOKUP(G30,Postupy!$A$3:$BJ$18,62,0))</f>
        <v/>
      </c>
      <c r="J30" s="163"/>
      <c r="K30" s="161"/>
      <c r="L30" s="169"/>
      <c r="M30" s="40"/>
      <c r="N30" s="149"/>
      <c r="O30" s="149"/>
      <c r="P30" s="176"/>
      <c r="Q30" s="158"/>
      <c r="R30" s="158"/>
      <c r="S30" s="177"/>
      <c r="T30" s="167"/>
      <c r="U30" s="158"/>
      <c r="V30" s="149"/>
      <c r="W30" s="158"/>
      <c r="X30" s="33"/>
      <c r="Y30" s="16"/>
      <c r="Z30" s="16"/>
      <c r="AA30" s="16"/>
      <c r="AB30" s="16"/>
      <c r="AC30" s="16"/>
      <c r="AD30" s="16"/>
      <c r="AE30" s="16"/>
      <c r="AF30" s="16"/>
      <c r="AG30" s="16"/>
    </row>
    <row r="31" spans="1:33" ht="18.899999999999999" thickTop="1" thickBot="1" x14ac:dyDescent="0.5">
      <c r="A31" s="75"/>
      <c r="B31" s="159"/>
      <c r="C31" s="160"/>
      <c r="D31" s="296" t="s">
        <v>1680</v>
      </c>
      <c r="E31" s="297" t="str">
        <f ca="1">IF(OR(TRIM(D32)="-",TRIM(D33)="-"),"",VLOOKUP(MIN(C32,C33),Hřiště!$B$11:$E$42,4,0))</f>
        <v/>
      </c>
      <c r="F31" s="168"/>
      <c r="G31" s="80">
        <v>4</v>
      </c>
      <c r="H31" s="81" t="str">
        <f ca="1">IF(OR(TRIM(D32)="-",TRIM(D33)="-"), IF(TRIM(D32)="-",D33,D32),IF(AND(E32="",E33="")," ",IF(N(E32)=N(E33)," ",IF(N(E32)&gt;N(E33),D32,D33))))</f>
        <v>7 1. KPK Vrchlabí - Semeniv Maryana Khrystyna</v>
      </c>
      <c r="I31" s="129" t="str">
        <f>IF(VLOOKUP(G31,Postupy!$A$3:$BJ$18,62,0)=0,"",VLOOKUP(G31,Postupy!$A$3:$BJ$18,62,0))</f>
        <v/>
      </c>
      <c r="J31" s="150"/>
      <c r="K31" s="149"/>
      <c r="L31" s="169"/>
      <c r="M31" s="149"/>
      <c r="N31" s="149"/>
      <c r="O31" s="149"/>
      <c r="P31" s="176"/>
      <c r="Q31" s="158"/>
      <c r="R31" s="158"/>
      <c r="S31" s="177"/>
      <c r="T31" s="167"/>
      <c r="U31" s="158"/>
      <c r="V31" s="149"/>
      <c r="W31" s="158"/>
      <c r="X31" s="33"/>
      <c r="Y31" s="16"/>
      <c r="Z31" s="16"/>
      <c r="AA31" s="16"/>
      <c r="AB31" s="16"/>
      <c r="AC31" s="16"/>
      <c r="AD31" s="16"/>
      <c r="AE31" s="16"/>
      <c r="AF31" s="16"/>
      <c r="AG31" s="16"/>
    </row>
    <row r="32" spans="1:33" ht="18.899999999999999" thickTop="1" thickBot="1" x14ac:dyDescent="0.5">
      <c r="A32" s="86" t="str">
        <f ca="1">VLOOKUP(C32,Postupy!$A$3:$C$34,3,0)</f>
        <v/>
      </c>
      <c r="B32" s="147"/>
      <c r="C32" s="78">
        <v>29</v>
      </c>
      <c r="D32" s="253" t="str">
        <f ca="1">VLOOKUP(C32,Postupy!$A$3:$BG$34,59,0)</f>
        <v xml:space="preserve"> - </v>
      </c>
      <c r="E32" s="129" t="str">
        <f>IF(VLOOKUP(C32,Postupy!$A$3:$BH$34,60,0)=0,"",VLOOKUP(C32,Postupy!$A$3:$BH$34,60,0))</f>
        <v/>
      </c>
      <c r="F32" s="173"/>
      <c r="G32" s="170"/>
      <c r="H32" s="171"/>
      <c r="I32" s="29"/>
      <c r="J32" s="149"/>
      <c r="K32" s="149"/>
      <c r="L32" s="166"/>
      <c r="M32" s="149"/>
      <c r="N32" s="149"/>
      <c r="O32" s="149"/>
      <c r="P32" s="176"/>
      <c r="Q32" s="158"/>
      <c r="R32" s="158"/>
      <c r="S32" s="177"/>
      <c r="T32" s="212" t="s">
        <v>1678</v>
      </c>
      <c r="U32" s="158"/>
      <c r="V32" s="149"/>
      <c r="W32" s="158"/>
      <c r="X32" s="33"/>
      <c r="Y32" s="16"/>
      <c r="Z32" s="16"/>
      <c r="AA32" s="16"/>
      <c r="AB32" s="16"/>
      <c r="AC32" s="16"/>
      <c r="AD32" s="16"/>
      <c r="AE32" s="16"/>
      <c r="AF32" s="16"/>
      <c r="AG32" s="16"/>
    </row>
    <row r="33" spans="1:33" ht="18.899999999999999" thickTop="1" thickBot="1" x14ac:dyDescent="0.5">
      <c r="A33" s="86">
        <f ca="1">VLOOKUP(C33,Postupy!$A$3:$C$34,3,0)</f>
        <v>7</v>
      </c>
      <c r="B33" s="147"/>
      <c r="C33" s="80">
        <v>4</v>
      </c>
      <c r="D33" s="253" t="str">
        <f ca="1">VLOOKUP(C33,Postupy!$A$3:$BG$34,59,0)</f>
        <v>7 1. KPK Vrchlabí - Semeniv Maryana Khrystyna</v>
      </c>
      <c r="E33" s="129" t="str">
        <f>IF(VLOOKUP(C33,Postupy!$A$3:$BH$34,60,0)=0,"",VLOOKUP(C33,Postupy!$A$3:$BH$34,60,0))</f>
        <v/>
      </c>
      <c r="F33" s="174"/>
      <c r="G33" s="149"/>
      <c r="H33" s="166"/>
      <c r="I33" s="149"/>
      <c r="J33" s="149"/>
      <c r="K33" s="149"/>
      <c r="L33" s="175"/>
      <c r="M33" s="149"/>
      <c r="N33" s="149"/>
      <c r="O33" s="149"/>
      <c r="P33" s="176"/>
      <c r="Q33" s="158"/>
      <c r="R33" s="158"/>
      <c r="S33" s="177"/>
      <c r="T33" s="296" t="s">
        <v>1680</v>
      </c>
      <c r="U33" s="297" t="str">
        <f ca="1">IF(OR(TRIM(T34)="-",TRIM(T35)="-"),"",VLOOKUP(MIN(S34,S35),Hřiště!$B$11:$E$42,4,0))</f>
        <v/>
      </c>
      <c r="V33" s="149"/>
      <c r="W33" s="158"/>
      <c r="X33" s="215"/>
      <c r="Y33" s="16"/>
      <c r="Z33" s="16"/>
      <c r="AA33" s="16"/>
      <c r="AB33" s="16"/>
      <c r="AC33" s="16"/>
      <c r="AD33" s="16"/>
      <c r="AE33" s="16"/>
      <c r="AF33" s="16"/>
      <c r="AG33" s="16"/>
    </row>
    <row r="34" spans="1:33" ht="18.45" thickTop="1" thickBot="1" x14ac:dyDescent="0.45">
      <c r="A34" s="189"/>
      <c r="B34" s="191"/>
      <c r="C34" s="191">
        <f>C32+C33</f>
        <v>33</v>
      </c>
      <c r="D34" s="192"/>
      <c r="E34" s="224"/>
      <c r="F34" s="193">
        <f>C30+C34</f>
        <v>66</v>
      </c>
      <c r="G34" s="194"/>
      <c r="H34" s="225"/>
      <c r="I34" s="194"/>
      <c r="J34" s="194"/>
      <c r="K34" s="194"/>
      <c r="L34" s="226"/>
      <c r="M34" s="194"/>
      <c r="N34" s="194"/>
      <c r="O34" s="194"/>
      <c r="P34" s="226"/>
      <c r="Q34" s="194"/>
      <c r="R34" s="227"/>
      <c r="S34" s="37">
        <v>1</v>
      </c>
      <c r="T34" s="79" t="str">
        <f ca="1">IF(OR(TRIM(P18)="-",TRIM(P19)="-"), IF(TRIM(P18)="-",P19,P18),IF(AND(Q18="",Q19="")," ",IF(N(Q18)=N(Q19)," ",IF(N(Q18)&gt;N(Q19),P18,P19))))</f>
        <v xml:space="preserve"> </v>
      </c>
      <c r="U34" s="129" t="str">
        <f>IF(VLOOKUP(S34,Postupy!$A$3:$BP$6,68,0)=0,"",VLOOKUP(S34,Postupy!$A$3:$BP$6,68,0))</f>
        <v/>
      </c>
      <c r="V34" s="163"/>
      <c r="W34" s="37">
        <v>1</v>
      </c>
      <c r="X34" s="100" t="str">
        <f>IF(AND(U34="",U35="")," ",IF(N(U34)=N(U35)," ",IF(N(U34)&gt;N(U35),T34,T35)))</f>
        <v xml:space="preserve"> </v>
      </c>
      <c r="Y34" s="38">
        <v>1</v>
      </c>
      <c r="Z34" s="16"/>
      <c r="AA34" s="16"/>
      <c r="AB34" s="16"/>
      <c r="AC34" s="16"/>
      <c r="AD34" s="16"/>
      <c r="AE34" s="16"/>
      <c r="AF34" s="16"/>
      <c r="AG34" s="16"/>
    </row>
    <row r="35" spans="1:33" ht="18.899999999999999" thickTop="1" thickBot="1" x14ac:dyDescent="0.5">
      <c r="A35" s="76"/>
      <c r="B35" s="159"/>
      <c r="C35" s="188"/>
      <c r="D35" s="296" t="s">
        <v>1680</v>
      </c>
      <c r="E35" s="297" t="str">
        <f ca="1">IF(OR(TRIM(D36)="-",TRIM(D37)="-"),"",VLOOKUP(MIN(C36,C37),Hřiště!$B$11:$E$42,4,0))</f>
        <v/>
      </c>
      <c r="F35" s="29"/>
      <c r="G35" s="150"/>
      <c r="H35" s="222"/>
      <c r="I35" s="150"/>
      <c r="J35" s="150"/>
      <c r="K35" s="150"/>
      <c r="L35" s="223"/>
      <c r="M35" s="150"/>
      <c r="N35" s="150"/>
      <c r="O35" s="150"/>
      <c r="P35" s="223"/>
      <c r="Q35" s="150"/>
      <c r="R35" s="150"/>
      <c r="S35" s="80">
        <v>2</v>
      </c>
      <c r="T35" s="81" t="str">
        <f ca="1">IF(OR(TRIM(P50)="-",TRIM(P51)="-"), IF(TRIM(P50)="-",P51,P50),IF(AND(Q50="",Q51="")," ",IF(N(Q50)=N(Q51)," ",IF(N(Q50)&gt;N(Q51),P50,P51))))</f>
        <v xml:space="preserve"> </v>
      </c>
      <c r="U35" s="129" t="str">
        <f>IF(VLOOKUP(S35,Postupy!$A$3:$BP$6,68,0)=0,"",VLOOKUP(S35,Postupy!$A$3:$BP$6,68,0))</f>
        <v/>
      </c>
      <c r="V35" s="149"/>
      <c r="W35" s="37">
        <v>2</v>
      </c>
      <c r="X35" s="98" t="str">
        <f>IF(AND(U34="",U35="")," ",IF(N(U35)=N(U34)," ",IF(N(U35)&gt;N(U34),T34,T35)))</f>
        <v xml:space="preserve"> </v>
      </c>
      <c r="Y35" s="97">
        <v>2</v>
      </c>
      <c r="Z35" s="16"/>
      <c r="AA35" s="16"/>
      <c r="AB35" s="16"/>
      <c r="AC35" s="16"/>
      <c r="AD35" s="16"/>
      <c r="AE35" s="16"/>
      <c r="AF35" s="16"/>
      <c r="AG35" s="16"/>
    </row>
    <row r="36" spans="1:33" ht="18.45" thickTop="1" thickBot="1" x14ac:dyDescent="0.45">
      <c r="A36" s="86">
        <f ca="1">VLOOKUP(C36,Postupy!$A$3:$C$34,3,0)</f>
        <v>2</v>
      </c>
      <c r="B36" s="147"/>
      <c r="C36" s="78">
        <v>3</v>
      </c>
      <c r="D36" s="253" t="str">
        <f ca="1">VLOOKUP(C36,Postupy!$A$3:$BG$34,59,0)</f>
        <v>2 PLUK Jablonec - Lukáš Vojtěch</v>
      </c>
      <c r="E36" s="129" t="str">
        <f>IF(VLOOKUP(C36,Postupy!$A$3:$BH$34,60,0)=0,"",VLOOKUP(C36,Postupy!$A$3:$BH$34,60,0))</f>
        <v/>
      </c>
      <c r="F36" s="152"/>
      <c r="G36" s="149"/>
      <c r="H36" s="166"/>
      <c r="I36" s="149"/>
      <c r="J36" s="149"/>
      <c r="K36" s="149"/>
      <c r="L36" s="182"/>
      <c r="M36" s="149"/>
      <c r="N36" s="149"/>
      <c r="O36" s="149"/>
      <c r="P36" s="176"/>
      <c r="Q36" s="158"/>
      <c r="R36" s="158"/>
      <c r="S36" s="170"/>
      <c r="T36" s="183"/>
      <c r="U36" s="40"/>
      <c r="V36" s="149"/>
      <c r="W36" s="149"/>
      <c r="X36" s="33"/>
      <c r="Y36" s="17"/>
      <c r="Z36" s="16"/>
      <c r="AA36" s="16"/>
      <c r="AB36" s="16"/>
      <c r="AC36" s="16"/>
      <c r="AD36" s="16"/>
      <c r="AE36" s="16"/>
      <c r="AF36" s="16"/>
      <c r="AG36" s="16"/>
    </row>
    <row r="37" spans="1:33" ht="18.899999999999999" thickTop="1" thickBot="1" x14ac:dyDescent="0.5">
      <c r="A37" s="86" t="str">
        <f ca="1">VLOOKUP(C37,Postupy!$A$3:$C$34,3,0)</f>
        <v/>
      </c>
      <c r="B37" s="147"/>
      <c r="C37" s="80">
        <v>30</v>
      </c>
      <c r="D37" s="253" t="str">
        <f ca="1">VLOOKUP(C37,Postupy!$A$3:$BG$34,59,0)</f>
        <v xml:space="preserve"> - </v>
      </c>
      <c r="E37" s="129" t="str">
        <f>IF(VLOOKUP(C37,Postupy!$A$3:$BH$34,60,0)=0,"",VLOOKUP(C37,Postupy!$A$3:$BH$34,60,0))</f>
        <v/>
      </c>
      <c r="F37" s="178"/>
      <c r="G37" s="152"/>
      <c r="H37" s="296" t="s">
        <v>1680</v>
      </c>
      <c r="I37" s="297" t="str">
        <f ca="1">IF(OR(TRIM(H38)="-",TRIM(H39)="-"),"",VLOOKUP(MIN(G38,G39),Hřiště!$B$11:$E$42,4,0))</f>
        <v/>
      </c>
      <c r="J37" s="149"/>
      <c r="K37" s="149"/>
      <c r="L37" s="182"/>
      <c r="M37" s="149"/>
      <c r="N37" s="149"/>
      <c r="O37" s="149"/>
      <c r="P37" s="176"/>
      <c r="Q37" s="158"/>
      <c r="R37" s="158"/>
      <c r="S37" s="161"/>
      <c r="T37" s="154"/>
      <c r="U37" s="40"/>
      <c r="V37" s="149"/>
      <c r="W37" s="149"/>
      <c r="X37" s="33"/>
      <c r="Y37" s="16"/>
      <c r="Z37" s="16"/>
      <c r="AA37" s="16"/>
      <c r="AB37" s="16"/>
      <c r="AC37" s="16"/>
      <c r="AD37" s="16"/>
      <c r="AE37" s="16"/>
      <c r="AF37" s="16"/>
      <c r="AG37" s="16"/>
    </row>
    <row r="38" spans="1:33" ht="18" thickBot="1" x14ac:dyDescent="0.45">
      <c r="A38" s="76"/>
      <c r="B38" s="155"/>
      <c r="C38" s="155">
        <f>C36+C37</f>
        <v>33</v>
      </c>
      <c r="D38" s="156"/>
      <c r="E38" s="22"/>
      <c r="F38" s="157"/>
      <c r="G38" s="78">
        <v>3</v>
      </c>
      <c r="H38" s="79" t="str">
        <f ca="1">IF(OR(TRIM(D36)="-",TRIM(D37)="-"), IF(TRIM(D36)="-",D37,D36),IF(AND(E36="",E37="")," ",IF(N(E36)=N(E37)," ",IF(N(E36)&gt;N(E37),D36,D37))))</f>
        <v>2 PLUK Jablonec - Lukáš Vojtěch</v>
      </c>
      <c r="I38" s="129" t="str">
        <f>IF(VLOOKUP(G38,Postupy!$A$3:$BJ$18,62,0)=0,"",VLOOKUP(G38,Postupy!$A$3:$BJ$18,62,0))</f>
        <v/>
      </c>
      <c r="J38" s="148"/>
      <c r="K38" s="149"/>
      <c r="L38" s="182"/>
      <c r="M38" s="149"/>
      <c r="N38" s="149"/>
      <c r="O38" s="149"/>
      <c r="P38" s="176"/>
      <c r="Q38" s="158"/>
      <c r="R38" s="158"/>
      <c r="S38" s="161"/>
      <c r="T38" s="154"/>
      <c r="U38" s="40"/>
      <c r="V38" s="149"/>
      <c r="W38" s="149"/>
      <c r="X38" s="16"/>
      <c r="Y38" s="16"/>
      <c r="Z38" s="16"/>
      <c r="AA38" s="16"/>
      <c r="AB38" s="16"/>
      <c r="AC38" s="16"/>
      <c r="AD38" s="16"/>
      <c r="AE38" s="16"/>
      <c r="AF38" s="16"/>
      <c r="AG38" s="16"/>
    </row>
    <row r="39" spans="1:33" ht="18.899999999999999" thickTop="1" thickBot="1" x14ac:dyDescent="0.5">
      <c r="A39" s="75"/>
      <c r="B39" s="159"/>
      <c r="C39" s="160"/>
      <c r="D39" s="296" t="s">
        <v>1680</v>
      </c>
      <c r="E39" s="297" t="str">
        <f ca="1">IF(OR(TRIM(D40)="-",TRIM(D41)="-"),"",VLOOKUP(MIN(C40,C41),Hřiště!$B$11:$E$42,4,0))</f>
        <v/>
      </c>
      <c r="F39" s="157"/>
      <c r="G39" s="80">
        <v>14</v>
      </c>
      <c r="H39" s="81" t="str">
        <f ca="1">IF(OR(TRIM(D40)="-",TRIM(D41)="-"), IF(TRIM(D40)="-",D41,D40),IF(AND(E40="",E41="")," ",IF(N(E40)=N(E41)," ",IF(N(E40)&gt;N(E41),D40,D41))))</f>
        <v>9 UBU Únětice - Palas Pavel</v>
      </c>
      <c r="I39" s="129" t="str">
        <f>IF(VLOOKUP(G39,Postupy!$A$3:$BJ$18,62,0)=0,"",VLOOKUP(G39,Postupy!$A$3:$BJ$18,62,0))</f>
        <v/>
      </c>
      <c r="J39" s="151"/>
      <c r="K39" s="161"/>
      <c r="L39" s="156"/>
      <c r="M39" s="40"/>
      <c r="N39" s="149"/>
      <c r="O39" s="149"/>
      <c r="P39" s="176"/>
      <c r="Q39" s="158"/>
      <c r="R39" s="158"/>
      <c r="S39" s="161"/>
      <c r="T39" s="154"/>
      <c r="U39" s="40"/>
      <c r="V39" s="149"/>
      <c r="W39" s="149"/>
      <c r="X39" s="16"/>
      <c r="Y39" s="16"/>
      <c r="Z39" s="16"/>
      <c r="AA39" s="16"/>
      <c r="AB39" s="16"/>
      <c r="AC39" s="16"/>
      <c r="AD39" s="16"/>
      <c r="AE39" s="16"/>
      <c r="AF39" s="16"/>
      <c r="AG39" s="16"/>
    </row>
    <row r="40" spans="1:33" ht="18.45" thickTop="1" thickBot="1" x14ac:dyDescent="0.45">
      <c r="A40" s="86" t="str">
        <f ca="1">VLOOKUP(C40,Postupy!$A$3:$C$34,3,0)</f>
        <v/>
      </c>
      <c r="B40" s="147"/>
      <c r="C40" s="78">
        <v>19</v>
      </c>
      <c r="D40" s="253" t="str">
        <f ca="1">VLOOKUP(C40,Postupy!$A$3:$BG$34,59,0)</f>
        <v xml:space="preserve"> - </v>
      </c>
      <c r="E40" s="129" t="str">
        <f>IF(VLOOKUP(C40,Postupy!$A$3:$BH$34,60,0)=0,"",VLOOKUP(C40,Postupy!$A$3:$BH$34,60,0))</f>
        <v/>
      </c>
      <c r="F40" s="163"/>
      <c r="G40" s="170"/>
      <c r="H40" s="171"/>
      <c r="I40" s="29"/>
      <c r="J40" s="158"/>
      <c r="K40" s="161"/>
      <c r="L40" s="180"/>
      <c r="M40" s="40"/>
      <c r="N40" s="149"/>
      <c r="O40" s="149"/>
      <c r="P40" s="176"/>
      <c r="Q40" s="158"/>
      <c r="R40" s="158"/>
      <c r="S40" s="161"/>
      <c r="T40" s="149"/>
      <c r="U40" s="40"/>
      <c r="V40" s="149"/>
      <c r="W40" s="149"/>
      <c r="X40" s="16"/>
      <c r="Y40" s="16"/>
      <c r="Z40" s="16"/>
      <c r="AA40" s="16"/>
      <c r="AB40" s="16"/>
      <c r="AC40" s="16"/>
      <c r="AD40" s="16"/>
      <c r="AE40" s="16"/>
      <c r="AF40" s="16"/>
      <c r="AG40" s="16"/>
    </row>
    <row r="41" spans="1:33" ht="18.899999999999999" thickTop="1" thickBot="1" x14ac:dyDescent="0.5">
      <c r="A41" s="86">
        <f ca="1">VLOOKUP(C41,Postupy!$A$3:$C$34,3,0)</f>
        <v>9</v>
      </c>
      <c r="B41" s="147"/>
      <c r="C41" s="80">
        <v>14</v>
      </c>
      <c r="D41" s="253" t="str">
        <f ca="1">VLOOKUP(C41,Postupy!$A$3:$BG$34,59,0)</f>
        <v>9 UBU Únětice - Palas Pavel</v>
      </c>
      <c r="E41" s="129" t="str">
        <f>IF(VLOOKUP(C41,Postupy!$A$3:$BH$34,60,0)=0,"",VLOOKUP(C41,Postupy!$A$3:$BH$34,60,0))</f>
        <v/>
      </c>
      <c r="F41" s="150"/>
      <c r="G41" s="149"/>
      <c r="H41" s="166"/>
      <c r="I41" s="158"/>
      <c r="J41" s="158"/>
      <c r="K41" s="152"/>
      <c r="L41" s="296" t="s">
        <v>1680</v>
      </c>
      <c r="M41" s="297" t="str">
        <f ca="1">IF(OR(TRIM(L42)="-",TRIM(L43)="-"),"",VLOOKUP(MIN(K42,K43),Hřiště!$B$11:$E$42,4,0))</f>
        <v/>
      </c>
      <c r="N41" s="168"/>
      <c r="O41" s="149"/>
      <c r="P41" s="176"/>
      <c r="Q41" s="158"/>
      <c r="R41" s="158"/>
      <c r="S41" s="161"/>
      <c r="T41" s="149"/>
      <c r="U41" s="40"/>
      <c r="V41" s="149"/>
      <c r="W41" s="149"/>
      <c r="X41" s="16"/>
      <c r="Y41" s="16"/>
      <c r="Z41" s="16"/>
      <c r="AA41" s="16"/>
      <c r="AB41" s="16"/>
      <c r="AC41" s="16"/>
      <c r="AD41" s="16"/>
      <c r="AE41" s="16"/>
      <c r="AF41" s="16"/>
      <c r="AG41" s="16"/>
    </row>
    <row r="42" spans="1:33" ht="18" thickBot="1" x14ac:dyDescent="0.45">
      <c r="A42" s="76"/>
      <c r="B42" s="155"/>
      <c r="C42" s="155">
        <f>C40+C41</f>
        <v>33</v>
      </c>
      <c r="D42" s="156"/>
      <c r="E42" s="22"/>
      <c r="F42" s="164">
        <f>C38+C42</f>
        <v>66</v>
      </c>
      <c r="G42" s="149"/>
      <c r="H42" s="169"/>
      <c r="I42" s="149"/>
      <c r="J42" s="149"/>
      <c r="K42" s="78">
        <v>3</v>
      </c>
      <c r="L42" s="79" t="str">
        <f ca="1">IF(OR(TRIM(H38)="-",TRIM(H39)="-"), IF(TRIM(H38)="-",H39,H38),IF(AND(I38="",I39="")," ",IF(N(I38)=N(I39)," ",IF(N(I38)&gt;N(I39),H38,H39))))</f>
        <v xml:space="preserve"> </v>
      </c>
      <c r="M42" s="129" t="str">
        <f>IF(VLOOKUP(K42,Postupy!$A$3:$BL$10,64,0)=0,"",VLOOKUP(K42,Postupy!$A$3:$BL$10,64,0))</f>
        <v/>
      </c>
      <c r="N42" s="148"/>
      <c r="O42" s="40"/>
      <c r="P42" s="176"/>
      <c r="Q42" s="158"/>
      <c r="R42" s="158"/>
      <c r="S42" s="161"/>
      <c r="T42" s="40"/>
      <c r="U42" s="40"/>
      <c r="V42" s="149"/>
      <c r="W42" s="149"/>
      <c r="X42" s="16"/>
      <c r="Y42" s="16"/>
      <c r="Z42" s="16"/>
      <c r="AA42" s="16"/>
      <c r="AB42" s="17"/>
      <c r="AC42" s="16"/>
      <c r="AD42" s="16"/>
      <c r="AE42" s="16"/>
      <c r="AF42" s="16"/>
      <c r="AG42" s="16"/>
    </row>
    <row r="43" spans="1:33" ht="18.899999999999999" thickTop="1" thickBot="1" x14ac:dyDescent="0.5">
      <c r="A43" s="75"/>
      <c r="B43" s="159"/>
      <c r="C43" s="160"/>
      <c r="D43" s="296" t="s">
        <v>1680</v>
      </c>
      <c r="E43" s="297" t="str">
        <f ca="1">IF(OR(TRIM(D44)="-",TRIM(D45)="-"),"",VLOOKUP(MIN(C44,C45),Hřiště!$B$11:$E$42,4,0))</f>
        <v/>
      </c>
      <c r="F43" s="149"/>
      <c r="G43" s="149"/>
      <c r="H43" s="169"/>
      <c r="I43" s="149"/>
      <c r="J43" s="149"/>
      <c r="K43" s="80">
        <v>6</v>
      </c>
      <c r="L43" s="81" t="str">
        <f ca="1">IF(OR(TRIM(H46)="-",TRIM(H47)="-"), IF(TRIM(H46)="-",H47,H46),IF(AND(I46="",I47="")," ",IF(N(I46)=N(I47)," ",IF(N(I46)&gt;N(I47),H46,H47))))</f>
        <v xml:space="preserve"> </v>
      </c>
      <c r="M43" s="129" t="str">
        <f>IF(VLOOKUP(K43,Postupy!$A$3:$BL$10,64,0)=0,"",VLOOKUP(K43,Postupy!$A$3:$BL$10,64,0))</f>
        <v/>
      </c>
      <c r="N43" s="151"/>
      <c r="O43" s="161"/>
      <c r="P43" s="176"/>
      <c r="Q43" s="158"/>
      <c r="R43" s="158"/>
      <c r="S43" s="161"/>
      <c r="T43" s="40"/>
      <c r="U43" s="40"/>
      <c r="V43" s="149"/>
      <c r="W43" s="149"/>
      <c r="X43" s="16"/>
      <c r="Y43" s="17"/>
      <c r="Z43" s="16"/>
      <c r="AA43" s="16"/>
      <c r="AB43" s="17"/>
      <c r="AC43" s="16"/>
      <c r="AD43" s="16"/>
      <c r="AE43" s="17"/>
      <c r="AF43" s="17"/>
      <c r="AG43" s="17"/>
    </row>
    <row r="44" spans="1:33" ht="18.45" thickTop="1" thickBot="1" x14ac:dyDescent="0.45">
      <c r="A44" s="86">
        <f ca="1">VLOOKUP(C44,Postupy!$A$3:$C$34,3,0)</f>
        <v>51</v>
      </c>
      <c r="B44" s="147"/>
      <c r="C44" s="78">
        <v>11</v>
      </c>
      <c r="D44" s="253" t="str">
        <f ca="1">VLOOKUP(C44,Postupy!$A$3:$BG$34,59,0)</f>
        <v xml:space="preserve">51   - Erik, Dánsko  </v>
      </c>
      <c r="E44" s="129" t="str">
        <f>IF(VLOOKUP(C44,Postupy!$A$3:$BH$34,60,0)=0,"",VLOOKUP(C44,Postupy!$A$3:$BH$34,60,0))</f>
        <v/>
      </c>
      <c r="F44" s="152"/>
      <c r="G44" s="149"/>
      <c r="H44" s="166"/>
      <c r="I44" s="149"/>
      <c r="J44" s="158"/>
      <c r="K44" s="170"/>
      <c r="L44" s="171"/>
      <c r="M44" s="29"/>
      <c r="N44" s="149"/>
      <c r="O44" s="161"/>
      <c r="P44" s="176"/>
      <c r="Q44" s="158"/>
      <c r="R44" s="158"/>
      <c r="S44" s="161"/>
      <c r="T44" s="40"/>
      <c r="U44" s="40"/>
      <c r="V44" s="149"/>
      <c r="W44" s="149"/>
      <c r="X44" s="16"/>
      <c r="Y44" s="16"/>
      <c r="Z44" s="16"/>
      <c r="AA44" s="16"/>
      <c r="AB44" s="16"/>
      <c r="AC44" s="16"/>
      <c r="AD44" s="16"/>
      <c r="AE44" s="16"/>
      <c r="AF44" s="16"/>
      <c r="AG44" s="16"/>
    </row>
    <row r="45" spans="1:33" ht="18.899999999999999" thickTop="1" thickBot="1" x14ac:dyDescent="0.5">
      <c r="A45" s="86" t="str">
        <f ca="1">VLOOKUP(C45,Postupy!$A$3:$C$34,3,0)</f>
        <v/>
      </c>
      <c r="B45" s="147"/>
      <c r="C45" s="80">
        <v>22</v>
      </c>
      <c r="D45" s="253" t="str">
        <f ca="1">VLOOKUP(C45,Postupy!$A$3:$BG$34,59,0)</f>
        <v xml:space="preserve"> - </v>
      </c>
      <c r="E45" s="129" t="str">
        <f>IF(VLOOKUP(C45,Postupy!$A$3:$BH$34,60,0)=0,"",VLOOKUP(C45,Postupy!$A$3:$BH$34,60,0))</f>
        <v/>
      </c>
      <c r="F45" s="172" t="s">
        <v>1681</v>
      </c>
      <c r="G45" s="152"/>
      <c r="H45" s="296" t="s">
        <v>1680</v>
      </c>
      <c r="I45" s="297" t="str">
        <f ca="1">IF(OR(TRIM(H46)="-",TRIM(H47)="-"),"",VLOOKUP(MIN(G46,G47),Hřiště!$B$11:$E$42,4,0))</f>
        <v/>
      </c>
      <c r="J45" s="158"/>
      <c r="K45" s="161"/>
      <c r="L45" s="169"/>
      <c r="M45" s="40"/>
      <c r="N45" s="149"/>
      <c r="O45" s="161"/>
      <c r="P45" s="176"/>
      <c r="Q45" s="158"/>
      <c r="R45" s="158"/>
      <c r="S45" s="161"/>
      <c r="T45" s="40"/>
      <c r="U45" s="40"/>
      <c r="V45" s="149"/>
      <c r="W45" s="149"/>
      <c r="X45" s="16"/>
      <c r="Y45" s="16"/>
      <c r="Z45" s="16"/>
      <c r="AA45" s="16"/>
      <c r="AB45" s="16"/>
      <c r="AC45" s="16"/>
      <c r="AD45" s="16"/>
      <c r="AE45" s="16"/>
      <c r="AF45" s="16"/>
      <c r="AG45" s="16"/>
    </row>
    <row r="46" spans="1:33" ht="18" thickBot="1" x14ac:dyDescent="0.45">
      <c r="A46" s="76"/>
      <c r="B46" s="155"/>
      <c r="C46" s="155">
        <f>C44+C45</f>
        <v>33</v>
      </c>
      <c r="D46" s="156"/>
      <c r="E46" s="22"/>
      <c r="F46" s="157"/>
      <c r="G46" s="78">
        <v>11</v>
      </c>
      <c r="H46" s="79" t="str">
        <f ca="1">IF(OR(TRIM(D44)="-",TRIM(D45)="-"), IF(TRIM(D44)="-",D45,D44),IF(AND(E44="",E45="")," ",IF(N(E44)=N(E45)," ",IF(N(E44)&gt;N(E45),D44,D45))))</f>
        <v xml:space="preserve">51   - Erik, Dánsko  </v>
      </c>
      <c r="I46" s="129" t="str">
        <f>IF(VLOOKUP(G46,Postupy!$A$3:$BJ$18,62,0)=0,"",VLOOKUP(G46,Postupy!$A$3:$BJ$18,62,0))</f>
        <v/>
      </c>
      <c r="J46" s="163"/>
      <c r="K46" s="161"/>
      <c r="L46" s="169"/>
      <c r="M46" s="40"/>
      <c r="N46" s="149"/>
      <c r="O46" s="161"/>
      <c r="P46" s="176"/>
      <c r="Q46" s="158"/>
      <c r="R46" s="158"/>
      <c r="S46" s="161"/>
      <c r="T46" s="40"/>
      <c r="U46" s="40"/>
      <c r="V46" s="149"/>
      <c r="W46" s="149"/>
      <c r="X46" s="16"/>
      <c r="Y46" s="16"/>
      <c r="Z46" s="16"/>
      <c r="AA46" s="16"/>
      <c r="AB46" s="16"/>
      <c r="AC46" s="16"/>
      <c r="AD46" s="16"/>
      <c r="AE46" s="16"/>
      <c r="AF46" s="16"/>
      <c r="AG46" s="16"/>
    </row>
    <row r="47" spans="1:33" ht="18.899999999999999" thickTop="1" thickBot="1" x14ac:dyDescent="0.5">
      <c r="A47" s="75"/>
      <c r="B47" s="159"/>
      <c r="C47" s="160"/>
      <c r="D47" s="296" t="s">
        <v>1680</v>
      </c>
      <c r="E47" s="297" t="str">
        <f ca="1">IF(OR(TRIM(D48)="-",TRIM(D49)="-"),"",VLOOKUP(MIN(C48,C49),Hřiště!$B$11:$E$42,4,0))</f>
        <v/>
      </c>
      <c r="F47" s="168"/>
      <c r="G47" s="80">
        <v>6</v>
      </c>
      <c r="H47" s="81" t="str">
        <f ca="1">IF(OR(TRIM(D48)="-",TRIM(D49)="-"), IF(TRIM(D48)="-",D49,D48),IF(AND(E48="",E49="")," ",IF(N(E48)=N(E49)," ",IF(N(E48)&gt;N(E49),D48,D49))))</f>
        <v>21 SK Pétanque Řepy - Pastorek Jaroslav</v>
      </c>
      <c r="I47" s="129" t="str">
        <f>IF(VLOOKUP(G47,Postupy!$A$3:$BJ$18,62,0)=0,"",VLOOKUP(G47,Postupy!$A$3:$BJ$18,62,0))</f>
        <v/>
      </c>
      <c r="J47" s="150"/>
      <c r="K47" s="149"/>
      <c r="L47" s="169"/>
      <c r="M47" s="149"/>
      <c r="N47" s="149"/>
      <c r="O47" s="161"/>
      <c r="P47" s="176"/>
      <c r="Q47" s="158"/>
      <c r="R47" s="158"/>
      <c r="S47" s="161"/>
      <c r="T47" s="40"/>
      <c r="U47" s="40"/>
      <c r="V47" s="149"/>
      <c r="W47" s="149"/>
      <c r="X47" s="16"/>
      <c r="Y47" s="16"/>
      <c r="Z47" s="16"/>
      <c r="AA47" s="16"/>
      <c r="AB47" s="16"/>
      <c r="AC47" s="16"/>
      <c r="AD47" s="16"/>
      <c r="AE47" s="16"/>
      <c r="AF47" s="16"/>
      <c r="AG47" s="16"/>
    </row>
    <row r="48" spans="1:33" ht="18.45" thickTop="1" thickBot="1" x14ac:dyDescent="0.45">
      <c r="A48" s="86" t="str">
        <f ca="1">VLOOKUP(C48,Postupy!$A$3:$C$34,3,0)</f>
        <v/>
      </c>
      <c r="B48" s="147"/>
      <c r="C48" s="78">
        <v>27</v>
      </c>
      <c r="D48" s="253" t="str">
        <f ca="1">VLOOKUP(C48,Postupy!$A$3:$BG$34,59,0)</f>
        <v xml:space="preserve"> - </v>
      </c>
      <c r="E48" s="129" t="str">
        <f>IF(VLOOKUP(C48,Postupy!$A$3:$BH$34,60,0)=0,"",VLOOKUP(C48,Postupy!$A$3:$BH$34,60,0))</f>
        <v/>
      </c>
      <c r="F48" s="173"/>
      <c r="G48" s="170"/>
      <c r="H48" s="171"/>
      <c r="I48" s="29"/>
      <c r="J48" s="149"/>
      <c r="K48" s="149"/>
      <c r="L48" s="166"/>
      <c r="M48" s="149"/>
      <c r="N48" s="149"/>
      <c r="O48" s="161"/>
      <c r="P48" s="180"/>
      <c r="Q48" s="158"/>
      <c r="R48" s="158"/>
      <c r="S48" s="161"/>
      <c r="T48" s="40"/>
      <c r="U48" s="40"/>
      <c r="V48" s="149"/>
      <c r="W48" s="158"/>
      <c r="X48" s="16"/>
      <c r="Y48" s="16"/>
      <c r="Z48" s="16"/>
      <c r="AA48" s="16"/>
      <c r="AB48" s="16"/>
      <c r="AC48" s="16"/>
      <c r="AD48" s="16"/>
      <c r="AE48" s="16"/>
      <c r="AF48" s="16"/>
      <c r="AG48" s="16"/>
    </row>
    <row r="49" spans="1:33" ht="18.899999999999999" thickTop="1" thickBot="1" x14ac:dyDescent="0.5">
      <c r="A49" s="86">
        <f ca="1">VLOOKUP(C49,Postupy!$A$3:$C$34,3,0)</f>
        <v>21</v>
      </c>
      <c r="B49" s="147"/>
      <c r="C49" s="80">
        <v>6</v>
      </c>
      <c r="D49" s="253" t="str">
        <f ca="1">VLOOKUP(C49,Postupy!$A$3:$BG$34,59,0)</f>
        <v>21 SK Pétanque Řepy - Pastorek Jaroslav</v>
      </c>
      <c r="E49" s="129" t="str">
        <f>IF(VLOOKUP(C49,Postupy!$A$3:$BH$34,60,0)=0,"",VLOOKUP(C49,Postupy!$A$3:$BH$34,60,0))</f>
        <v/>
      </c>
      <c r="F49" s="174"/>
      <c r="G49" s="149"/>
      <c r="H49" s="166"/>
      <c r="I49" s="149"/>
      <c r="J49" s="149"/>
      <c r="K49" s="149"/>
      <c r="L49" s="175"/>
      <c r="M49" s="158"/>
      <c r="N49" s="158"/>
      <c r="O49" s="161"/>
      <c r="P49" s="296" t="s">
        <v>1680</v>
      </c>
      <c r="Q49" s="297" t="str">
        <f ca="1">IF(OR(TRIM(P50)="-",TRIM(P51)="-"),"",VLOOKUP(MIN(O50,O51),Hřiště!$B$11:$E$42,4,0))</f>
        <v/>
      </c>
      <c r="R49" s="158"/>
      <c r="S49" s="161"/>
      <c r="T49" s="40"/>
      <c r="U49" s="40"/>
      <c r="V49" s="149"/>
      <c r="W49" s="149"/>
      <c r="X49" s="16"/>
      <c r="Y49" s="16"/>
      <c r="Z49" s="16"/>
      <c r="AA49" s="16"/>
      <c r="AB49" s="16"/>
      <c r="AC49" s="16"/>
      <c r="AD49" s="16"/>
      <c r="AE49" s="16"/>
      <c r="AF49" s="16"/>
      <c r="AG49" s="16"/>
    </row>
    <row r="50" spans="1:33" ht="18" thickBot="1" x14ac:dyDescent="0.45">
      <c r="A50" s="76"/>
      <c r="B50" s="155"/>
      <c r="C50" s="155">
        <f>C48+C49</f>
        <v>33</v>
      </c>
      <c r="D50" s="156"/>
      <c r="E50" s="22"/>
      <c r="F50" s="164">
        <f>C46+C50</f>
        <v>66</v>
      </c>
      <c r="G50" s="149"/>
      <c r="H50" s="169"/>
      <c r="I50" s="149"/>
      <c r="J50" s="149"/>
      <c r="K50" s="149"/>
      <c r="L50" s="176"/>
      <c r="M50" s="158"/>
      <c r="N50" s="158"/>
      <c r="O50" s="78">
        <v>3</v>
      </c>
      <c r="P50" s="79" t="str">
        <f ca="1">IF(OR(TRIM(L42)="-",TRIM(L43)="-"), IF(TRIM(L42)="-",L43,L42),IF(AND(M42="",M43="")," ",IF(N(M42)=N(M43)," ",IF(N(M42)&gt;N(M43),L42,L43))))</f>
        <v xml:space="preserve"> </v>
      </c>
      <c r="Q50" s="129" t="str">
        <f>IF(VLOOKUP(O50,Postupy!$A$3:$BN$6,66,0)=0,"",VLOOKUP(O50,Postupy!$A$3:$BN$6,66,0))</f>
        <v/>
      </c>
      <c r="R50" s="163"/>
      <c r="S50" s="161"/>
      <c r="T50" s="40"/>
      <c r="U50" s="40"/>
      <c r="V50" s="149"/>
      <c r="W50" s="149"/>
      <c r="X50" s="16"/>
      <c r="Y50" s="16"/>
      <c r="Z50" s="16"/>
      <c r="AA50" s="16"/>
      <c r="AB50" s="16"/>
      <c r="AC50" s="16"/>
      <c r="AD50" s="16"/>
      <c r="AE50" s="16"/>
      <c r="AF50" s="16"/>
      <c r="AG50" s="16"/>
    </row>
    <row r="51" spans="1:33" ht="18.899999999999999" thickTop="1" thickBot="1" x14ac:dyDescent="0.5">
      <c r="A51" s="75"/>
      <c r="B51" s="159"/>
      <c r="C51" s="160"/>
      <c r="D51" s="296" t="s">
        <v>1680</v>
      </c>
      <c r="E51" s="297" t="str">
        <f ca="1">IF(OR(TRIM(D52)="-",TRIM(D53)="-"),"",VLOOKUP(MIN(C52,C53),Hřiště!$B$11:$E$42,4,0))</f>
        <v/>
      </c>
      <c r="F51" s="149"/>
      <c r="G51" s="149"/>
      <c r="H51" s="169"/>
      <c r="I51" s="149"/>
      <c r="J51" s="149"/>
      <c r="K51" s="149"/>
      <c r="L51" s="176"/>
      <c r="M51" s="158"/>
      <c r="N51" s="158"/>
      <c r="O51" s="80">
        <v>2</v>
      </c>
      <c r="P51" s="81" t="str">
        <f ca="1">IF(OR(TRIM(L58)="-",TRIM(L59)="-"),IF(TRIM(L58)="-",L59,L58),IF(AND(M58="",M59="")," ",IF(N(M58)=N(M59)," ",IF(N(M58)&gt;N(M59),L58,L59))))</f>
        <v xml:space="preserve"> </v>
      </c>
      <c r="Q51" s="129" t="str">
        <f>IF(VLOOKUP(O51,Postupy!$A$3:$BN$6,66,0)=0,"",VLOOKUP(O51,Postupy!$A$3:$BN$6,66,0))</f>
        <v/>
      </c>
      <c r="R51" s="149"/>
      <c r="S51" s="149"/>
      <c r="T51" s="40"/>
      <c r="U51" s="149"/>
      <c r="V51" s="149"/>
      <c r="W51" s="158"/>
      <c r="X51" s="16"/>
      <c r="Y51" s="16"/>
      <c r="Z51" s="16"/>
      <c r="AA51" s="16"/>
      <c r="AB51" s="16"/>
      <c r="AC51" s="16"/>
      <c r="AD51" s="16"/>
      <c r="AE51" s="16"/>
      <c r="AF51" s="16"/>
      <c r="AG51" s="16"/>
    </row>
    <row r="52" spans="1:33" ht="18.45" thickTop="1" thickBot="1" x14ac:dyDescent="0.45">
      <c r="A52" s="86">
        <f ca="1">VLOOKUP(C52,Postupy!$A$3:$C$34,3,0)</f>
        <v>14</v>
      </c>
      <c r="B52" s="147"/>
      <c r="C52" s="78">
        <v>7</v>
      </c>
      <c r="D52" s="253" t="str">
        <f ca="1">VLOOKUP(C52,Postupy!$A$3:$BG$34,59,0)</f>
        <v>14 PC Sokol Lipník - Morávek Petr</v>
      </c>
      <c r="E52" s="129" t="str">
        <f>IF(VLOOKUP(C52,Postupy!$A$3:$BH$34,60,0)=0,"",VLOOKUP(C52,Postupy!$A$3:$BH$34,60,0))</f>
        <v/>
      </c>
      <c r="F52" s="152"/>
      <c r="G52" s="149"/>
      <c r="H52" s="166"/>
      <c r="I52" s="149"/>
      <c r="J52" s="149"/>
      <c r="K52" s="149"/>
      <c r="L52" s="176"/>
      <c r="M52" s="158"/>
      <c r="N52" s="157"/>
      <c r="O52" s="170"/>
      <c r="P52" s="183"/>
      <c r="Q52" s="40"/>
      <c r="R52" s="149"/>
      <c r="S52" s="149"/>
      <c r="U52" s="149"/>
      <c r="V52" s="149"/>
      <c r="W52" s="158"/>
      <c r="X52" s="16"/>
      <c r="Y52" s="16"/>
      <c r="Z52" s="16"/>
      <c r="AA52" s="16"/>
      <c r="AB52" s="16"/>
      <c r="AC52" s="16"/>
      <c r="AD52" s="16"/>
      <c r="AE52" s="16"/>
      <c r="AF52" s="16"/>
      <c r="AG52" s="16"/>
    </row>
    <row r="53" spans="1:33" ht="18.899999999999999" thickTop="1" thickBot="1" x14ac:dyDescent="0.5">
      <c r="A53" s="86" t="str">
        <f ca="1">VLOOKUP(C53,Postupy!$A$3:$C$34,3,0)</f>
        <v/>
      </c>
      <c r="B53" s="147"/>
      <c r="C53" s="80">
        <v>26</v>
      </c>
      <c r="D53" s="253" t="str">
        <f ca="1">VLOOKUP(C53,Postupy!$A$3:$BG$34,59,0)</f>
        <v xml:space="preserve"> - </v>
      </c>
      <c r="E53" s="129" t="str">
        <f>IF(VLOOKUP(C53,Postupy!$A$3:$BH$34,60,0)=0,"",VLOOKUP(C53,Postupy!$A$3:$BH$34,60,0))</f>
        <v/>
      </c>
      <c r="F53" s="178"/>
      <c r="G53" s="152"/>
      <c r="H53" s="296" t="s">
        <v>1680</v>
      </c>
      <c r="I53" s="297" t="str">
        <f ca="1">IF(OR(TRIM(H54)="-",TRIM(H55)="-"),"",VLOOKUP(MIN(G54,G55),Hřiště!$B$11:$E$42,4,0))</f>
        <v/>
      </c>
      <c r="J53" s="149"/>
      <c r="K53" s="149"/>
      <c r="L53" s="176"/>
      <c r="M53" s="158"/>
      <c r="N53" s="157"/>
      <c r="O53" s="40"/>
      <c r="P53" s="154"/>
      <c r="Q53" s="40"/>
      <c r="R53" s="149"/>
      <c r="S53" s="149"/>
      <c r="T53" s="210" t="s">
        <v>1682</v>
      </c>
      <c r="U53" s="149"/>
      <c r="V53" s="149"/>
      <c r="W53" s="149"/>
      <c r="X53" s="16"/>
      <c r="Y53" s="16"/>
      <c r="Z53" s="16"/>
      <c r="AA53" s="16"/>
      <c r="AB53" s="16"/>
      <c r="AC53" s="16"/>
      <c r="AD53" s="16"/>
      <c r="AE53" s="16"/>
      <c r="AF53" s="16"/>
      <c r="AG53" s="16"/>
    </row>
    <row r="54" spans="1:33" ht="18" thickBot="1" x14ac:dyDescent="0.45">
      <c r="A54" s="76"/>
      <c r="B54" s="155"/>
      <c r="C54" s="155">
        <f>C52+C53</f>
        <v>33</v>
      </c>
      <c r="D54" s="156"/>
      <c r="E54" s="22"/>
      <c r="F54" s="157"/>
      <c r="G54" s="78">
        <v>7</v>
      </c>
      <c r="H54" s="79" t="str">
        <f ca="1">IF(OR(TRIM(D52)="-",TRIM(D53)="-"), IF(TRIM(D52)="-",D53,D52),IF(AND(E52="",E53="")," ",IF(N(E52)=N(E53)," ",IF(N(E52)&gt;N(E53),D52,D53))))</f>
        <v>14 PC Sokol Lipník - Morávek Petr</v>
      </c>
      <c r="I54" s="129" t="str">
        <f>IF(VLOOKUP(G54,Postupy!$A$3:$BJ$18,62,0)=0,"",VLOOKUP(G54,Postupy!$A$3:$BJ$18,62,0))</f>
        <v/>
      </c>
      <c r="J54" s="148"/>
      <c r="K54" s="149"/>
      <c r="L54" s="176"/>
      <c r="M54" s="158"/>
      <c r="N54" s="157"/>
      <c r="O54" s="40"/>
      <c r="P54" s="154"/>
      <c r="Q54" s="40"/>
      <c r="R54" s="149"/>
      <c r="S54" s="149"/>
      <c r="T54" s="211" t="s">
        <v>1683</v>
      </c>
      <c r="U54" s="149"/>
      <c r="V54" s="149"/>
      <c r="W54" s="149"/>
      <c r="X54" s="16"/>
      <c r="Y54" s="16"/>
      <c r="Z54" s="16"/>
      <c r="AA54" s="16"/>
      <c r="AB54" s="16"/>
      <c r="AC54" s="16"/>
      <c r="AD54" s="16"/>
      <c r="AE54" s="16"/>
      <c r="AF54" s="16"/>
      <c r="AG54" s="16"/>
    </row>
    <row r="55" spans="1:33" ht="18.899999999999999" thickTop="1" thickBot="1" x14ac:dyDescent="0.5">
      <c r="A55" s="75"/>
      <c r="B55" s="159"/>
      <c r="C55" s="160"/>
      <c r="D55" s="296" t="s">
        <v>1680</v>
      </c>
      <c r="E55" s="297" t="str">
        <f ca="1">IF(OR(TRIM(D56)="-",TRIM(D57)="-"),"",VLOOKUP(MIN(C56,C57),Hřiště!$B$11:$E$42,4,0))</f>
        <v/>
      </c>
      <c r="F55" s="157"/>
      <c r="G55" s="80">
        <v>10</v>
      </c>
      <c r="H55" s="81" t="str">
        <f ca="1">IF(OR(TRIM(D56)="-",TRIM(D57)="-"), IF(TRIM(D56)="-",D57,D56),IF(AND(E56="",E57="")," ",IF(N(E56)=N(E57)," ",IF(N(E56)&gt;N(E57),D56,D57))))</f>
        <v>12 PC Mimo Done - Heller Jan</v>
      </c>
      <c r="I55" s="129" t="str">
        <f>IF(VLOOKUP(G55,Postupy!$A$3:$BJ$18,62,0)=0,"",VLOOKUP(G55,Postupy!$A$3:$BJ$18,62,0))</f>
        <v/>
      </c>
      <c r="J55" s="151"/>
      <c r="K55" s="161"/>
      <c r="L55" s="176"/>
      <c r="M55" s="158"/>
      <c r="N55" s="157"/>
      <c r="O55" s="40"/>
      <c r="P55" s="154"/>
      <c r="Q55" s="40"/>
      <c r="R55" s="149"/>
      <c r="S55" s="149"/>
      <c r="T55" s="296" t="s">
        <v>1680</v>
      </c>
      <c r="U55" s="297" t="str">
        <f ca="1">IF(OR(TRIM(T56)="-",TRIM(T57)="-"),"",VLOOKUP(MIN(S56,S57),Hřiště!$B$11:$E$42,4,0))</f>
        <v/>
      </c>
      <c r="V55" s="149"/>
      <c r="W55" s="149"/>
      <c r="X55" s="16"/>
      <c r="Y55" s="16"/>
      <c r="Z55" s="16"/>
      <c r="AA55" s="16"/>
      <c r="AB55" s="16"/>
      <c r="AC55" s="16"/>
      <c r="AD55" s="16"/>
      <c r="AE55" s="16"/>
      <c r="AF55" s="16"/>
      <c r="AG55" s="16"/>
    </row>
    <row r="56" spans="1:33" ht="18.45" thickTop="1" thickBot="1" x14ac:dyDescent="0.45">
      <c r="A56" s="86" t="str">
        <f ca="1">VLOOKUP(C56,Postupy!$A$3:$C$34,3,0)</f>
        <v/>
      </c>
      <c r="B56" s="147"/>
      <c r="C56" s="78">
        <v>23</v>
      </c>
      <c r="D56" s="253" t="str">
        <f ca="1">VLOOKUP(C56,Postupy!$A$3:$BG$34,59,0)</f>
        <v xml:space="preserve"> - </v>
      </c>
      <c r="E56" s="129" t="str">
        <f>IF(VLOOKUP(C56,Postupy!$A$3:$BH$34,60,0)=0,"",VLOOKUP(C56,Postupy!$A$3:$BH$34,60,0))</f>
        <v/>
      </c>
      <c r="F56" s="163"/>
      <c r="G56" s="170"/>
      <c r="H56" s="171"/>
      <c r="I56" s="29"/>
      <c r="J56" s="158"/>
      <c r="K56" s="161"/>
      <c r="L56" s="180"/>
      <c r="M56" s="158"/>
      <c r="N56" s="157"/>
      <c r="O56" s="40"/>
      <c r="P56" s="154"/>
      <c r="Q56" s="40"/>
      <c r="R56" s="149"/>
      <c r="S56" s="78">
        <v>4</v>
      </c>
      <c r="T56" s="79" t="str">
        <f ca="1">IF(OR(TRIM(P18)="-",TRIM(P19)="-"), IF(TRIM(P18)="-",P19,P18),IF(AND(Q18="",Q19="")," ",IF(N(Q19)=N(Q18)," ",IF(N(Q19)&gt;N(Q18),P18,P19))))</f>
        <v xml:space="preserve"> </v>
      </c>
      <c r="U56" s="129" t="str">
        <f>IF(VLOOKUP(S56,Postupy!$A$3:$BP$6,68,0)=0,"",VLOOKUP(S56,Postupy!$A$3:$BP$6,68,0))</f>
        <v/>
      </c>
      <c r="V56" s="163"/>
      <c r="W56" s="37">
        <v>3</v>
      </c>
      <c r="X56" s="98" t="str">
        <f>IF(AND(U56="",U57="")," ",IF(N(U56)=N(U57)," ",IF(N(U56)=N(U57)," ",IF(N(U56)&gt;N(U57),T56,T57))))</f>
        <v xml:space="preserve"> </v>
      </c>
      <c r="Y56" s="97">
        <v>3</v>
      </c>
      <c r="Z56" s="16"/>
      <c r="AA56" s="16"/>
      <c r="AB56" s="16"/>
      <c r="AC56" s="16"/>
      <c r="AD56" s="16"/>
      <c r="AE56" s="16"/>
      <c r="AF56" s="16"/>
      <c r="AG56" s="16"/>
    </row>
    <row r="57" spans="1:33" ht="18.899999999999999" thickTop="1" thickBot="1" x14ac:dyDescent="0.5">
      <c r="A57" s="86">
        <f ca="1">VLOOKUP(C57,Postupy!$A$3:$C$34,3,0)</f>
        <v>12</v>
      </c>
      <c r="B57" s="147"/>
      <c r="C57" s="80">
        <v>10</v>
      </c>
      <c r="D57" s="253" t="str">
        <f ca="1">VLOOKUP(C57,Postupy!$A$3:$BG$34,59,0)</f>
        <v>12 PC Mimo Done - Heller Jan</v>
      </c>
      <c r="E57" s="129" t="str">
        <f>IF(VLOOKUP(C57,Postupy!$A$3:$BH$34,60,0)=0,"",VLOOKUP(C57,Postupy!$A$3:$BH$34,60,0))</f>
        <v/>
      </c>
      <c r="F57" s="150"/>
      <c r="G57" s="149"/>
      <c r="H57" s="166"/>
      <c r="I57" s="149"/>
      <c r="J57" s="158"/>
      <c r="K57" s="152"/>
      <c r="L57" s="296" t="s">
        <v>1680</v>
      </c>
      <c r="M57" s="297" t="str">
        <f ca="1">IF(OR(TRIM(L58)="-",TRIM(L59)="-"),"",VLOOKUP(MIN(K58,K59),Hřiště!$B$11:$E$42,4,0))</f>
        <v/>
      </c>
      <c r="N57" s="181"/>
      <c r="O57" s="40"/>
      <c r="P57" s="154"/>
      <c r="Q57" s="40"/>
      <c r="R57" s="149"/>
      <c r="S57" s="80">
        <v>3</v>
      </c>
      <c r="T57" s="81" t="str">
        <f ca="1">IF(OR(TRIM(P50)="-",TRIM(P51)="-"), IF(TRIM(P50)="-",P51,P50),IF(AND(Q50="",Q51="")," ",IF(N(Q51)=N(Q50)," ",IF(N(Q51)&gt;N(Q50),P50,P51))))</f>
        <v xml:space="preserve"> </v>
      </c>
      <c r="U57" s="129" t="str">
        <f>IF(VLOOKUP(S57,Postupy!$A$3:$BP$6,68,0)=0,"",VLOOKUP(S57,Postupy!$A$3:$BP$6,68,0))</f>
        <v/>
      </c>
      <c r="V57" s="151"/>
      <c r="W57" s="37">
        <v>4</v>
      </c>
      <c r="X57" s="98" t="str">
        <f>IF(AND(U56="",U57="")," ",IF(N(U57)&gt;N(U56),T56,T57))</f>
        <v xml:space="preserve"> </v>
      </c>
      <c r="Y57" s="97">
        <v>4</v>
      </c>
      <c r="Z57" s="16"/>
      <c r="AA57" s="16"/>
      <c r="AB57" s="16"/>
      <c r="AC57" s="16"/>
      <c r="AD57" s="16"/>
      <c r="AE57" s="16"/>
      <c r="AF57" s="16"/>
      <c r="AG57" s="16"/>
    </row>
    <row r="58" spans="1:33" ht="18" thickBot="1" x14ac:dyDescent="0.45">
      <c r="A58" s="76"/>
      <c r="B58" s="155"/>
      <c r="C58" s="155">
        <f>C56+C57</f>
        <v>33</v>
      </c>
      <c r="D58" s="156"/>
      <c r="E58" s="22"/>
      <c r="F58" s="164">
        <f>C54+C58</f>
        <v>66</v>
      </c>
      <c r="G58" s="149"/>
      <c r="H58" s="169"/>
      <c r="I58" s="149"/>
      <c r="J58" s="149"/>
      <c r="K58" s="78">
        <v>7</v>
      </c>
      <c r="L58" s="79" t="str">
        <f ca="1">IF(OR(TRIM(H54)="-",TRIM(H55)="-"), IF(TRIM(H54)="-",H55,H54),IF(AND(I54="",I55="")," ",IF(N(I54)=N(I55)," ",IF(N(I54)&gt;N(I55),H54,H55))))</f>
        <v xml:space="preserve"> </v>
      </c>
      <c r="M58" s="129" t="str">
        <f>IF(VLOOKUP(K58,Postupy!$A$3:$BL$10,64,0)=0,"",VLOOKUP(K58,Postupy!$A$3:$BL$10,64,0))</f>
        <v/>
      </c>
      <c r="N58" s="163"/>
      <c r="O58" s="149"/>
      <c r="P58" s="154"/>
      <c r="Q58" s="149"/>
      <c r="R58" s="149"/>
      <c r="S58" s="149"/>
      <c r="T58" s="40"/>
      <c r="U58" s="40"/>
      <c r="V58" s="40"/>
      <c r="W58" s="149"/>
      <c r="X58" s="16"/>
      <c r="Y58" s="16"/>
      <c r="Z58" s="16"/>
      <c r="AA58" s="16"/>
      <c r="AB58" s="16"/>
      <c r="AC58" s="16"/>
      <c r="AD58" s="16"/>
      <c r="AE58" s="16"/>
      <c r="AF58" s="16"/>
      <c r="AG58" s="16"/>
    </row>
    <row r="59" spans="1:33" ht="18.899999999999999" thickTop="1" thickBot="1" x14ac:dyDescent="0.5">
      <c r="A59" s="75"/>
      <c r="B59" s="159"/>
      <c r="C59" s="160"/>
      <c r="D59" s="296" t="s">
        <v>1680</v>
      </c>
      <c r="E59" s="297" t="str">
        <f ca="1">IF(OR(TRIM(D60)="-",TRIM(D61)="-"),"",VLOOKUP(MIN(C60,C61),Hřiště!$B$11:$E$42,4,0))</f>
        <v/>
      </c>
      <c r="F59" s="149"/>
      <c r="G59" s="149"/>
      <c r="H59" s="169"/>
      <c r="I59" s="149"/>
      <c r="J59" s="149"/>
      <c r="K59" s="80">
        <v>2</v>
      </c>
      <c r="L59" s="81" t="str">
        <f ca="1">IF(OR(TRIM(H62)="-",TRIM(H63)="-"), IF(TRIM(H62)="-",H63,H62),IF(AND(I62="",I63="")," ",IF(N(I62)=N(I63)," ",IF(N(I62)&gt;N(I63),H62,H63))))</f>
        <v xml:space="preserve"> </v>
      </c>
      <c r="M59" s="129" t="str">
        <f>IF(VLOOKUP(K59,Postupy!$A$3:$BL$10,64,0)=0,"",VLOOKUP(K59,Postupy!$A$3:$BL$10,64,0))</f>
        <v/>
      </c>
      <c r="N59" s="150"/>
      <c r="O59" s="149"/>
      <c r="P59" s="154"/>
      <c r="Q59" s="149"/>
      <c r="R59" s="149"/>
      <c r="S59" s="149"/>
      <c r="T59" s="149"/>
      <c r="U59" s="149"/>
      <c r="V59" s="149"/>
      <c r="W59" s="158"/>
      <c r="X59" s="16"/>
      <c r="Y59" s="16"/>
      <c r="Z59" s="16"/>
      <c r="AA59" s="16"/>
      <c r="AB59" s="16"/>
      <c r="AC59" s="16"/>
      <c r="AD59" s="16"/>
      <c r="AE59" s="16"/>
      <c r="AF59" s="16"/>
      <c r="AG59" s="16"/>
    </row>
    <row r="60" spans="1:33" ht="18.45" thickTop="1" thickBot="1" x14ac:dyDescent="0.45">
      <c r="A60" s="86">
        <f ca="1">VLOOKUP(C60,Postupy!$A$3:$C$34,3,0)</f>
        <v>44</v>
      </c>
      <c r="B60" s="147"/>
      <c r="C60" s="78">
        <v>15</v>
      </c>
      <c r="D60" s="253" t="str">
        <f ca="1">VLOOKUP(C60,Postupy!$A$3:$BG$34,59,0)</f>
        <v xml:space="preserve">44   - michael dánsko  </v>
      </c>
      <c r="E60" s="129" t="str">
        <f>IF(VLOOKUP(C60,Postupy!$A$3:$BH$34,60,0)=0,"",VLOOKUP(C60,Postupy!$A$3:$BH$34,60,0))</f>
        <v/>
      </c>
      <c r="F60" s="152"/>
      <c r="G60" s="149"/>
      <c r="H60" s="166"/>
      <c r="I60" s="158"/>
      <c r="J60" s="158"/>
      <c r="K60" s="170"/>
      <c r="L60" s="183"/>
      <c r="M60" s="29"/>
      <c r="N60" s="149"/>
      <c r="O60" s="149"/>
      <c r="P60" s="149"/>
      <c r="Q60" s="149"/>
      <c r="R60" s="149"/>
      <c r="S60" s="149"/>
      <c r="T60" s="149"/>
      <c r="U60" s="149"/>
      <c r="V60" s="149"/>
      <c r="W60" s="158"/>
      <c r="X60" s="16"/>
      <c r="Y60" s="16"/>
      <c r="Z60" s="16"/>
      <c r="AA60" s="16"/>
      <c r="AB60" s="16"/>
      <c r="AC60" s="16"/>
      <c r="AD60" s="16"/>
      <c r="AE60" s="16"/>
      <c r="AF60" s="16"/>
      <c r="AG60" s="16"/>
    </row>
    <row r="61" spans="1:33" ht="18.899999999999999" thickTop="1" thickBot="1" x14ac:dyDescent="0.5">
      <c r="A61" s="86" t="str">
        <f ca="1">VLOOKUP(C61,Postupy!$A$3:$C$34,3,0)</f>
        <v/>
      </c>
      <c r="B61" s="147"/>
      <c r="C61" s="80">
        <v>18</v>
      </c>
      <c r="D61" s="253" t="str">
        <f ca="1">VLOOKUP(C61,Postupy!$A$3:$BG$34,59,0)</f>
        <v xml:space="preserve"> - </v>
      </c>
      <c r="E61" s="129" t="str">
        <f>IF(VLOOKUP(C61,Postupy!$A$3:$BH$34,60,0)=0,"",VLOOKUP(C61,Postupy!$A$3:$BH$34,60,0))</f>
        <v/>
      </c>
      <c r="F61" s="172" t="s">
        <v>1681</v>
      </c>
      <c r="G61" s="152"/>
      <c r="H61" s="296" t="s">
        <v>1680</v>
      </c>
      <c r="I61" s="297" t="str">
        <f ca="1">IF(OR(TRIM(H62)="-",TRIM(H63)="-"),"",VLOOKUP(MIN(G62,G63),Hřiště!$B$11:$E$42,4,0))</f>
        <v/>
      </c>
      <c r="J61" s="158"/>
      <c r="K61" s="161"/>
      <c r="L61" s="154"/>
      <c r="M61" s="40"/>
      <c r="N61" s="149"/>
      <c r="O61" s="149"/>
      <c r="P61" s="149"/>
      <c r="Q61" s="149"/>
      <c r="R61" s="149"/>
      <c r="S61" s="149"/>
      <c r="T61" s="149"/>
      <c r="U61" s="149"/>
      <c r="V61" s="149"/>
      <c r="W61" s="158"/>
      <c r="X61" s="16"/>
      <c r="Y61" s="16"/>
      <c r="Z61" s="16"/>
      <c r="AA61" s="16"/>
      <c r="AB61" s="16"/>
      <c r="AC61" s="16"/>
      <c r="AD61" s="16"/>
      <c r="AE61" s="16"/>
      <c r="AF61" s="16"/>
      <c r="AG61" s="16"/>
    </row>
    <row r="62" spans="1:33" ht="18" thickBot="1" x14ac:dyDescent="0.45">
      <c r="A62" s="76"/>
      <c r="B62" s="155"/>
      <c r="C62" s="155">
        <f>C60+C61</f>
        <v>33</v>
      </c>
      <c r="D62" s="156"/>
      <c r="E62" s="22"/>
      <c r="F62" s="22"/>
      <c r="G62" s="78">
        <v>15</v>
      </c>
      <c r="H62" s="79" t="str">
        <f ca="1">IF(OR(TRIM(D60)="-",TRIM(D61)="-"), IF(TRIM(D60)="-",D61,D60),IF(AND(E60="",E61="")," ",IF(N(E60)=N(E61)," ",IF(N(E60)&gt;N(E61),D60,D61))))</f>
        <v xml:space="preserve">44   - michael dánsko  </v>
      </c>
      <c r="I62" s="129" t="str">
        <f>IF(VLOOKUP(G62,Postupy!$A$3:$BJ$18,62,0)=0,"",VLOOKUP(G62,Postupy!$A$3:$BJ$18,62,0))</f>
        <v/>
      </c>
      <c r="J62" s="163"/>
      <c r="K62" s="161"/>
      <c r="L62" s="154"/>
      <c r="M62" s="40"/>
      <c r="N62" s="149"/>
      <c r="O62" s="149"/>
      <c r="P62" s="149"/>
      <c r="Q62" s="149"/>
      <c r="R62" s="149"/>
      <c r="S62" s="149"/>
      <c r="T62" s="149"/>
      <c r="U62" s="149"/>
      <c r="V62" s="149"/>
      <c r="W62" s="158"/>
      <c r="X62" s="16"/>
      <c r="Y62" s="16"/>
      <c r="Z62" s="16"/>
      <c r="AA62" s="16"/>
      <c r="AB62" s="16"/>
      <c r="AC62" s="16"/>
      <c r="AD62" s="16"/>
      <c r="AE62" s="16"/>
      <c r="AF62" s="16"/>
      <c r="AG62" s="16"/>
    </row>
    <row r="63" spans="1:33" ht="18.899999999999999" thickTop="1" thickBot="1" x14ac:dyDescent="0.5">
      <c r="A63" s="75"/>
      <c r="B63" s="159"/>
      <c r="C63" s="160"/>
      <c r="D63" s="296" t="s">
        <v>1680</v>
      </c>
      <c r="E63" s="297" t="str">
        <f ca="1">IF(OR(TRIM(D64)="-",TRIM(D65)="-"),"",VLOOKUP(MIN(C64,C65),Hřiště!$B$11:$E$42,4,0))</f>
        <v/>
      </c>
      <c r="F63" s="168"/>
      <c r="G63" s="80">
        <v>2</v>
      </c>
      <c r="H63" s="81" t="str">
        <f ca="1">IF(OR(TRIM(D64)="-",TRIM(D65)="-"), IF(TRIM(D64)="-",D65,D64),IF(AND(E64="",E65="")," ",IF(N(E64)=N(E65)," ",IF(N(E64)&gt;N(E65),D64,D65))))</f>
        <v>1 PC Sokol Lipník - Vavrovič ml. Petr</v>
      </c>
      <c r="I63" s="129" t="str">
        <f>IF(VLOOKUP(G63,Postupy!$A$3:$BJ$18,62,0)=0,"",VLOOKUP(G63,Postupy!$A$3:$BJ$18,62,0))</f>
        <v/>
      </c>
      <c r="J63" s="150"/>
      <c r="K63" s="149"/>
      <c r="L63" s="154"/>
      <c r="M63" s="149"/>
      <c r="N63" s="149"/>
      <c r="O63" s="149"/>
      <c r="P63" s="149"/>
      <c r="Q63" s="149"/>
      <c r="R63" s="149"/>
      <c r="S63" s="149"/>
      <c r="T63" s="149"/>
      <c r="U63" s="149"/>
      <c r="V63" s="149"/>
      <c r="W63" s="158"/>
      <c r="X63" s="16"/>
      <c r="Y63" s="16"/>
      <c r="Z63" s="16"/>
      <c r="AA63" s="16"/>
      <c r="AB63" s="16"/>
      <c r="AC63" s="16"/>
      <c r="AD63" s="16"/>
      <c r="AE63" s="16"/>
      <c r="AF63" s="16"/>
      <c r="AG63" s="16"/>
    </row>
    <row r="64" spans="1:33" ht="18.45" thickTop="1" thickBot="1" x14ac:dyDescent="0.45">
      <c r="A64" s="86" t="str">
        <f ca="1">VLOOKUP(C64,Postupy!$A$3:$C$34,3,0)</f>
        <v/>
      </c>
      <c r="B64" s="147"/>
      <c r="C64" s="78">
        <v>31</v>
      </c>
      <c r="D64" s="253" t="str">
        <f ca="1">VLOOKUP(C64,Postupy!$A$3:$BG$34,59,0)</f>
        <v xml:space="preserve"> - </v>
      </c>
      <c r="E64" s="129" t="str">
        <f>IF(VLOOKUP(C64,Postupy!$A$3:$BH$34,60,0)=0,"",VLOOKUP(C64,Postupy!$A$3:$BH$34,60,0))</f>
        <v/>
      </c>
      <c r="F64" s="173"/>
      <c r="G64" s="170"/>
      <c r="H64" s="184"/>
      <c r="I64" s="29"/>
      <c r="J64" s="149"/>
      <c r="K64" s="149"/>
      <c r="L64" s="185"/>
      <c r="M64" s="149"/>
      <c r="N64" s="149"/>
      <c r="O64" s="149"/>
      <c r="P64" s="149"/>
      <c r="Q64" s="149"/>
      <c r="R64" s="149"/>
      <c r="S64" s="149"/>
      <c r="T64" s="149"/>
      <c r="U64" s="149"/>
      <c r="V64" s="149"/>
      <c r="W64" s="158"/>
      <c r="X64" s="16"/>
      <c r="Y64" s="16"/>
      <c r="Z64" s="16"/>
      <c r="AA64" s="16"/>
      <c r="AB64" s="16"/>
      <c r="AC64" s="16"/>
      <c r="AD64" s="16"/>
      <c r="AE64" s="16"/>
      <c r="AF64" s="16"/>
      <c r="AG64" s="16"/>
    </row>
    <row r="65" spans="1:33" ht="18.45" thickTop="1" thickBot="1" x14ac:dyDescent="0.45">
      <c r="A65" s="86">
        <f ca="1">VLOOKUP(C65,Postupy!$A$3:$C$34,3,0)</f>
        <v>1</v>
      </c>
      <c r="B65" s="147"/>
      <c r="C65" s="80">
        <v>2</v>
      </c>
      <c r="D65" s="253" t="str">
        <f ca="1">VLOOKUP(C65,Postupy!$A$3:$BG$34,59,0)</f>
        <v>1 PC Sokol Lipník - Vavrovič ml. Petr</v>
      </c>
      <c r="E65" s="129" t="str">
        <f>IF(VLOOKUP(C65,Postupy!$A$3:$BH$34,60,0)=0,"",VLOOKUP(C65,Postupy!$A$3:$BH$34,60,0))</f>
        <v/>
      </c>
      <c r="F65" s="174"/>
      <c r="G65" s="149"/>
      <c r="H65" s="158"/>
      <c r="I65" s="149"/>
      <c r="J65" s="149"/>
      <c r="K65" s="149"/>
      <c r="L65" s="186"/>
      <c r="M65" s="149"/>
      <c r="N65" s="149"/>
      <c r="O65" s="149"/>
      <c r="P65" s="149"/>
      <c r="Q65" s="149"/>
      <c r="R65" s="149"/>
      <c r="S65" s="149"/>
      <c r="T65" s="149"/>
      <c r="U65" s="149"/>
      <c r="V65" s="149"/>
      <c r="W65" s="158"/>
      <c r="X65" s="16"/>
      <c r="Y65" s="16"/>
      <c r="Z65" s="16"/>
      <c r="AA65" s="16"/>
      <c r="AB65" s="16"/>
      <c r="AC65" s="16"/>
      <c r="AD65" s="16"/>
      <c r="AE65" s="16"/>
      <c r="AF65" s="16"/>
      <c r="AG65" s="16"/>
    </row>
    <row r="66" spans="1:33" ht="12.45" x14ac:dyDescent="0.4">
      <c r="A66" s="76"/>
      <c r="B66" s="21"/>
      <c r="C66" s="155">
        <f>C64+C65</f>
        <v>33</v>
      </c>
      <c r="D66" s="156"/>
      <c r="E66" s="22"/>
      <c r="F66" s="164">
        <f>C62+C66</f>
        <v>66</v>
      </c>
      <c r="G66" s="149"/>
      <c r="H66" s="149"/>
      <c r="I66" s="149"/>
      <c r="J66" s="149"/>
      <c r="K66" s="149"/>
      <c r="L66" s="149"/>
      <c r="M66" s="149"/>
      <c r="N66" s="149"/>
      <c r="O66" s="149"/>
      <c r="P66" s="149"/>
      <c r="Q66" s="149"/>
      <c r="R66" s="149"/>
      <c r="S66" s="149"/>
      <c r="T66" s="149"/>
      <c r="U66" s="149"/>
      <c r="V66" s="149"/>
      <c r="W66" s="158"/>
      <c r="X66" s="16"/>
      <c r="Y66" s="16"/>
      <c r="Z66" s="16"/>
      <c r="AA66" s="16"/>
      <c r="AB66" s="16"/>
      <c r="AC66" s="16"/>
      <c r="AD66" s="16"/>
      <c r="AE66" s="16"/>
      <c r="AF66" s="16"/>
      <c r="AG66" s="16"/>
    </row>
    <row r="67" spans="1:33" ht="17.600000000000001" x14ac:dyDescent="0.4">
      <c r="A67" s="75"/>
      <c r="B67" s="21"/>
      <c r="C67" s="160"/>
      <c r="D67" s="156"/>
      <c r="E67" s="24"/>
      <c r="F67" s="164"/>
      <c r="G67" s="22"/>
      <c r="H67" s="149"/>
      <c r="I67" s="22"/>
      <c r="J67" s="149"/>
      <c r="K67" s="149"/>
      <c r="L67" s="149"/>
      <c r="M67" s="149"/>
      <c r="N67" s="149"/>
      <c r="O67" s="149"/>
      <c r="P67" s="149"/>
      <c r="Q67" s="149"/>
      <c r="R67" s="149"/>
      <c r="S67" s="149"/>
      <c r="T67" s="149"/>
      <c r="U67" s="149"/>
      <c r="V67" s="149"/>
      <c r="W67" s="158"/>
      <c r="X67" s="16"/>
      <c r="Y67" s="16"/>
      <c r="Z67" s="16"/>
      <c r="AA67" s="16"/>
      <c r="AB67" s="16"/>
      <c r="AC67" s="16"/>
      <c r="AD67" s="16"/>
      <c r="AE67" s="16"/>
      <c r="AF67" s="16"/>
      <c r="AG67" s="16"/>
    </row>
    <row r="68" spans="1:33" x14ac:dyDescent="0.4">
      <c r="A68" s="16"/>
      <c r="B68" s="164"/>
      <c r="C68" s="21"/>
      <c r="D68" s="22"/>
      <c r="E68" s="22"/>
      <c r="F68" s="164"/>
      <c r="G68" s="149"/>
      <c r="H68" s="158"/>
      <c r="I68" s="149"/>
      <c r="J68" s="149"/>
      <c r="K68" s="149"/>
      <c r="L68" s="149"/>
      <c r="M68" s="149"/>
      <c r="N68" s="149"/>
      <c r="O68" s="149"/>
      <c r="P68" s="149"/>
      <c r="Q68" s="149"/>
      <c r="R68" s="149"/>
      <c r="S68" s="149"/>
      <c r="T68" s="149"/>
      <c r="U68" s="149"/>
      <c r="V68" s="149"/>
      <c r="W68" s="158"/>
      <c r="X68" s="16"/>
      <c r="Y68" s="16"/>
      <c r="Z68" s="16"/>
      <c r="AA68" s="16"/>
      <c r="AB68" s="16"/>
      <c r="AC68" s="16"/>
      <c r="AD68" s="16"/>
      <c r="AE68" s="16"/>
      <c r="AF68" s="16"/>
      <c r="AG68" s="16"/>
    </row>
    <row r="69" spans="1:33" x14ac:dyDescent="0.4">
      <c r="A69" s="16"/>
      <c r="B69" s="164"/>
      <c r="C69" s="21"/>
      <c r="D69" s="22"/>
      <c r="E69" s="22"/>
      <c r="F69" s="164"/>
      <c r="G69" s="149"/>
      <c r="H69" s="158"/>
      <c r="I69" s="149"/>
      <c r="J69" s="149"/>
      <c r="K69" s="149"/>
      <c r="L69" s="149"/>
      <c r="M69" s="149"/>
      <c r="N69" s="149"/>
      <c r="O69" s="149"/>
      <c r="P69" s="149"/>
      <c r="Q69" s="149"/>
      <c r="R69" s="149"/>
      <c r="S69" s="149"/>
      <c r="T69" s="149"/>
      <c r="U69" s="149"/>
      <c r="V69" s="149"/>
      <c r="W69" s="158"/>
      <c r="X69" s="16"/>
      <c r="Y69" s="16"/>
      <c r="Z69" s="16"/>
      <c r="AA69" s="16"/>
      <c r="AB69" s="16"/>
      <c r="AC69" s="16"/>
      <c r="AD69" s="16"/>
      <c r="AE69" s="16"/>
      <c r="AF69" s="16"/>
      <c r="AG69" s="16"/>
    </row>
    <row r="70" spans="1:33" x14ac:dyDescent="0.4">
      <c r="A70" s="16"/>
      <c r="B70" s="164"/>
      <c r="C70" s="21"/>
      <c r="D70" s="22"/>
      <c r="E70" s="22"/>
      <c r="F70" s="164"/>
      <c r="G70" s="149"/>
      <c r="H70" s="158"/>
      <c r="I70" s="149"/>
      <c r="J70" s="149"/>
      <c r="K70" s="149"/>
      <c r="L70" s="149"/>
      <c r="M70" s="149"/>
      <c r="N70" s="149"/>
      <c r="O70" s="149"/>
      <c r="P70" s="149"/>
      <c r="Q70" s="149"/>
      <c r="R70" s="149"/>
      <c r="S70" s="149"/>
      <c r="T70" s="149"/>
      <c r="U70" s="149"/>
      <c r="V70" s="149"/>
      <c r="W70" s="158"/>
      <c r="X70" s="16"/>
      <c r="Y70" s="16"/>
      <c r="Z70" s="16"/>
      <c r="AA70" s="16"/>
      <c r="AB70" s="16"/>
      <c r="AC70" s="16"/>
      <c r="AD70" s="16"/>
      <c r="AE70" s="16"/>
      <c r="AF70" s="16"/>
      <c r="AG70" s="16"/>
    </row>
    <row r="71" spans="1:33" x14ac:dyDescent="0.4">
      <c r="A71" s="16"/>
      <c r="B71" s="164"/>
      <c r="C71" s="21"/>
      <c r="D71" s="22"/>
      <c r="E71" s="22"/>
      <c r="F71" s="164"/>
      <c r="G71" s="149"/>
      <c r="H71" s="158"/>
      <c r="I71" s="149"/>
      <c r="J71" s="149"/>
      <c r="K71" s="149"/>
      <c r="L71" s="149"/>
      <c r="M71" s="149"/>
      <c r="N71" s="149"/>
      <c r="O71" s="149"/>
      <c r="P71" s="149"/>
      <c r="Q71" s="149"/>
      <c r="R71" s="149"/>
      <c r="S71" s="149"/>
      <c r="T71" s="149"/>
      <c r="U71" s="149"/>
      <c r="V71" s="149"/>
      <c r="W71" s="158"/>
      <c r="X71" s="16"/>
      <c r="Y71" s="16"/>
      <c r="Z71" s="16"/>
      <c r="AA71" s="16"/>
      <c r="AB71" s="16"/>
      <c r="AC71" s="16"/>
      <c r="AD71" s="16"/>
      <c r="AE71" s="16"/>
      <c r="AF71" s="16"/>
      <c r="AG71" s="16"/>
    </row>
    <row r="72" spans="1:33" x14ac:dyDescent="0.4">
      <c r="A72" s="16"/>
      <c r="B72" s="164"/>
      <c r="C72" s="21"/>
      <c r="D72" s="22"/>
      <c r="E72" s="22"/>
      <c r="F72" s="164"/>
      <c r="G72" s="149"/>
      <c r="H72" s="158"/>
      <c r="I72" s="149"/>
      <c r="J72" s="149"/>
      <c r="K72" s="149"/>
      <c r="L72" s="149"/>
      <c r="M72" s="149"/>
      <c r="N72" s="149"/>
      <c r="O72" s="149"/>
      <c r="P72" s="149"/>
      <c r="Q72" s="149"/>
      <c r="R72" s="149"/>
      <c r="S72" s="149"/>
      <c r="T72" s="149"/>
      <c r="U72" s="149"/>
      <c r="V72" s="149"/>
      <c r="W72" s="158"/>
      <c r="X72" s="16"/>
      <c r="Y72" s="16"/>
      <c r="Z72" s="16"/>
      <c r="AA72" s="16"/>
      <c r="AB72" s="16"/>
      <c r="AC72" s="16"/>
      <c r="AD72" s="16"/>
      <c r="AE72" s="16"/>
      <c r="AF72" s="16"/>
      <c r="AG72" s="16"/>
    </row>
    <row r="73" spans="1:33" x14ac:dyDescent="0.4">
      <c r="A73" s="16"/>
      <c r="B73" s="164"/>
      <c r="C73" s="21"/>
      <c r="D73" s="22"/>
      <c r="E73" s="22"/>
      <c r="F73" s="164"/>
      <c r="G73" s="149"/>
      <c r="H73" s="158"/>
      <c r="I73" s="149"/>
      <c r="J73" s="149"/>
      <c r="K73" s="149"/>
      <c r="L73" s="149"/>
      <c r="M73" s="149"/>
      <c r="N73" s="149"/>
      <c r="O73" s="149"/>
      <c r="P73" s="149"/>
      <c r="Q73" s="149"/>
      <c r="R73" s="149"/>
      <c r="S73" s="149"/>
      <c r="T73" s="149"/>
      <c r="U73" s="149"/>
      <c r="V73" s="149"/>
      <c r="W73" s="158"/>
      <c r="X73" s="16"/>
      <c r="Y73" s="16"/>
      <c r="Z73" s="16"/>
      <c r="AA73" s="16"/>
      <c r="AB73" s="16"/>
      <c r="AC73" s="16"/>
      <c r="AD73" s="16"/>
      <c r="AE73" s="16"/>
      <c r="AF73" s="16"/>
      <c r="AG73" s="16"/>
    </row>
    <row r="74" spans="1:33" x14ac:dyDescent="0.4">
      <c r="A74" s="16"/>
      <c r="B74" s="164"/>
      <c r="C74" s="21"/>
      <c r="D74" s="22"/>
      <c r="E74" s="22"/>
      <c r="F74" s="164"/>
      <c r="G74" s="149"/>
      <c r="H74" s="158"/>
      <c r="I74" s="149"/>
      <c r="J74" s="149"/>
      <c r="K74" s="149"/>
      <c r="L74" s="149"/>
      <c r="M74" s="149"/>
      <c r="N74" s="149"/>
      <c r="O74" s="149"/>
      <c r="P74" s="149"/>
      <c r="Q74" s="149"/>
      <c r="R74" s="149"/>
      <c r="S74" s="149"/>
      <c r="T74" s="149"/>
      <c r="U74" s="149"/>
      <c r="V74" s="149"/>
      <c r="W74" s="158"/>
      <c r="X74" s="16"/>
      <c r="Y74" s="16"/>
      <c r="Z74" s="16"/>
      <c r="AA74" s="16"/>
      <c r="AB74" s="16"/>
      <c r="AC74" s="16"/>
      <c r="AD74" s="16"/>
      <c r="AE74" s="16"/>
      <c r="AF74" s="16"/>
      <c r="AG74" s="16"/>
    </row>
    <row r="75" spans="1:33" x14ac:dyDescent="0.4">
      <c r="A75" s="16"/>
      <c r="B75" s="164"/>
      <c r="C75" s="21"/>
      <c r="D75" s="22"/>
      <c r="E75" s="22"/>
      <c r="F75" s="164"/>
      <c r="G75" s="149"/>
      <c r="H75" s="158"/>
      <c r="I75" s="149"/>
      <c r="J75" s="149"/>
      <c r="K75" s="149"/>
      <c r="L75" s="149"/>
      <c r="M75" s="149"/>
      <c r="N75" s="149"/>
      <c r="O75" s="149"/>
      <c r="P75" s="149"/>
      <c r="Q75" s="149"/>
      <c r="R75" s="149"/>
      <c r="S75" s="149"/>
      <c r="T75" s="149"/>
      <c r="U75" s="149"/>
      <c r="V75" s="149"/>
      <c r="W75" s="158"/>
      <c r="X75" s="16"/>
      <c r="Y75" s="16"/>
      <c r="Z75" s="16"/>
      <c r="AA75" s="16"/>
      <c r="AB75" s="16"/>
      <c r="AC75" s="16"/>
      <c r="AD75" s="16"/>
      <c r="AE75" s="16"/>
      <c r="AF75" s="16"/>
      <c r="AG75" s="16"/>
    </row>
    <row r="76" spans="1:33" x14ac:dyDescent="0.4">
      <c r="A76" s="16"/>
      <c r="B76" s="164"/>
      <c r="C76" s="21"/>
      <c r="D76" s="22"/>
      <c r="E76" s="22"/>
      <c r="F76" s="164"/>
      <c r="G76" s="149"/>
      <c r="H76" s="158"/>
      <c r="I76" s="149"/>
      <c r="J76" s="149"/>
      <c r="K76" s="149"/>
      <c r="L76" s="149"/>
      <c r="M76" s="149"/>
      <c r="N76" s="149"/>
      <c r="O76" s="149"/>
      <c r="P76" s="149"/>
      <c r="Q76" s="149"/>
      <c r="R76" s="149"/>
      <c r="S76" s="149"/>
      <c r="T76" s="149"/>
      <c r="U76" s="149"/>
      <c r="V76" s="149"/>
      <c r="W76" s="158"/>
      <c r="X76" s="16"/>
      <c r="Y76" s="16"/>
      <c r="Z76" s="16"/>
      <c r="AA76" s="16"/>
      <c r="AB76" s="16"/>
      <c r="AC76" s="16"/>
      <c r="AD76" s="16"/>
      <c r="AE76" s="16"/>
      <c r="AF76" s="16"/>
      <c r="AG76" s="16"/>
    </row>
    <row r="77" spans="1:33" x14ac:dyDescent="0.4">
      <c r="A77" s="16"/>
      <c r="B77" s="164"/>
      <c r="C77" s="21"/>
      <c r="D77" s="22"/>
      <c r="E77" s="22"/>
      <c r="F77" s="164"/>
      <c r="G77" s="149"/>
      <c r="H77" s="158"/>
      <c r="I77" s="149"/>
      <c r="J77" s="149"/>
      <c r="K77" s="149"/>
      <c r="L77" s="149"/>
      <c r="M77" s="149"/>
      <c r="N77" s="149"/>
      <c r="O77" s="149"/>
      <c r="P77" s="149"/>
      <c r="Q77" s="149"/>
      <c r="R77" s="149"/>
      <c r="S77" s="149"/>
      <c r="T77" s="149"/>
      <c r="U77" s="149"/>
      <c r="V77" s="149"/>
      <c r="W77" s="158"/>
      <c r="X77" s="16"/>
      <c r="Y77" s="16"/>
      <c r="Z77" s="16"/>
      <c r="AA77" s="16"/>
      <c r="AB77" s="16"/>
      <c r="AC77" s="16"/>
      <c r="AD77" s="16"/>
      <c r="AE77" s="16"/>
      <c r="AF77" s="16"/>
      <c r="AG77" s="16"/>
    </row>
    <row r="78" spans="1:33" x14ac:dyDescent="0.4">
      <c r="A78" s="16"/>
      <c r="B78" s="164"/>
      <c r="C78" s="21"/>
      <c r="D78" s="22"/>
      <c r="E78" s="22"/>
      <c r="F78" s="164"/>
      <c r="G78" s="149"/>
      <c r="H78" s="158"/>
      <c r="I78" s="149"/>
      <c r="J78" s="149"/>
      <c r="K78" s="149"/>
      <c r="L78" s="149"/>
      <c r="M78" s="149"/>
      <c r="N78" s="149"/>
      <c r="O78" s="149"/>
      <c r="P78" s="149"/>
      <c r="Q78" s="149"/>
      <c r="R78" s="149"/>
      <c r="S78" s="149"/>
      <c r="T78" s="149"/>
      <c r="U78" s="149"/>
      <c r="V78" s="149"/>
      <c r="W78" s="158"/>
      <c r="X78" s="16"/>
      <c r="Y78" s="16"/>
      <c r="Z78" s="16"/>
      <c r="AA78" s="16"/>
      <c r="AB78" s="16"/>
      <c r="AC78" s="16"/>
      <c r="AD78" s="16"/>
      <c r="AE78" s="16"/>
      <c r="AF78" s="16"/>
      <c r="AG78" s="16"/>
    </row>
    <row r="79" spans="1:33" x14ac:dyDescent="0.4">
      <c r="A79" s="16"/>
      <c r="B79" s="164"/>
      <c r="C79" s="21"/>
      <c r="D79" s="22"/>
      <c r="E79" s="22"/>
      <c r="F79" s="164"/>
      <c r="G79" s="149"/>
      <c r="H79" s="158"/>
      <c r="I79" s="149"/>
      <c r="J79" s="149"/>
      <c r="K79" s="149"/>
      <c r="L79" s="149"/>
      <c r="M79" s="149"/>
      <c r="N79" s="149"/>
      <c r="O79" s="149"/>
      <c r="P79" s="149"/>
      <c r="Q79" s="149"/>
      <c r="R79" s="149"/>
      <c r="S79" s="149"/>
      <c r="T79" s="149"/>
      <c r="U79" s="149"/>
      <c r="V79" s="149"/>
      <c r="W79" s="158"/>
      <c r="X79" s="16"/>
      <c r="Y79" s="16"/>
      <c r="Z79" s="16"/>
      <c r="AA79" s="16"/>
      <c r="AB79" s="16"/>
      <c r="AC79" s="16"/>
      <c r="AD79" s="16"/>
      <c r="AE79" s="16"/>
      <c r="AF79" s="16"/>
      <c r="AG79" s="16"/>
    </row>
    <row r="80" spans="1:33" x14ac:dyDescent="0.4">
      <c r="A80" s="16"/>
      <c r="B80" s="164"/>
      <c r="C80" s="21"/>
      <c r="D80" s="22"/>
      <c r="E80" s="22"/>
      <c r="F80" s="164"/>
      <c r="G80" s="149"/>
      <c r="H80" s="158"/>
      <c r="I80" s="149"/>
      <c r="J80" s="149"/>
      <c r="K80" s="149"/>
      <c r="L80" s="149"/>
      <c r="M80" s="149"/>
      <c r="N80" s="149"/>
      <c r="O80" s="149"/>
      <c r="P80" s="149"/>
      <c r="Q80" s="149"/>
      <c r="R80" s="149"/>
      <c r="S80" s="149"/>
      <c r="T80" s="149"/>
      <c r="U80" s="149"/>
      <c r="V80" s="149"/>
      <c r="W80" s="158"/>
      <c r="X80" s="16"/>
      <c r="Y80" s="16"/>
      <c r="Z80" s="16"/>
      <c r="AA80" s="16"/>
      <c r="AB80" s="16"/>
      <c r="AC80" s="16"/>
      <c r="AD80" s="16"/>
      <c r="AE80" s="16"/>
      <c r="AF80" s="16"/>
      <c r="AG80" s="16"/>
    </row>
    <row r="81" spans="1:33" x14ac:dyDescent="0.4">
      <c r="A81" s="16"/>
      <c r="B81" s="164"/>
      <c r="C81" s="21"/>
      <c r="D81" s="22"/>
      <c r="E81" s="22"/>
      <c r="F81" s="164"/>
      <c r="G81" s="149"/>
      <c r="H81" s="158"/>
      <c r="I81" s="149"/>
      <c r="J81" s="149"/>
      <c r="K81" s="149"/>
      <c r="L81" s="149"/>
      <c r="M81" s="149"/>
      <c r="N81" s="149"/>
      <c r="O81" s="149"/>
      <c r="P81" s="149"/>
      <c r="Q81" s="149"/>
      <c r="R81" s="149"/>
      <c r="S81" s="149"/>
      <c r="T81" s="149"/>
      <c r="U81" s="149"/>
      <c r="V81" s="149"/>
      <c r="W81" s="158"/>
      <c r="X81" s="16"/>
      <c r="Y81" s="16"/>
      <c r="Z81" s="16"/>
      <c r="AA81" s="16"/>
      <c r="AB81" s="16"/>
      <c r="AC81" s="16"/>
      <c r="AD81" s="16"/>
      <c r="AE81" s="16"/>
      <c r="AF81" s="16"/>
      <c r="AG81" s="16"/>
    </row>
    <row r="82" spans="1:33" x14ac:dyDescent="0.4">
      <c r="A82" s="16"/>
      <c r="B82" s="164"/>
      <c r="C82" s="21"/>
      <c r="D82" s="22"/>
      <c r="E82" s="22"/>
      <c r="F82" s="164"/>
      <c r="G82" s="149"/>
      <c r="H82" s="158"/>
      <c r="I82" s="149"/>
      <c r="J82" s="149"/>
      <c r="K82" s="149"/>
      <c r="L82" s="149"/>
      <c r="M82" s="149"/>
      <c r="N82" s="149"/>
      <c r="O82" s="149"/>
      <c r="P82" s="149"/>
      <c r="Q82" s="149"/>
      <c r="R82" s="149"/>
      <c r="S82" s="149"/>
      <c r="T82" s="149"/>
      <c r="U82" s="149"/>
      <c r="V82" s="149"/>
      <c r="W82" s="158"/>
      <c r="X82" s="16"/>
      <c r="Y82" s="16"/>
      <c r="Z82" s="16"/>
      <c r="AA82" s="16"/>
      <c r="AB82" s="16"/>
      <c r="AC82" s="16"/>
      <c r="AD82" s="16"/>
      <c r="AE82" s="16"/>
      <c r="AF82" s="16"/>
      <c r="AG82" s="16"/>
    </row>
    <row r="83" spans="1:33" x14ac:dyDescent="0.4">
      <c r="A83" s="16"/>
      <c r="B83" s="164"/>
      <c r="C83" s="21"/>
      <c r="D83" s="22"/>
      <c r="E83" s="22"/>
      <c r="F83" s="164"/>
      <c r="G83" s="149"/>
      <c r="H83" s="158"/>
      <c r="I83" s="149"/>
      <c r="J83" s="149"/>
      <c r="K83" s="149"/>
      <c r="L83" s="149"/>
      <c r="M83" s="149"/>
      <c r="N83" s="149"/>
      <c r="O83" s="149"/>
      <c r="P83" s="149"/>
      <c r="Q83" s="149"/>
      <c r="R83" s="149"/>
      <c r="S83" s="149"/>
      <c r="T83" s="149"/>
      <c r="U83" s="149"/>
      <c r="V83" s="149"/>
      <c r="W83" s="158"/>
      <c r="X83" s="16"/>
      <c r="Y83" s="16"/>
      <c r="Z83" s="16"/>
      <c r="AA83" s="16"/>
      <c r="AB83" s="16"/>
      <c r="AC83" s="16"/>
      <c r="AD83" s="16"/>
      <c r="AE83" s="16"/>
      <c r="AF83" s="16"/>
      <c r="AG83" s="16"/>
    </row>
    <row r="84" spans="1:33" x14ac:dyDescent="0.4">
      <c r="A84" s="16"/>
      <c r="B84" s="164"/>
      <c r="C84" s="21"/>
      <c r="D84" s="22"/>
      <c r="E84" s="22"/>
      <c r="F84" s="164"/>
      <c r="G84" s="149"/>
      <c r="H84" s="158"/>
      <c r="I84" s="149"/>
      <c r="J84" s="149"/>
      <c r="K84" s="149"/>
      <c r="L84" s="149"/>
      <c r="M84" s="149"/>
      <c r="N84" s="149"/>
      <c r="O84" s="149"/>
      <c r="P84" s="149"/>
      <c r="Q84" s="149"/>
      <c r="R84" s="149"/>
      <c r="S84" s="149"/>
      <c r="T84" s="149"/>
      <c r="U84" s="149"/>
      <c r="V84" s="149"/>
      <c r="W84" s="158"/>
      <c r="X84" s="16"/>
      <c r="Y84" s="16"/>
      <c r="Z84" s="16"/>
      <c r="AA84" s="16"/>
      <c r="AB84" s="16"/>
      <c r="AC84" s="16"/>
      <c r="AD84" s="16"/>
      <c r="AE84" s="16"/>
      <c r="AF84" s="16"/>
      <c r="AG84" s="16"/>
    </row>
    <row r="85" spans="1:33" x14ac:dyDescent="0.4">
      <c r="A85" s="16"/>
      <c r="B85" s="164"/>
      <c r="C85" s="21"/>
      <c r="D85" s="22"/>
      <c r="E85" s="22"/>
      <c r="F85" s="164"/>
      <c r="G85" s="149"/>
      <c r="H85" s="158"/>
      <c r="I85" s="149"/>
      <c r="J85" s="149"/>
      <c r="K85" s="149"/>
      <c r="L85" s="149"/>
      <c r="M85" s="149"/>
      <c r="N85" s="149"/>
      <c r="O85" s="149"/>
      <c r="P85" s="149"/>
      <c r="Q85" s="149"/>
      <c r="R85" s="149"/>
      <c r="S85" s="149"/>
      <c r="T85" s="149"/>
      <c r="U85" s="149"/>
      <c r="V85" s="149"/>
      <c r="W85" s="158"/>
      <c r="X85" s="16"/>
      <c r="Y85" s="16"/>
      <c r="Z85" s="16"/>
      <c r="AA85" s="16"/>
      <c r="AB85" s="16"/>
      <c r="AC85" s="16"/>
      <c r="AD85" s="16"/>
      <c r="AE85" s="16"/>
      <c r="AF85" s="16"/>
      <c r="AG85" s="16"/>
    </row>
    <row r="86" spans="1:33" x14ac:dyDescent="0.4">
      <c r="A86" s="16"/>
      <c r="B86" s="164"/>
      <c r="C86" s="21"/>
      <c r="D86" s="22"/>
      <c r="E86" s="22"/>
      <c r="F86" s="164"/>
      <c r="G86" s="149"/>
      <c r="H86" s="158"/>
      <c r="I86" s="149"/>
      <c r="J86" s="149"/>
      <c r="K86" s="149"/>
      <c r="L86" s="149"/>
      <c r="M86" s="149"/>
      <c r="N86" s="149"/>
      <c r="O86" s="149"/>
      <c r="P86" s="149"/>
      <c r="Q86" s="149"/>
      <c r="R86" s="149"/>
      <c r="S86" s="149"/>
      <c r="T86" s="149"/>
      <c r="U86" s="149"/>
      <c r="V86" s="149"/>
      <c r="W86" s="158"/>
      <c r="X86" s="16"/>
      <c r="Y86" s="16"/>
      <c r="Z86" s="16"/>
      <c r="AA86" s="16"/>
      <c r="AB86" s="16"/>
      <c r="AC86" s="16"/>
      <c r="AD86" s="16"/>
      <c r="AE86" s="16"/>
      <c r="AF86" s="16"/>
      <c r="AG86" s="16"/>
    </row>
    <row r="87" spans="1:33" x14ac:dyDescent="0.4">
      <c r="A87" s="16"/>
      <c r="B87" s="164"/>
      <c r="C87" s="21"/>
      <c r="D87" s="22"/>
      <c r="E87" s="22"/>
      <c r="F87" s="164"/>
      <c r="G87" s="149"/>
      <c r="H87" s="158"/>
      <c r="I87" s="149"/>
      <c r="J87" s="149"/>
      <c r="K87" s="149"/>
      <c r="L87" s="149"/>
      <c r="M87" s="149"/>
      <c r="N87" s="149"/>
      <c r="O87" s="149"/>
      <c r="P87" s="149"/>
      <c r="Q87" s="149"/>
      <c r="R87" s="149"/>
      <c r="S87" s="149"/>
      <c r="T87" s="149"/>
      <c r="U87" s="149"/>
      <c r="V87" s="149"/>
      <c r="W87" s="158"/>
      <c r="X87" s="16"/>
      <c r="Y87" s="16"/>
      <c r="Z87" s="16"/>
      <c r="AA87" s="16"/>
      <c r="AB87" s="16"/>
      <c r="AC87" s="16"/>
      <c r="AD87" s="16"/>
      <c r="AE87" s="16"/>
      <c r="AF87" s="16"/>
      <c r="AG87" s="16"/>
    </row>
    <row r="88" spans="1:33" x14ac:dyDescent="0.4">
      <c r="A88" s="16"/>
      <c r="B88" s="164"/>
      <c r="C88" s="21"/>
      <c r="D88" s="22"/>
      <c r="E88" s="22"/>
      <c r="F88" s="164"/>
      <c r="G88" s="149"/>
      <c r="H88" s="158"/>
      <c r="I88" s="149"/>
      <c r="J88" s="149"/>
      <c r="K88" s="149"/>
      <c r="L88" s="149"/>
      <c r="M88" s="149"/>
      <c r="N88" s="149"/>
      <c r="O88" s="149"/>
      <c r="P88" s="149"/>
      <c r="Q88" s="149"/>
      <c r="R88" s="149"/>
      <c r="S88" s="149"/>
      <c r="T88" s="149"/>
      <c r="U88" s="149"/>
      <c r="V88" s="149"/>
      <c r="W88" s="158"/>
      <c r="X88" s="16"/>
      <c r="Y88" s="16"/>
      <c r="Z88" s="16"/>
      <c r="AA88" s="16"/>
      <c r="AB88" s="16"/>
      <c r="AC88" s="16"/>
      <c r="AD88" s="16"/>
      <c r="AE88" s="16"/>
      <c r="AF88" s="16"/>
      <c r="AG88" s="16"/>
    </row>
    <row r="89" spans="1:33" x14ac:dyDescent="0.4">
      <c r="A89" s="16"/>
      <c r="B89" s="164"/>
      <c r="C89" s="21"/>
      <c r="D89" s="22"/>
      <c r="E89" s="22"/>
      <c r="F89" s="164"/>
      <c r="G89" s="149"/>
      <c r="H89" s="158"/>
      <c r="I89" s="149"/>
      <c r="J89" s="149"/>
      <c r="K89" s="149"/>
      <c r="L89" s="149"/>
      <c r="M89" s="149"/>
      <c r="N89" s="149"/>
      <c r="O89" s="149"/>
      <c r="P89" s="149"/>
      <c r="Q89" s="149"/>
      <c r="R89" s="149"/>
      <c r="S89" s="149"/>
      <c r="T89" s="149"/>
      <c r="U89" s="149"/>
      <c r="V89" s="149"/>
      <c r="W89" s="158"/>
      <c r="X89" s="16"/>
      <c r="Y89" s="16"/>
      <c r="Z89" s="16"/>
      <c r="AA89" s="16"/>
      <c r="AB89" s="16"/>
      <c r="AC89" s="16"/>
      <c r="AD89" s="16"/>
      <c r="AE89" s="16"/>
      <c r="AF89" s="16"/>
      <c r="AG89" s="16"/>
    </row>
    <row r="90" spans="1:33" x14ac:dyDescent="0.4">
      <c r="A90" s="16"/>
      <c r="B90" s="164"/>
      <c r="C90" s="21"/>
      <c r="D90" s="22"/>
      <c r="E90" s="22"/>
      <c r="F90" s="164"/>
      <c r="G90" s="149"/>
      <c r="H90" s="158"/>
      <c r="I90" s="149"/>
      <c r="J90" s="149"/>
      <c r="K90" s="149"/>
      <c r="L90" s="149"/>
      <c r="M90" s="149"/>
      <c r="N90" s="149"/>
      <c r="O90" s="149"/>
      <c r="P90" s="149"/>
      <c r="Q90" s="149"/>
      <c r="R90" s="149"/>
      <c r="S90" s="149"/>
      <c r="T90" s="149"/>
      <c r="U90" s="149"/>
      <c r="V90" s="149"/>
      <c r="W90" s="158"/>
      <c r="X90" s="16"/>
      <c r="Y90" s="16"/>
      <c r="Z90" s="16"/>
      <c r="AA90" s="16"/>
      <c r="AB90" s="16"/>
      <c r="AC90" s="16"/>
      <c r="AD90" s="16"/>
      <c r="AE90" s="16"/>
      <c r="AF90" s="16"/>
      <c r="AG90" s="16"/>
    </row>
    <row r="91" spans="1:33" x14ac:dyDescent="0.4">
      <c r="A91" s="16"/>
      <c r="B91" s="164"/>
      <c r="C91" s="21"/>
      <c r="D91" s="22"/>
      <c r="E91" s="22"/>
      <c r="F91" s="164"/>
      <c r="G91" s="149"/>
      <c r="H91" s="158"/>
      <c r="I91" s="149"/>
      <c r="J91" s="149"/>
      <c r="K91" s="149"/>
      <c r="L91" s="149"/>
      <c r="M91" s="149"/>
      <c r="N91" s="149"/>
      <c r="O91" s="149"/>
      <c r="P91" s="149"/>
      <c r="Q91" s="149"/>
      <c r="R91" s="149"/>
      <c r="S91" s="149"/>
      <c r="T91" s="149"/>
      <c r="U91" s="149"/>
      <c r="V91" s="149"/>
      <c r="W91" s="158"/>
      <c r="X91" s="16"/>
      <c r="Y91" s="16"/>
      <c r="Z91" s="16"/>
      <c r="AA91" s="16"/>
      <c r="AB91" s="16"/>
      <c r="AC91" s="16"/>
      <c r="AD91" s="16"/>
      <c r="AE91" s="16"/>
      <c r="AF91" s="16"/>
      <c r="AG91" s="16"/>
    </row>
    <row r="92" spans="1:33" x14ac:dyDescent="0.4">
      <c r="A92" s="16"/>
      <c r="B92" s="164"/>
      <c r="C92" s="21"/>
      <c r="D92" s="22"/>
      <c r="E92" s="22"/>
      <c r="F92" s="164"/>
      <c r="G92" s="149"/>
      <c r="H92" s="158"/>
      <c r="I92" s="149"/>
      <c r="J92" s="149"/>
      <c r="K92" s="149"/>
      <c r="L92" s="149"/>
      <c r="M92" s="149"/>
      <c r="N92" s="149"/>
      <c r="O92" s="149"/>
      <c r="P92" s="149"/>
      <c r="Q92" s="149"/>
      <c r="R92" s="149"/>
      <c r="S92" s="149"/>
      <c r="T92" s="149"/>
      <c r="U92" s="149"/>
      <c r="V92" s="149"/>
      <c r="W92" s="158"/>
      <c r="X92" s="16"/>
      <c r="Y92" s="16"/>
      <c r="Z92" s="16"/>
      <c r="AA92" s="16"/>
      <c r="AB92" s="16"/>
      <c r="AC92" s="16"/>
      <c r="AD92" s="16"/>
      <c r="AE92" s="16"/>
      <c r="AF92" s="16"/>
      <c r="AG92" s="16"/>
    </row>
    <row r="93" spans="1:33" x14ac:dyDescent="0.4">
      <c r="A93" s="16"/>
      <c r="B93" s="164"/>
      <c r="C93" s="21"/>
      <c r="D93" s="22"/>
      <c r="E93" s="22"/>
      <c r="F93" s="164"/>
      <c r="G93" s="149"/>
      <c r="H93" s="158"/>
      <c r="I93" s="149"/>
      <c r="J93" s="149"/>
      <c r="K93" s="149"/>
      <c r="L93" s="149"/>
      <c r="M93" s="149"/>
      <c r="N93" s="149"/>
      <c r="O93" s="149"/>
      <c r="P93" s="149"/>
      <c r="Q93" s="149"/>
      <c r="R93" s="149"/>
      <c r="S93" s="149"/>
      <c r="T93" s="149"/>
      <c r="U93" s="149"/>
      <c r="V93" s="149"/>
      <c r="W93" s="158"/>
      <c r="X93" s="16"/>
      <c r="Y93" s="16"/>
      <c r="Z93" s="16"/>
      <c r="AA93" s="16"/>
      <c r="AB93" s="16"/>
      <c r="AC93" s="16"/>
      <c r="AD93" s="16"/>
      <c r="AE93" s="16"/>
      <c r="AF93" s="16"/>
      <c r="AG93" s="16"/>
    </row>
  </sheetData>
  <sheetProtection password="CA1B" sheet="1" formatCells="0" formatColumns="0" formatRows="0"/>
  <phoneticPr fontId="0" type="noConversion"/>
  <conditionalFormatting sqref="H62 H6 P50 D56 D4 D8 D12 D16 D20 D24 D28 D32 D36 D40 D44 D48 D52 D60 H14 H22 H30 H38 H46 H54 L42 L26 L10 P18 L58 T34 T56 D64">
    <cfRule type="expression" dxfId="71" priority="33" stopIfTrue="1">
      <formula>IF(N(E4)&gt;N(E5),TRUE,FALSE)</formula>
    </cfRule>
  </conditionalFormatting>
  <conditionalFormatting sqref="C4 K26 G6 C8 C12 C16 C20 C24 C28 C32 C36 C40 C44 C48 C52 C56 C60 C64 G14 G22 G30 G38 G46 G54 G62 K58 K42 K10 O18 O50 S56">
    <cfRule type="expression" dxfId="70" priority="34" stopIfTrue="1">
      <formula>IF(N(E4)&gt;N(E5),TRUE,FALSE)</formula>
    </cfRule>
  </conditionalFormatting>
  <conditionalFormatting sqref="E4 Q18 U34 I6 M10 E8 E12 E16 E20 E24 E28 E32 E36 E40 E44 E48 E52 E56 E60 E64 I14 I22 I30 I38 I46 I54 I62 M26 M42 M58 Q50 U56">
    <cfRule type="expression" dxfId="69" priority="35" stopIfTrue="1">
      <formula>IF(N(E4)&gt;N(E5),TRUE,FALSE)</formula>
    </cfRule>
  </conditionalFormatting>
  <conditionalFormatting sqref="C5 K27 G7 C9 C13 C17 C21 C25 C29 C33 C37 C41 C45 C49 C53 C57 C61 C65 G15 G23 G31 G39 G47 G55 G63 K59 K43 K11 O19 O51 S35 S57">
    <cfRule type="expression" dxfId="68" priority="36" stopIfTrue="1">
      <formula>IF(N(E5)&gt;N(E4),TRUE,FALSE)</formula>
    </cfRule>
  </conditionalFormatting>
  <conditionalFormatting sqref="T57 H63 H7 T35 L59 P19 L11 L27 L43 H55 H47 H39 H31 H23 H15 P51">
    <cfRule type="expression" dxfId="67" priority="37" stopIfTrue="1">
      <formula>IF(N(I7)&gt;N(I6),TRUE,FALSE)</formula>
    </cfRule>
  </conditionalFormatting>
  <conditionalFormatting sqref="D5 D9 D13 D17 D21 D25 D29 D33 D37 D41 D45 D49 D53 D57 D61 D65">
    <cfRule type="expression" dxfId="66" priority="39" stopIfTrue="1">
      <formula>IF(N(E5)&gt;N(E4),TRUE,FALSE)</formula>
    </cfRule>
  </conditionalFormatting>
  <conditionalFormatting sqref="E5">
    <cfRule type="expression" dxfId="65" priority="32" stopIfTrue="1">
      <formula>IF(N(E5)&gt;N(E6),TRUE,FALSE)</formula>
    </cfRule>
  </conditionalFormatting>
  <conditionalFormatting sqref="E9">
    <cfRule type="expression" dxfId="64" priority="31" stopIfTrue="1">
      <formula>IF(N(E9)&gt;N(E10),TRUE,FALSE)</formula>
    </cfRule>
  </conditionalFormatting>
  <conditionalFormatting sqref="E13">
    <cfRule type="expression" dxfId="63" priority="30" stopIfTrue="1">
      <formula>IF(N(E13)&gt;N(E14),TRUE,FALSE)</formula>
    </cfRule>
  </conditionalFormatting>
  <conditionalFormatting sqref="E17">
    <cfRule type="expression" dxfId="62" priority="29" stopIfTrue="1">
      <formula>IF(N(E17)&gt;N(E18),TRUE,FALSE)</formula>
    </cfRule>
  </conditionalFormatting>
  <conditionalFormatting sqref="E21">
    <cfRule type="expression" dxfId="61" priority="28" stopIfTrue="1">
      <formula>IF(N(E21)&gt;N(E22),TRUE,FALSE)</formula>
    </cfRule>
  </conditionalFormatting>
  <conditionalFormatting sqref="E25">
    <cfRule type="expression" dxfId="60" priority="27" stopIfTrue="1">
      <formula>IF(N(E25)&gt;N(E26),TRUE,FALSE)</formula>
    </cfRule>
  </conditionalFormatting>
  <conditionalFormatting sqref="E29">
    <cfRule type="expression" dxfId="59" priority="26" stopIfTrue="1">
      <formula>IF(N(E29)&gt;N(E30),TRUE,FALSE)</formula>
    </cfRule>
  </conditionalFormatting>
  <conditionalFormatting sqref="E33">
    <cfRule type="expression" dxfId="58" priority="25" stopIfTrue="1">
      <formula>IF(N(E33)&gt;N(E34),TRUE,FALSE)</formula>
    </cfRule>
  </conditionalFormatting>
  <conditionalFormatting sqref="E37">
    <cfRule type="expression" dxfId="57" priority="24" stopIfTrue="1">
      <formula>IF(N(E37)&gt;N(E38),TRUE,FALSE)</formula>
    </cfRule>
  </conditionalFormatting>
  <conditionalFormatting sqref="E41">
    <cfRule type="expression" dxfId="56" priority="23" stopIfTrue="1">
      <formula>IF(N(E41)&gt;N(E42),TRUE,FALSE)</formula>
    </cfRule>
  </conditionalFormatting>
  <conditionalFormatting sqref="E45">
    <cfRule type="expression" dxfId="55" priority="22" stopIfTrue="1">
      <formula>IF(N(E45)&gt;N(E46),TRUE,FALSE)</formula>
    </cfRule>
  </conditionalFormatting>
  <conditionalFormatting sqref="E49">
    <cfRule type="expression" dxfId="54" priority="21" stopIfTrue="1">
      <formula>IF(N(E49)&gt;N(E50),TRUE,FALSE)</formula>
    </cfRule>
  </conditionalFormatting>
  <conditionalFormatting sqref="E53">
    <cfRule type="expression" dxfId="53" priority="20" stopIfTrue="1">
      <formula>IF(N(E53)&gt;N(E54),TRUE,FALSE)</formula>
    </cfRule>
  </conditionalFormatting>
  <conditionalFormatting sqref="E57">
    <cfRule type="expression" dxfId="52" priority="19" stopIfTrue="1">
      <formula>IF(N(E57)&gt;N(E58),TRUE,FALSE)</formula>
    </cfRule>
  </conditionalFormatting>
  <conditionalFormatting sqref="E61">
    <cfRule type="expression" dxfId="51" priority="18" stopIfTrue="1">
      <formula>IF(N(E61)&gt;N(E62),TRUE,FALSE)</formula>
    </cfRule>
  </conditionalFormatting>
  <conditionalFormatting sqref="E65">
    <cfRule type="expression" dxfId="50" priority="17" stopIfTrue="1">
      <formula>IF(N(E65)&gt;N(E66),TRUE,FALSE)</formula>
    </cfRule>
  </conditionalFormatting>
  <conditionalFormatting sqref="I7">
    <cfRule type="expression" dxfId="49" priority="16" stopIfTrue="1">
      <formula>IF(N(I7)&gt;N(I8),TRUE,FALSE)</formula>
    </cfRule>
  </conditionalFormatting>
  <conditionalFormatting sqref="I15">
    <cfRule type="expression" dxfId="48" priority="15" stopIfTrue="1">
      <formula>IF(N(I15)&gt;N(I16),TRUE,FALSE)</formula>
    </cfRule>
  </conditionalFormatting>
  <conditionalFormatting sqref="I23">
    <cfRule type="expression" dxfId="47" priority="14" stopIfTrue="1">
      <formula>IF(N(I23)&gt;N(I24),TRUE,FALSE)</formula>
    </cfRule>
  </conditionalFormatting>
  <conditionalFormatting sqref="I31">
    <cfRule type="expression" dxfId="46" priority="13" stopIfTrue="1">
      <formula>IF(N(I31)&gt;N(I32),TRUE,FALSE)</formula>
    </cfRule>
  </conditionalFormatting>
  <conditionalFormatting sqref="I39">
    <cfRule type="expression" dxfId="45" priority="12" stopIfTrue="1">
      <formula>IF(N(I39)&gt;N(I40),TRUE,FALSE)</formula>
    </cfRule>
  </conditionalFormatting>
  <conditionalFormatting sqref="I47">
    <cfRule type="expression" dxfId="44" priority="11" stopIfTrue="1">
      <formula>IF(N(I47)&gt;N(I48),TRUE,FALSE)</formula>
    </cfRule>
  </conditionalFormatting>
  <conditionalFormatting sqref="I55">
    <cfRule type="expression" dxfId="43" priority="10" stopIfTrue="1">
      <formula>IF(N(I55)&gt;N(I56),TRUE,FALSE)</formula>
    </cfRule>
  </conditionalFormatting>
  <conditionalFormatting sqref="I63">
    <cfRule type="expression" dxfId="42" priority="9" stopIfTrue="1">
      <formula>IF(N(I63)&gt;N(I64),TRUE,FALSE)</formula>
    </cfRule>
  </conditionalFormatting>
  <conditionalFormatting sqref="M11">
    <cfRule type="expression" dxfId="41" priority="8" stopIfTrue="1">
      <formula>IF(N(M11)&gt;N(M12),TRUE,FALSE)</formula>
    </cfRule>
  </conditionalFormatting>
  <conditionalFormatting sqref="M27">
    <cfRule type="expression" dxfId="40" priority="7" stopIfTrue="1">
      <formula>IF(N(M27)&gt;N(M28),TRUE,FALSE)</formula>
    </cfRule>
  </conditionalFormatting>
  <conditionalFormatting sqref="M43">
    <cfRule type="expression" dxfId="39" priority="6" stopIfTrue="1">
      <formula>IF(N(M43)&gt;N(M44),TRUE,FALSE)</formula>
    </cfRule>
  </conditionalFormatting>
  <conditionalFormatting sqref="M59">
    <cfRule type="expression" dxfId="38" priority="5" stopIfTrue="1">
      <formula>IF(N(M59)&gt;N(M60),TRUE,FALSE)</formula>
    </cfRule>
  </conditionalFormatting>
  <conditionalFormatting sqref="Q19">
    <cfRule type="expression" dxfId="37" priority="4" stopIfTrue="1">
      <formula>IF(N(Q19)&gt;N(Q20),TRUE,FALSE)</formula>
    </cfRule>
  </conditionalFormatting>
  <conditionalFormatting sqref="Q51">
    <cfRule type="expression" dxfId="36" priority="3" stopIfTrue="1">
      <formula>IF(N(Q51)&gt;N(Q52),TRUE,FALSE)</formula>
    </cfRule>
  </conditionalFormatting>
  <conditionalFormatting sqref="U35">
    <cfRule type="expression" dxfId="35" priority="2" stopIfTrue="1">
      <formula>IF(N(U35)&gt;N(U36),TRUE,FALSE)</formula>
    </cfRule>
  </conditionalFormatting>
  <conditionalFormatting sqref="U57">
    <cfRule type="expression" dxfId="34" priority="1" stopIfTrue="1">
      <formula>IF(N(U57)&gt;N(U58),TRUE,FALSE)</formula>
    </cfRule>
  </conditionalFormatting>
  <pageMargins left="0.78740157499999996" right="0.15" top="0.18" bottom="0.26" header="0.4921259845" footer="0.4921259845"/>
  <pageSetup paperSize="9" scale="85" fitToWidth="2" fitToHeight="2"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6625" r:id="rId4" name="Button 1">
              <controlPr defaultSize="0" print="0" autoFill="0" autoPict="0" macro="[0]!BezHrist">
                <anchor moveWithCells="1">
                  <from>
                    <xdr:col>11</xdr:col>
                    <xdr:colOff>250371</xdr:colOff>
                    <xdr:row>4</xdr:row>
                    <xdr:rowOff>27214</xdr:rowOff>
                  </from>
                  <to>
                    <xdr:col>11</xdr:col>
                    <xdr:colOff>1447800</xdr:colOff>
                    <xdr:row>6</xdr:row>
                    <xdr:rowOff>97971</xdr:rowOff>
                  </to>
                </anchor>
              </controlPr>
            </control>
          </mc:Choice>
        </mc:AlternateContent>
        <mc:AlternateContent xmlns:mc="http://schemas.openxmlformats.org/markup-compatibility/2006">
          <mc:Choice Requires="x14">
            <control shapeId="26626" r:id="rId5" name="Button 2">
              <controlPr defaultSize="0" print="0" autoFill="0" autoPict="0" macro="[0]!Hriste16">
                <anchor moveWithCells="1">
                  <from>
                    <xdr:col>7</xdr:col>
                    <xdr:colOff>250371</xdr:colOff>
                    <xdr:row>2</xdr:row>
                    <xdr:rowOff>103414</xdr:rowOff>
                  </from>
                  <to>
                    <xdr:col>7</xdr:col>
                    <xdr:colOff>1447800</xdr:colOff>
                    <xdr:row>4</xdr:row>
                    <xdr:rowOff>59871</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List54">
    <pageSetUpPr fitToPage="1"/>
  </sheetPr>
  <dimension ref="A1:AD51"/>
  <sheetViews>
    <sheetView workbookViewId="0">
      <pane xSplit="4" ySplit="3" topLeftCell="E7" activePane="bottomRight" state="frozen"/>
      <selection pane="topRight" activeCell="G8" sqref="G8"/>
      <selection pane="bottomLeft" activeCell="G8" sqref="G8"/>
      <selection pane="bottomRight" activeCell="V26" sqref="V26"/>
    </sheetView>
  </sheetViews>
  <sheetFormatPr defaultRowHeight="12" x14ac:dyDescent="0.4"/>
  <cols>
    <col min="1" max="1" width="6.4140625" customWidth="1"/>
    <col min="2" max="2" width="1.75" customWidth="1"/>
    <col min="3" max="3" width="5.4140625" customWidth="1"/>
    <col min="4" max="4" width="28.4140625" customWidth="1"/>
    <col min="5" max="5" width="5" customWidth="1"/>
    <col min="6" max="6" width="2.4140625" customWidth="1"/>
    <col min="7" max="7" width="5.4140625" customWidth="1"/>
    <col min="8" max="8" width="28.4140625" customWidth="1"/>
    <col min="9" max="9" width="5" customWidth="1"/>
    <col min="10" max="10" width="2.4140625" customWidth="1"/>
    <col min="11" max="11" width="5.4140625" customWidth="1"/>
    <col min="12" max="12" width="28.4140625" customWidth="1"/>
    <col min="13" max="13" width="5" customWidth="1"/>
    <col min="14" max="14" width="2.4140625" customWidth="1"/>
    <col min="15" max="15" width="5.4140625" customWidth="1"/>
    <col min="16" max="16" width="22.83203125" customWidth="1"/>
    <col min="17" max="17" width="5" customWidth="1"/>
    <col min="18" max="18" width="2.4140625" customWidth="1"/>
    <col min="19" max="19" width="0.4140625" customWidth="1"/>
    <col min="20" max="20" width="25.4140625" customWidth="1"/>
    <col min="21" max="21" width="5" customWidth="1"/>
  </cols>
  <sheetData>
    <row r="1" spans="1:30" ht="12.45" thickBot="1" x14ac:dyDescent="0.45">
      <c r="B1" s="27"/>
      <c r="C1" s="54"/>
      <c r="D1" s="54"/>
      <c r="E1" s="54"/>
      <c r="F1" s="54"/>
      <c r="G1" s="54"/>
      <c r="H1" s="54"/>
      <c r="I1" s="54"/>
      <c r="J1" s="54"/>
      <c r="K1" s="54"/>
      <c r="L1" s="54"/>
      <c r="M1" s="54"/>
      <c r="N1" s="54"/>
      <c r="O1" s="54"/>
      <c r="P1" s="54"/>
      <c r="R1" s="16"/>
      <c r="S1" s="16"/>
      <c r="T1" s="16"/>
      <c r="U1" s="16"/>
      <c r="V1" s="15"/>
      <c r="W1" s="16"/>
      <c r="X1" s="16"/>
      <c r="Y1" s="16"/>
      <c r="Z1" s="15"/>
      <c r="AA1" s="16"/>
    </row>
    <row r="2" spans="1:30" ht="32.5" customHeight="1" thickBot="1" x14ac:dyDescent="1.1000000000000001">
      <c r="A2" s="50"/>
      <c r="B2" s="251"/>
      <c r="C2" s="252">
        <v>16</v>
      </c>
      <c r="D2" s="131" t="s">
        <v>1676</v>
      </c>
      <c r="E2" s="15"/>
      <c r="F2" s="16"/>
      <c r="G2" s="187">
        <v>8</v>
      </c>
      <c r="H2" s="131" t="s">
        <v>1676</v>
      </c>
      <c r="I2" s="15"/>
      <c r="J2" s="16"/>
      <c r="K2" s="187">
        <v>4</v>
      </c>
      <c r="L2" s="131" t="s">
        <v>1677</v>
      </c>
      <c r="M2" s="16"/>
      <c r="N2" s="16"/>
      <c r="O2" s="187">
        <v>2</v>
      </c>
      <c r="P2" s="131" t="s">
        <v>1678</v>
      </c>
      <c r="Q2" s="16"/>
      <c r="R2" s="16"/>
      <c r="S2" s="187">
        <v>1</v>
      </c>
      <c r="T2" s="146" t="s">
        <v>1679</v>
      </c>
      <c r="U2" s="16"/>
      <c r="V2" s="16"/>
      <c r="W2" s="16"/>
      <c r="X2" s="16"/>
      <c r="Y2" s="16"/>
      <c r="Z2" s="15"/>
      <c r="AA2" s="16"/>
    </row>
    <row r="3" spans="1:30" ht="28.95" customHeight="1" thickBot="1" x14ac:dyDescent="0.5">
      <c r="A3" s="16"/>
      <c r="B3" s="31"/>
      <c r="C3" s="258"/>
      <c r="D3" s="296" t="s">
        <v>1680</v>
      </c>
      <c r="E3" s="297">
        <v>13</v>
      </c>
      <c r="F3" s="51"/>
      <c r="G3" s="51"/>
      <c r="H3" s="93"/>
      <c r="I3" s="53"/>
      <c r="J3" s="51"/>
      <c r="K3" s="51"/>
      <c r="L3" s="93"/>
      <c r="M3" s="53"/>
      <c r="N3" s="51"/>
      <c r="O3" s="51"/>
      <c r="P3" s="93"/>
      <c r="Q3" s="53"/>
      <c r="R3" s="51"/>
      <c r="S3" s="51"/>
      <c r="T3" s="57"/>
      <c r="U3" s="216"/>
      <c r="V3" s="15"/>
      <c r="W3" s="16"/>
      <c r="X3" s="16"/>
      <c r="Y3" s="16"/>
      <c r="Z3" s="15"/>
      <c r="AA3" s="16"/>
    </row>
    <row r="4" spans="1:30" ht="18" thickBot="1" x14ac:dyDescent="0.45">
      <c r="A4" s="86">
        <f ca="1">VLOOKUP(C4,Postupy!$A$3:$C$18,3,0)</f>
        <v>4</v>
      </c>
      <c r="B4" s="16"/>
      <c r="C4" s="78">
        <v>1</v>
      </c>
      <c r="D4" s="253" t="str">
        <f ca="1">VLOOKUP(C4,Postupy!$A$3:$AT$18,46,0)</f>
        <v>4 1. KPK Vrchlabí - Srnský Lubomír</v>
      </c>
      <c r="E4" s="129">
        <v>1</v>
      </c>
      <c r="F4" s="19"/>
      <c r="G4" s="16"/>
      <c r="H4" s="36"/>
      <c r="I4" s="16"/>
      <c r="J4" s="16"/>
      <c r="K4" s="16"/>
      <c r="L4" s="33"/>
      <c r="M4" s="16"/>
      <c r="N4" s="16"/>
      <c r="O4" s="16"/>
      <c r="P4" s="16"/>
      <c r="Q4" s="16"/>
      <c r="R4" s="16"/>
      <c r="S4" s="16"/>
      <c r="T4" s="17"/>
      <c r="U4" s="16"/>
      <c r="V4" s="16"/>
      <c r="W4" s="16"/>
      <c r="X4" s="16"/>
      <c r="Y4" s="16"/>
      <c r="Z4" s="16"/>
      <c r="AA4" s="16"/>
      <c r="AB4" s="16"/>
    </row>
    <row r="5" spans="1:30" ht="18.899999999999999" thickTop="1" thickBot="1" x14ac:dyDescent="0.5">
      <c r="A5" s="86">
        <f ca="1">VLOOKUP(C5,Postupy!$A$3:$C$18,3,0)</f>
        <v>24</v>
      </c>
      <c r="B5" s="16"/>
      <c r="C5" s="80">
        <v>16</v>
      </c>
      <c r="D5" s="253" t="str">
        <f ca="1">VLOOKUP(C5,Postupy!$A$3:$AT$18,46,0)</f>
        <v>24 SK Pétanque Řepy - Váňová Věra</v>
      </c>
      <c r="E5" s="130" t="str">
        <f>VLOOKUP(C5,Postupy!$A$3:$AU$18,47,0)</f>
        <v/>
      </c>
      <c r="F5" s="20"/>
      <c r="G5" s="25"/>
      <c r="H5" s="296" t="s">
        <v>1680</v>
      </c>
      <c r="I5" s="297">
        <v>4</v>
      </c>
      <c r="J5" s="16"/>
      <c r="K5" s="16"/>
      <c r="L5" s="33"/>
      <c r="M5" s="16"/>
      <c r="N5" s="16"/>
      <c r="O5" s="16"/>
      <c r="P5" s="16"/>
      <c r="Q5" s="16"/>
      <c r="R5" s="16"/>
      <c r="S5" s="16"/>
      <c r="T5" s="17"/>
      <c r="U5" s="16"/>
      <c r="V5" s="16"/>
      <c r="W5" s="16"/>
      <c r="X5" s="16"/>
      <c r="Y5" s="16"/>
      <c r="Z5" s="16"/>
      <c r="AA5" s="16"/>
      <c r="AB5" s="16"/>
    </row>
    <row r="6" spans="1:30" ht="18" thickBot="1" x14ac:dyDescent="0.45">
      <c r="A6" s="76"/>
      <c r="B6" s="21"/>
      <c r="C6" s="27"/>
      <c r="D6" s="217"/>
      <c r="E6" s="27"/>
      <c r="F6" s="16"/>
      <c r="G6" s="78">
        <v>1</v>
      </c>
      <c r="H6" s="79" t="str">
        <f ca="1">IF(OR(TRIM(D4)="-",TRIM(D5)="-"), IF(TRIM(D4)="-",D5,D4),IF(AND(E4="",E5="")," ",IF(N(E4)=N(E5)," ",IF(N(E4)&gt;N(E5),D4,D5))))</f>
        <v>4 1. KPK Vrchlabí - Srnský Lubomír</v>
      </c>
      <c r="I6" s="129">
        <v>1</v>
      </c>
      <c r="J6" s="19"/>
      <c r="K6" s="15"/>
      <c r="L6" s="34"/>
      <c r="M6" s="15"/>
      <c r="N6" s="16"/>
      <c r="O6" s="16"/>
      <c r="P6" s="16"/>
      <c r="Q6" s="16"/>
      <c r="R6" s="16"/>
      <c r="S6" s="16"/>
      <c r="T6" s="16"/>
      <c r="U6" s="16"/>
      <c r="V6" s="15"/>
      <c r="W6" s="16"/>
      <c r="X6" s="16"/>
      <c r="Y6" s="16"/>
      <c r="Z6" s="15"/>
      <c r="AA6" s="16"/>
      <c r="AB6" s="16"/>
      <c r="AC6" s="16"/>
      <c r="AD6" s="17"/>
    </row>
    <row r="7" spans="1:30" ht="18.899999999999999" thickTop="1" thickBot="1" x14ac:dyDescent="0.5">
      <c r="A7" s="75"/>
      <c r="B7" s="31"/>
      <c r="C7" s="16"/>
      <c r="D7" s="296" t="s">
        <v>1680</v>
      </c>
      <c r="E7" s="297">
        <v>12</v>
      </c>
      <c r="F7" s="16"/>
      <c r="G7" s="80">
        <v>8</v>
      </c>
      <c r="H7" s="81" t="str">
        <f ca="1">IF(OR(TRIM(D8)="-",TRIM(D9)="-"), IF(TRIM(D8)="-",D9,D8),IF(AND(E8="",E9="")," ",IF(N(E8)=N(E9)," ",IF(N(E8)&gt;N(E9),D8,D9))))</f>
        <v>28 PC Sokol PP Hr. Králové - Hochmann Lukáš</v>
      </c>
      <c r="I7" s="130" t="str">
        <f>VLOOKUP(G7,Postupy!$A$3:$AW$18,49,0)</f>
        <v/>
      </c>
      <c r="J7" s="20"/>
      <c r="K7" s="25"/>
      <c r="L7" s="34"/>
      <c r="M7" s="15"/>
      <c r="N7" s="16"/>
      <c r="O7" s="16"/>
      <c r="P7" s="16"/>
      <c r="Q7" s="16"/>
      <c r="R7" s="16"/>
      <c r="S7" s="16"/>
      <c r="T7" s="16"/>
      <c r="U7" s="16"/>
      <c r="V7" s="15"/>
      <c r="W7" s="16"/>
      <c r="X7" s="16"/>
      <c r="Y7" s="16"/>
      <c r="Z7" s="15"/>
      <c r="AA7" s="16"/>
      <c r="AB7" s="16"/>
      <c r="AC7" s="16"/>
      <c r="AD7" s="16"/>
    </row>
    <row r="8" spans="1:30" ht="18" thickBot="1" x14ac:dyDescent="0.45">
      <c r="A8" s="86">
        <f ca="1">VLOOKUP(C8,Postupy!$A$3:$C$18,3,0)</f>
        <v>34</v>
      </c>
      <c r="B8" s="16"/>
      <c r="C8" s="78">
        <v>9</v>
      </c>
      <c r="D8" s="253" t="str">
        <f ca="1">VLOOKUP(C8,Postupy!$A$3:$AT$18,46,0)</f>
        <v>34 1. KPK Vrchlabí - Šebek Viktor</v>
      </c>
      <c r="E8" s="129" t="str">
        <f>VLOOKUP(C8,Postupy!$A$3:$AU$18,47,0)</f>
        <v/>
      </c>
      <c r="F8" s="26"/>
      <c r="G8" s="25"/>
      <c r="H8" s="46"/>
      <c r="I8" s="15"/>
      <c r="J8" s="16"/>
      <c r="K8" s="25"/>
      <c r="L8" s="34"/>
      <c r="M8" s="15"/>
      <c r="N8" s="16"/>
      <c r="O8" s="16"/>
      <c r="P8" s="16"/>
      <c r="Q8" s="16"/>
      <c r="R8" s="16"/>
      <c r="S8" s="16"/>
      <c r="T8" s="16"/>
      <c r="U8" s="16"/>
      <c r="V8" s="15"/>
      <c r="W8" s="16"/>
      <c r="X8" s="16"/>
      <c r="Y8" s="16"/>
      <c r="Z8" s="15"/>
      <c r="AA8" s="16"/>
      <c r="AB8" s="16"/>
      <c r="AC8" s="16"/>
      <c r="AD8" s="16"/>
    </row>
    <row r="9" spans="1:30" ht="18.899999999999999" thickTop="1" thickBot="1" x14ac:dyDescent="0.5">
      <c r="A9" s="86">
        <f ca="1">VLOOKUP(C9,Postupy!$A$3:$C$18,3,0)</f>
        <v>28</v>
      </c>
      <c r="B9" s="16"/>
      <c r="C9" s="80">
        <v>8</v>
      </c>
      <c r="D9" s="253" t="str">
        <f ca="1">VLOOKUP(C9,Postupy!$A$3:$AT$18,46,0)</f>
        <v>28 PC Sokol PP Hr. Králové - Hochmann Lukáš</v>
      </c>
      <c r="E9" s="130">
        <v>1</v>
      </c>
      <c r="F9" s="27"/>
      <c r="G9" s="16"/>
      <c r="H9" s="46"/>
      <c r="I9" s="16"/>
      <c r="J9" s="16"/>
      <c r="K9" s="25"/>
      <c r="L9" s="296" t="s">
        <v>1680</v>
      </c>
      <c r="M9" s="297">
        <v>5</v>
      </c>
      <c r="N9" s="16"/>
      <c r="O9" s="16"/>
      <c r="P9" s="16"/>
      <c r="Q9" s="16"/>
      <c r="R9" s="16"/>
      <c r="S9" s="16"/>
      <c r="T9" s="17"/>
      <c r="U9" s="16"/>
      <c r="V9" s="16"/>
      <c r="W9" s="16"/>
      <c r="X9" s="16"/>
      <c r="Y9" s="16"/>
      <c r="Z9" s="16"/>
      <c r="AA9" s="16"/>
      <c r="AB9" s="16"/>
    </row>
    <row r="10" spans="1:30" ht="18" thickBot="1" x14ac:dyDescent="0.45">
      <c r="A10" s="76"/>
      <c r="B10" s="55"/>
      <c r="C10" s="56"/>
      <c r="D10" s="45"/>
      <c r="E10" s="16"/>
      <c r="F10" s="16"/>
      <c r="G10" s="16"/>
      <c r="H10" s="47"/>
      <c r="I10" s="17"/>
      <c r="J10" s="17"/>
      <c r="K10" s="78">
        <v>1</v>
      </c>
      <c r="L10" s="79" t="str">
        <f ca="1">IF(OR(TRIM(H6)="-",TRIM(H7)="-"), IF(TRIM(H6)="-",H7,H6),IF(AND(I6="",I7="")," ",IF(N(I6)=N(I7)," ",IF(N(I6)&gt;N(I7),H6,H7))))</f>
        <v>4 1. KPK Vrchlabí - Srnský Lubomír</v>
      </c>
      <c r="M10" s="129">
        <v>1</v>
      </c>
      <c r="N10" s="17"/>
      <c r="O10" s="28"/>
      <c r="P10" s="28"/>
      <c r="Q10" s="28"/>
      <c r="R10" s="16"/>
      <c r="S10" s="17"/>
      <c r="T10" s="16"/>
      <c r="U10" s="16"/>
      <c r="V10" s="16"/>
      <c r="W10" s="16"/>
      <c r="X10" s="16"/>
      <c r="Y10" s="16"/>
      <c r="Z10" s="16"/>
      <c r="AA10" s="16"/>
    </row>
    <row r="11" spans="1:30" ht="18.899999999999999" thickTop="1" thickBot="1" x14ac:dyDescent="0.5">
      <c r="A11" s="75"/>
      <c r="B11" s="21"/>
      <c r="C11" s="16"/>
      <c r="D11" s="296" t="s">
        <v>1680</v>
      </c>
      <c r="E11" s="297">
        <v>11</v>
      </c>
      <c r="F11" s="16"/>
      <c r="G11" s="16"/>
      <c r="H11" s="48"/>
      <c r="I11" s="17"/>
      <c r="J11" s="17"/>
      <c r="K11" s="80">
        <v>4</v>
      </c>
      <c r="L11" s="81" t="str">
        <f ca="1">IF(OR(TRIM(H14)="-",TRIM(H15)="-"), IF(TRIM(H14)="-",H15,H14),IF(AND(I14="",I15="")," ",IF(N(I14)=N(I15)," ",IF(N(I14)&gt;N(I15),H14,H15))))</f>
        <v>5 CdP Loděnice - Dlouhá Ivana</v>
      </c>
      <c r="M11" s="130" t="str">
        <f>VLOOKUP(K11,Postupy!$A$3:$AY$18,51,0)</f>
        <v/>
      </c>
      <c r="N11" s="20"/>
      <c r="O11" s="218"/>
      <c r="P11" s="18"/>
      <c r="Q11" s="16"/>
      <c r="R11" s="16"/>
      <c r="S11" s="16"/>
      <c r="T11" s="16"/>
      <c r="U11" s="16"/>
      <c r="V11" s="16"/>
      <c r="W11" s="16"/>
      <c r="X11" s="16"/>
      <c r="Y11" s="15"/>
      <c r="Z11" s="16"/>
      <c r="AA11" s="16"/>
      <c r="AB11" s="16"/>
      <c r="AC11" s="17"/>
    </row>
    <row r="12" spans="1:30" ht="18.45" thickTop="1" thickBot="1" x14ac:dyDescent="0.45">
      <c r="A12" s="86">
        <f ca="1">VLOOKUP(C12,Postupy!$A$3:$C$18,3,0)</f>
        <v>23</v>
      </c>
      <c r="B12" s="16"/>
      <c r="C12" s="78">
        <v>5</v>
      </c>
      <c r="D12" s="253" t="str">
        <f ca="1">VLOOKUP(C12,Postupy!$A$3:$AT$18,46,0)</f>
        <v>23 PC Kolová - Horáček Jindřich</v>
      </c>
      <c r="E12" s="129" t="str">
        <f>VLOOKUP(C12,Postupy!$A$3:$AU$18,47,0)</f>
        <v/>
      </c>
      <c r="F12" s="19"/>
      <c r="G12" s="16"/>
      <c r="H12" s="48"/>
      <c r="I12" s="17"/>
      <c r="J12" s="23"/>
      <c r="K12" s="15"/>
      <c r="L12" s="46"/>
      <c r="M12" s="17"/>
      <c r="N12" s="17"/>
      <c r="O12" s="218"/>
      <c r="P12" s="18"/>
      <c r="Q12" s="17"/>
      <c r="R12" s="16"/>
      <c r="S12" s="17"/>
      <c r="T12" s="16"/>
      <c r="U12" s="16"/>
      <c r="V12" s="16"/>
      <c r="W12" s="16"/>
      <c r="X12" s="16"/>
      <c r="Y12" s="15"/>
      <c r="Z12" s="16"/>
      <c r="AA12" s="16"/>
      <c r="AB12" s="16"/>
      <c r="AC12" s="16"/>
    </row>
    <row r="13" spans="1:30" ht="18.899999999999999" thickTop="1" thickBot="1" x14ac:dyDescent="0.5">
      <c r="A13" s="86">
        <f ca="1">VLOOKUP(C13,Postupy!$A$3:$C$18,3,0)</f>
        <v>5</v>
      </c>
      <c r="B13" s="16"/>
      <c r="C13" s="80">
        <v>12</v>
      </c>
      <c r="D13" s="253" t="str">
        <f ca="1">VLOOKUP(C13,Postupy!$A$3:$AT$18,46,0)</f>
        <v>5 CdP Loděnice - Dlouhá Ivana</v>
      </c>
      <c r="E13" s="130">
        <v>1</v>
      </c>
      <c r="F13" s="20"/>
      <c r="G13" s="25"/>
      <c r="H13" s="296" t="s">
        <v>1680</v>
      </c>
      <c r="I13" s="297">
        <v>3</v>
      </c>
      <c r="J13" s="23"/>
      <c r="K13" s="15"/>
      <c r="L13" s="45"/>
      <c r="M13" s="17"/>
      <c r="N13" s="17"/>
      <c r="O13" s="218"/>
      <c r="P13" s="18"/>
      <c r="Q13" s="17"/>
      <c r="R13" s="16"/>
      <c r="S13" s="17"/>
      <c r="T13" s="16"/>
      <c r="U13" s="16"/>
      <c r="V13" s="16"/>
      <c r="W13" s="16"/>
      <c r="X13" s="16"/>
      <c r="Y13" s="16"/>
      <c r="Z13" s="16"/>
      <c r="AA13" s="16"/>
    </row>
    <row r="14" spans="1:30" ht="18.45" thickTop="1" thickBot="1" x14ac:dyDescent="0.45">
      <c r="A14" s="76"/>
      <c r="B14" s="21"/>
      <c r="C14" s="16"/>
      <c r="D14" s="46"/>
      <c r="E14" s="16"/>
      <c r="F14" s="16"/>
      <c r="G14" s="78">
        <v>5</v>
      </c>
      <c r="H14" s="79" t="str">
        <f ca="1">IF(OR(TRIM(D12)="-",TRIM(D13)="-"), IF(TRIM(D12)="-",D13,D12),IF(AND(E12="",E13="")," ",IF(N(E12)=N(E13)," ",IF(N(E12)&gt;N(E13),D12,D13))))</f>
        <v>5 CdP Loděnice - Dlouhá Ivana</v>
      </c>
      <c r="I14" s="129">
        <v>1</v>
      </c>
      <c r="J14" s="26"/>
      <c r="K14" s="16"/>
      <c r="L14" s="48"/>
      <c r="M14" s="17"/>
      <c r="N14" s="17"/>
      <c r="O14" s="218"/>
      <c r="P14" s="18"/>
      <c r="Q14" s="16"/>
      <c r="R14" s="16"/>
      <c r="S14" s="16"/>
      <c r="T14" s="16"/>
      <c r="U14" s="17"/>
      <c r="V14" s="16"/>
      <c r="W14" s="16"/>
      <c r="X14" s="16"/>
      <c r="Y14" s="17"/>
      <c r="Z14" s="16"/>
      <c r="AA14" s="16"/>
    </row>
    <row r="15" spans="1:30" ht="18.899999999999999" thickTop="1" thickBot="1" x14ac:dyDescent="0.5">
      <c r="A15" s="75"/>
      <c r="B15" s="31"/>
      <c r="C15" s="16"/>
      <c r="D15" s="296" t="s">
        <v>1680</v>
      </c>
      <c r="E15" s="297">
        <v>10</v>
      </c>
      <c r="F15" s="16"/>
      <c r="G15" s="80">
        <v>4</v>
      </c>
      <c r="H15" s="81" t="str">
        <f ca="1">IF(OR(TRIM(D16)="-",TRIM(D17)="-"), IF(TRIM(D16)="-",D17,D16),IF(AND(E16="",E17="")," ",IF(N(E16)=N(E17)," ",IF(N(E16)&gt;N(E17),D16,D17))))</f>
        <v>7 1. KPK Vrchlabí - Semeniv Maryana Khrystyna</v>
      </c>
      <c r="I15" s="130" t="str">
        <f>VLOOKUP(G15,Postupy!$A$3:$AW$18,49,0)</f>
        <v/>
      </c>
      <c r="J15" s="27"/>
      <c r="K15" s="16"/>
      <c r="L15" s="48"/>
      <c r="M15" s="17"/>
      <c r="N15" s="17"/>
      <c r="O15" s="218"/>
      <c r="P15" s="18"/>
      <c r="Q15" s="16"/>
      <c r="R15" s="16"/>
      <c r="S15" s="16"/>
      <c r="T15" s="16"/>
      <c r="U15" s="17"/>
      <c r="V15" s="16"/>
      <c r="W15" s="16"/>
      <c r="X15" s="16"/>
      <c r="Y15" s="17"/>
      <c r="Z15" s="16"/>
      <c r="AA15" s="16"/>
    </row>
    <row r="16" spans="1:30" ht="18.899999999999999" thickTop="1" thickBot="1" x14ac:dyDescent="0.5">
      <c r="A16" s="86">
        <f ca="1">VLOOKUP(C16,Postupy!$A$3:$C$18,3,0)</f>
        <v>52</v>
      </c>
      <c r="B16" s="16"/>
      <c r="C16" s="78">
        <v>13</v>
      </c>
      <c r="D16" s="253" t="str">
        <f ca="1">VLOOKUP(C16,Postupy!$A$3:$AT$18,46,0)</f>
        <v xml:space="preserve">52   - Jesper R, Dánsko  </v>
      </c>
      <c r="E16" s="129" t="str">
        <f>VLOOKUP(C16,Postupy!$A$3:$AU$18,47,0)</f>
        <v/>
      </c>
      <c r="F16" s="26"/>
      <c r="G16" s="25"/>
      <c r="H16" s="46"/>
      <c r="I16" s="15"/>
      <c r="J16" s="16"/>
      <c r="K16" s="16"/>
      <c r="L16" s="48"/>
      <c r="M16" s="17"/>
      <c r="N16" s="17"/>
      <c r="O16" s="218"/>
      <c r="P16" s="212" t="s">
        <v>1678</v>
      </c>
      <c r="Q16" s="17"/>
      <c r="R16" s="16"/>
      <c r="S16" s="17"/>
      <c r="T16" s="33"/>
      <c r="U16" s="16"/>
      <c r="V16" s="16"/>
      <c r="W16" s="16"/>
      <c r="X16" s="16"/>
      <c r="Y16" s="16"/>
      <c r="Z16" s="16"/>
      <c r="AA16" s="16"/>
    </row>
    <row r="17" spans="1:29" ht="18.899999999999999" thickTop="1" thickBot="1" x14ac:dyDescent="0.5">
      <c r="A17" s="86">
        <f ca="1">VLOOKUP(C17,Postupy!$A$3:$C$18,3,0)</f>
        <v>7</v>
      </c>
      <c r="B17" s="16"/>
      <c r="C17" s="80">
        <v>4</v>
      </c>
      <c r="D17" s="253" t="str">
        <f ca="1">VLOOKUP(C17,Postupy!$A$3:$AT$18,46,0)</f>
        <v>7 1. KPK Vrchlabí - Semeniv Maryana Khrystyna</v>
      </c>
      <c r="E17" s="130">
        <v>1</v>
      </c>
      <c r="F17" s="27"/>
      <c r="G17" s="16"/>
      <c r="H17" s="46"/>
      <c r="I17" s="16"/>
      <c r="J17" s="16"/>
      <c r="K17" s="16"/>
      <c r="L17" s="48"/>
      <c r="M17" s="17"/>
      <c r="N17" s="17"/>
      <c r="O17" s="220"/>
      <c r="P17" s="296" t="s">
        <v>1680</v>
      </c>
      <c r="Q17" s="297">
        <v>4</v>
      </c>
      <c r="R17" s="16"/>
      <c r="S17" s="17"/>
      <c r="T17" s="215"/>
      <c r="U17" s="16"/>
      <c r="V17" s="16"/>
      <c r="W17" s="16"/>
      <c r="X17" s="16"/>
      <c r="Y17" s="16"/>
      <c r="Z17" s="16"/>
      <c r="AA17" s="16"/>
    </row>
    <row r="18" spans="1:29" ht="18.45" thickTop="1" thickBot="1" x14ac:dyDescent="0.45">
      <c r="A18" s="76"/>
      <c r="B18" s="21"/>
      <c r="C18" s="16"/>
      <c r="D18" s="46"/>
      <c r="E18" s="16"/>
      <c r="F18" s="16"/>
      <c r="G18" s="16"/>
      <c r="H18" s="49"/>
      <c r="I18" s="16"/>
      <c r="J18" s="16"/>
      <c r="K18" s="16"/>
      <c r="L18" s="49"/>
      <c r="M18" s="16"/>
      <c r="N18" s="16"/>
      <c r="O18" s="78">
        <v>1</v>
      </c>
      <c r="P18" s="79" t="str">
        <f ca="1">IF(OR(TRIM(L10)="-",TRIM(L11)="-"), IF(TRIM(L10)="-",L11,L10),IF(AND(M10="",M11="")," ",IF(N(M10)=N(M11)," ",IF(N(M10)&gt;N(M11),L10,L11))))</f>
        <v>4 1. KPK Vrchlabí - Srnský Lubomír</v>
      </c>
      <c r="Q18" s="129">
        <v>1</v>
      </c>
      <c r="R18" s="26"/>
      <c r="S18" s="37">
        <v>1</v>
      </c>
      <c r="T18" s="100" t="str">
        <f ca="1">IF(AND(Q18="",Q19="")," ",IF(N(Q18)=N(Q19)," ",IF(N(Q18)&gt;N(Q19),P18,P19)))</f>
        <v>4 1. KPK Vrchlabí - Srnský Lubomír</v>
      </c>
      <c r="U18" s="38">
        <v>1</v>
      </c>
      <c r="V18" s="16"/>
      <c r="W18" s="16"/>
      <c r="X18" s="16"/>
      <c r="Y18" s="16"/>
      <c r="Z18" s="16"/>
      <c r="AA18" s="16"/>
    </row>
    <row r="19" spans="1:29" ht="18.899999999999999" thickTop="1" thickBot="1" x14ac:dyDescent="0.5">
      <c r="A19" s="75"/>
      <c r="B19" s="31"/>
      <c r="C19" s="16"/>
      <c r="D19" s="296" t="s">
        <v>1680</v>
      </c>
      <c r="E19" s="297">
        <v>9</v>
      </c>
      <c r="F19" s="16"/>
      <c r="G19" s="16"/>
      <c r="H19" s="49"/>
      <c r="I19" s="16"/>
      <c r="J19" s="16"/>
      <c r="K19" s="16"/>
      <c r="L19" s="49"/>
      <c r="M19" s="16"/>
      <c r="N19" s="16"/>
      <c r="O19" s="80">
        <v>2</v>
      </c>
      <c r="P19" s="81" t="str">
        <f ca="1">IF(OR(TRIM(L26)="-",TRIM(L27)="-"),IF(TRIM(L26)="-",L27,L26),IF(AND(M26="",M27="")," ",IF(N(M26)=N(M27)," ",IF(N(M26)&gt;N(M27),L26,L27))))</f>
        <v>14 PC Sokol Lipník - Morávek Petr</v>
      </c>
      <c r="Q19" s="130" t="str">
        <f>VLOOKUP(O19,Postupy!$A$3:$BA$6,53,0)</f>
        <v/>
      </c>
      <c r="R19" s="16"/>
      <c r="S19" s="37">
        <v>2</v>
      </c>
      <c r="T19" s="98" t="str">
        <f ca="1">IF(AND(Q18="",Q19="")," ",IF(N(Q19)=N(Q18)," ",IF(N(Q19)&gt;N(Q18),P18,P19)))</f>
        <v>14 PC Sokol Lipník - Morávek Petr</v>
      </c>
      <c r="U19" s="97">
        <v>2</v>
      </c>
      <c r="V19" s="16"/>
      <c r="W19" s="16"/>
      <c r="X19" s="16"/>
      <c r="Y19" s="16"/>
      <c r="Z19" s="16"/>
      <c r="AA19" s="16"/>
    </row>
    <row r="20" spans="1:29" ht="18" thickBot="1" x14ac:dyDescent="0.45">
      <c r="A20" s="86">
        <f ca="1">VLOOKUP(C20,Postupy!$A$3:$C$18,3,0)</f>
        <v>2</v>
      </c>
      <c r="B20" s="16"/>
      <c r="C20" s="78">
        <v>3</v>
      </c>
      <c r="D20" s="253" t="str">
        <f ca="1">VLOOKUP(C20,Postupy!$A$3:$AT$18,46,0)</f>
        <v>2 PLUK Jablonec - Lukáš Vojtěch</v>
      </c>
      <c r="E20" s="129">
        <v>1</v>
      </c>
      <c r="F20" s="19"/>
      <c r="G20" s="16"/>
      <c r="H20" s="49"/>
      <c r="I20" s="16"/>
      <c r="J20" s="16"/>
      <c r="K20" s="16"/>
      <c r="L20" s="48"/>
      <c r="M20" s="17"/>
      <c r="N20" s="17"/>
      <c r="O20" s="25"/>
      <c r="P20" s="33"/>
      <c r="Q20" s="15"/>
      <c r="R20" s="16"/>
      <c r="S20" s="16"/>
      <c r="T20" s="16"/>
      <c r="U20" s="16"/>
      <c r="V20" s="16"/>
      <c r="W20" s="16"/>
      <c r="X20" s="16"/>
      <c r="Y20" s="16"/>
      <c r="Z20" s="16"/>
      <c r="AA20" s="16"/>
    </row>
    <row r="21" spans="1:29" ht="18.899999999999999" thickTop="1" thickBot="1" x14ac:dyDescent="0.5">
      <c r="A21" s="86">
        <f ca="1">VLOOKUP(C21,Postupy!$A$3:$C$18,3,0)</f>
        <v>9</v>
      </c>
      <c r="B21" s="16"/>
      <c r="C21" s="80">
        <v>14</v>
      </c>
      <c r="D21" s="253" t="str">
        <f ca="1">VLOOKUP(C21,Postupy!$A$3:$AT$18,46,0)</f>
        <v>9 UBU Únětice - Palas Pavel</v>
      </c>
      <c r="E21" s="130" t="str">
        <f>VLOOKUP(C21,Postupy!$A$3:$AU$18,47,0)</f>
        <v/>
      </c>
      <c r="F21" s="20"/>
      <c r="G21" s="25"/>
      <c r="H21" s="296" t="s">
        <v>1680</v>
      </c>
      <c r="I21" s="297">
        <v>2</v>
      </c>
      <c r="J21" s="16"/>
      <c r="K21" s="16"/>
      <c r="L21" s="48"/>
      <c r="M21" s="17"/>
      <c r="N21" s="17"/>
      <c r="O21" s="25"/>
      <c r="P21" s="33"/>
      <c r="Q21" s="15"/>
      <c r="R21" s="16"/>
      <c r="S21" s="16"/>
      <c r="T21" s="16"/>
      <c r="U21" s="16"/>
      <c r="V21" s="16"/>
      <c r="W21" s="16"/>
      <c r="X21" s="16"/>
      <c r="Y21" s="16"/>
      <c r="Z21" s="16"/>
      <c r="AA21" s="16"/>
    </row>
    <row r="22" spans="1:29" ht="18" thickBot="1" x14ac:dyDescent="0.45">
      <c r="A22" s="76"/>
      <c r="B22" s="21"/>
      <c r="C22" s="16"/>
      <c r="D22" s="46"/>
      <c r="E22" s="16"/>
      <c r="F22" s="16"/>
      <c r="G22" s="78">
        <v>3</v>
      </c>
      <c r="H22" s="79" t="str">
        <f ca="1">IF(OR(TRIM(D20)="-",TRIM(D21)="-"), IF(TRIM(D20)="-",D21,D20),IF(AND(E20="",E21="")," ",IF(N(E20)=N(E21)," ",IF(N(E20)&gt;N(E21),D20,D21))))</f>
        <v>2 PLUK Jablonec - Lukáš Vojtěch</v>
      </c>
      <c r="I22" s="129">
        <v>1</v>
      </c>
      <c r="J22" s="19"/>
      <c r="K22" s="15"/>
      <c r="L22" s="48"/>
      <c r="M22" s="17"/>
      <c r="N22" s="17"/>
      <c r="O22" s="25"/>
      <c r="P22" s="15"/>
      <c r="Q22" s="15"/>
      <c r="R22" s="16"/>
      <c r="S22" s="16"/>
      <c r="T22" s="16"/>
      <c r="U22" s="16"/>
      <c r="V22" s="16"/>
      <c r="W22" s="16"/>
      <c r="X22" s="17"/>
      <c r="Y22" s="16"/>
      <c r="Z22" s="16"/>
    </row>
    <row r="23" spans="1:29" ht="18.899999999999999" thickTop="1" thickBot="1" x14ac:dyDescent="0.5">
      <c r="A23" s="75"/>
      <c r="B23" s="31"/>
      <c r="C23" s="16"/>
      <c r="D23" s="296" t="s">
        <v>1680</v>
      </c>
      <c r="E23" s="297">
        <v>8</v>
      </c>
      <c r="F23" s="16"/>
      <c r="G23" s="80">
        <v>6</v>
      </c>
      <c r="H23" s="81" t="str">
        <f ca="1">IF(OR(TRIM(D24)="-",TRIM(D25)="-"), IF(TRIM(D24)="-",D25,D24),IF(AND(E24="",E25="")," ",IF(N(E24)=N(E25)," ",IF(N(E24)&gt;N(E25),D24,D25))))</f>
        <v xml:space="preserve">51   - Erik, Dánsko  </v>
      </c>
      <c r="I23" s="130" t="str">
        <f>VLOOKUP(G23,Postupy!$A$3:$AW$18,49,0)</f>
        <v/>
      </c>
      <c r="J23" s="20"/>
      <c r="K23" s="25"/>
      <c r="L23" s="48"/>
      <c r="M23" s="17"/>
      <c r="N23" s="17"/>
      <c r="O23" s="25"/>
      <c r="P23" s="15"/>
      <c r="Q23" s="15"/>
      <c r="R23" s="16"/>
      <c r="S23" s="16"/>
      <c r="T23" s="16"/>
      <c r="U23" s="17"/>
      <c r="V23" s="16"/>
      <c r="W23" s="16"/>
      <c r="X23" s="17"/>
      <c r="Y23" s="16"/>
      <c r="Z23" s="16"/>
      <c r="AA23" s="17"/>
      <c r="AB23" s="16"/>
      <c r="AC23" s="16"/>
    </row>
    <row r="24" spans="1:29" ht="18" thickBot="1" x14ac:dyDescent="0.45">
      <c r="A24" s="86">
        <f ca="1">VLOOKUP(C24,Postupy!$A$3:$C$18,3,0)</f>
        <v>51</v>
      </c>
      <c r="B24" s="16"/>
      <c r="C24" s="78">
        <v>11</v>
      </c>
      <c r="D24" s="253" t="str">
        <f ca="1">VLOOKUP(C24,Postupy!$A$3:$AT$18,46,0)</f>
        <v xml:space="preserve">51   - Erik, Dánsko  </v>
      </c>
      <c r="E24" s="129">
        <v>1</v>
      </c>
      <c r="F24" s="26"/>
      <c r="G24" s="25"/>
      <c r="H24" s="46"/>
      <c r="I24" s="15"/>
      <c r="J24" s="16"/>
      <c r="K24" s="25"/>
      <c r="L24" s="48"/>
      <c r="M24" s="17"/>
      <c r="N24" s="17"/>
      <c r="O24" s="25"/>
      <c r="P24" s="15"/>
      <c r="Q24" s="15"/>
      <c r="R24" s="16"/>
      <c r="S24" s="16"/>
      <c r="T24" s="16"/>
      <c r="U24" s="16"/>
      <c r="V24" s="16"/>
      <c r="W24" s="16"/>
      <c r="X24" s="16"/>
      <c r="Y24" s="16"/>
      <c r="Z24" s="16"/>
      <c r="AA24" s="16"/>
    </row>
    <row r="25" spans="1:29" ht="18.899999999999999" thickTop="1" thickBot="1" x14ac:dyDescent="0.5">
      <c r="A25" s="86">
        <f ca="1">VLOOKUP(C25,Postupy!$A$3:$C$18,3,0)</f>
        <v>21</v>
      </c>
      <c r="B25" s="16"/>
      <c r="C25" s="80">
        <v>6</v>
      </c>
      <c r="D25" s="253" t="str">
        <f ca="1">VLOOKUP(C25,Postupy!$A$3:$AT$18,46,0)</f>
        <v>21 SK Pétanque Řepy - Pastorek Jaroslav</v>
      </c>
      <c r="E25" s="130" t="str">
        <f>VLOOKUP(C25,Postupy!$A$3:$AU$18,47,0)</f>
        <v/>
      </c>
      <c r="F25" s="27"/>
      <c r="G25" s="16"/>
      <c r="H25" s="46"/>
      <c r="I25" s="16"/>
      <c r="J25" s="16"/>
      <c r="K25" s="25"/>
      <c r="L25" s="296" t="s">
        <v>1680</v>
      </c>
      <c r="M25" s="297">
        <v>7</v>
      </c>
      <c r="N25" s="17"/>
      <c r="O25" s="25"/>
      <c r="P25" s="15"/>
      <c r="Q25" s="15"/>
      <c r="R25" s="16"/>
      <c r="S25" s="16"/>
      <c r="T25" s="16"/>
      <c r="U25" s="16"/>
      <c r="V25" s="16"/>
      <c r="W25" s="16"/>
      <c r="X25" s="16"/>
      <c r="Y25" s="16"/>
      <c r="Z25" s="16"/>
      <c r="AA25" s="16"/>
    </row>
    <row r="26" spans="1:29" ht="18" thickBot="1" x14ac:dyDescent="0.45">
      <c r="A26" s="76"/>
      <c r="B26" s="21"/>
      <c r="C26" s="16"/>
      <c r="D26" s="46"/>
      <c r="E26" s="16"/>
      <c r="F26" s="16"/>
      <c r="G26" s="16"/>
      <c r="H26" s="48"/>
      <c r="I26" s="17"/>
      <c r="J26" s="17"/>
      <c r="K26" s="78">
        <v>3</v>
      </c>
      <c r="L26" s="79" t="str">
        <f ca="1">IF(OR(TRIM(H22)="-",TRIM(H23)="-"), IF(TRIM(H22)="-",H23,H22),IF(AND(I22="",I23="")," ",IF(N(I22)=N(I23)," ",IF(N(I22)&gt;N(I23),H22,H23))))</f>
        <v>2 PLUK Jablonec - Lukáš Vojtěch</v>
      </c>
      <c r="M26" s="129" t="str">
        <f>VLOOKUP(K26,Postupy!$A$3:$AY$18,51,0)</f>
        <v/>
      </c>
      <c r="N26" s="26"/>
      <c r="O26" s="25"/>
      <c r="P26" s="15"/>
      <c r="Q26" s="15"/>
      <c r="R26" s="16"/>
      <c r="S26" s="16"/>
      <c r="T26" s="16"/>
      <c r="U26" s="16"/>
      <c r="V26" s="16"/>
      <c r="W26" s="16"/>
      <c r="X26" s="16"/>
      <c r="Y26" s="16"/>
      <c r="Z26" s="16"/>
      <c r="AA26" s="16"/>
    </row>
    <row r="27" spans="1:29" ht="18.899999999999999" thickTop="1" thickBot="1" x14ac:dyDescent="0.5">
      <c r="A27" s="75"/>
      <c r="B27" s="31"/>
      <c r="C27" s="16"/>
      <c r="D27" s="296" t="s">
        <v>1680</v>
      </c>
      <c r="E27" s="297">
        <v>6</v>
      </c>
      <c r="F27" s="16"/>
      <c r="G27" s="16"/>
      <c r="H27" s="48"/>
      <c r="I27" s="17"/>
      <c r="J27" s="17"/>
      <c r="K27" s="80">
        <v>2</v>
      </c>
      <c r="L27" s="81" t="str">
        <f ca="1">IF(OR(TRIM(H30)="-",TRIM(H31)="-"), IF(TRIM(H30)="-",H31,H30),IF(AND(I30="",I31="")," ",IF(N(I30)=N(I31)," ",IF(N(I30)&gt;N(I31),H30,H31))))</f>
        <v>14 PC Sokol Lipník - Morávek Petr</v>
      </c>
      <c r="M27" s="130">
        <v>1</v>
      </c>
      <c r="N27" s="27"/>
      <c r="O27" s="16"/>
      <c r="P27" s="16"/>
      <c r="Q27" s="16"/>
      <c r="R27" s="16"/>
      <c r="S27" s="16"/>
      <c r="T27" s="16"/>
      <c r="U27" s="16"/>
      <c r="V27" s="16"/>
      <c r="W27" s="16"/>
      <c r="X27" s="16"/>
      <c r="Y27" s="16"/>
      <c r="Z27" s="16"/>
      <c r="AA27" s="16"/>
    </row>
    <row r="28" spans="1:29" ht="18" thickBot="1" x14ac:dyDescent="0.45">
      <c r="A28" s="86">
        <f ca="1">VLOOKUP(C28,Postupy!$A$3:$C$18,3,0)</f>
        <v>14</v>
      </c>
      <c r="B28" s="16"/>
      <c r="C28" s="78">
        <v>7</v>
      </c>
      <c r="D28" s="253" t="str">
        <f ca="1">VLOOKUP(C28,Postupy!$A$3:$AT$18,46,0)</f>
        <v>14 PC Sokol Lipník - Morávek Petr</v>
      </c>
      <c r="E28" s="129">
        <v>1</v>
      </c>
      <c r="F28" s="19"/>
      <c r="G28" s="16"/>
      <c r="H28" s="48"/>
      <c r="I28" s="17"/>
      <c r="J28" s="23"/>
      <c r="K28" s="15"/>
      <c r="L28" s="33"/>
      <c r="M28" s="15"/>
      <c r="N28" s="16"/>
      <c r="O28" s="16"/>
      <c r="P28" s="16"/>
      <c r="Q28" s="16"/>
      <c r="R28" s="16"/>
      <c r="S28" s="16"/>
      <c r="T28" s="16"/>
      <c r="U28" s="16"/>
      <c r="V28" s="16"/>
      <c r="W28" s="16"/>
      <c r="X28" s="16"/>
      <c r="Y28" s="16"/>
      <c r="Z28" s="16"/>
      <c r="AA28" s="16"/>
    </row>
    <row r="29" spans="1:29" ht="18.899999999999999" thickTop="1" thickBot="1" x14ac:dyDescent="0.5">
      <c r="A29" s="86">
        <f ca="1">VLOOKUP(C29,Postupy!$A$3:$C$18,3,0)</f>
        <v>12</v>
      </c>
      <c r="B29" s="16"/>
      <c r="C29" s="80">
        <v>10</v>
      </c>
      <c r="D29" s="253" t="str">
        <f ca="1">VLOOKUP(C29,Postupy!$A$3:$AT$18,46,0)</f>
        <v>12 PC Mimo Done - Heller Jan</v>
      </c>
      <c r="E29" s="130" t="str">
        <f>VLOOKUP(C29,Postupy!$A$3:$AU$18,47,0)</f>
        <v/>
      </c>
      <c r="F29" s="20"/>
      <c r="G29" s="25"/>
      <c r="H29" s="296" t="s">
        <v>1680</v>
      </c>
      <c r="I29" s="297">
        <v>1</v>
      </c>
      <c r="J29" s="23"/>
      <c r="K29" s="15"/>
      <c r="L29" s="33"/>
      <c r="M29" s="15"/>
      <c r="N29" s="16"/>
      <c r="O29" s="149"/>
      <c r="P29" s="210" t="s">
        <v>1682</v>
      </c>
      <c r="Q29" s="149"/>
      <c r="R29" s="149"/>
      <c r="S29" s="149"/>
      <c r="T29" s="16"/>
      <c r="U29" s="16"/>
      <c r="V29" s="16"/>
      <c r="W29" s="16"/>
      <c r="X29" s="16"/>
      <c r="Y29" s="16"/>
      <c r="Z29" s="16"/>
      <c r="AA29" s="16"/>
    </row>
    <row r="30" spans="1:29" ht="18" thickBot="1" x14ac:dyDescent="0.45">
      <c r="A30" s="76"/>
      <c r="B30" s="21"/>
      <c r="C30" s="16"/>
      <c r="D30" s="46"/>
      <c r="E30" s="16"/>
      <c r="F30" s="16"/>
      <c r="G30" s="78">
        <v>7</v>
      </c>
      <c r="H30" s="79" t="str">
        <f ca="1">IF(OR(TRIM(D28)="-",TRIM(D29)="-"), IF(TRIM(D28)="-",D29,D28),IF(AND(E28="",E29="")," ",IF(N(E28)=N(E29)," ",IF(N(E28)&gt;N(E29),D28,D29))))</f>
        <v>14 PC Sokol Lipník - Morávek Petr</v>
      </c>
      <c r="I30" s="129">
        <v>1</v>
      </c>
      <c r="J30" s="26"/>
      <c r="K30" s="16"/>
      <c r="L30" s="33"/>
      <c r="M30" s="16"/>
      <c r="N30" s="16"/>
      <c r="O30" s="149"/>
      <c r="P30" s="211" t="s">
        <v>1683</v>
      </c>
      <c r="Q30" s="149"/>
      <c r="R30" s="149"/>
      <c r="S30" s="149"/>
      <c r="T30" s="16"/>
      <c r="U30" s="16"/>
      <c r="V30" s="16"/>
      <c r="W30" s="16"/>
      <c r="X30" s="16"/>
      <c r="Y30" s="16"/>
      <c r="Z30" s="16"/>
      <c r="AA30" s="16"/>
      <c r="AB30" s="16"/>
      <c r="AC30" s="16"/>
    </row>
    <row r="31" spans="1:29" ht="18.899999999999999" thickTop="1" thickBot="1" x14ac:dyDescent="0.5">
      <c r="A31" s="75"/>
      <c r="B31" s="31"/>
      <c r="C31" s="16"/>
      <c r="D31" s="296" t="s">
        <v>1680</v>
      </c>
      <c r="E31" s="297">
        <v>5</v>
      </c>
      <c r="F31" s="16"/>
      <c r="G31" s="80">
        <v>2</v>
      </c>
      <c r="H31" s="81" t="str">
        <f ca="1">IF(OR(TRIM(D32)="-",TRIM(D33)="-"), IF(TRIM(D32)="-",D33,D32),IF(AND(E32="",E33="")," ",IF(N(E32)=N(E33)," ",IF(N(E32)&gt;N(E33),D32,D33))))</f>
        <v>1 PC Sokol Lipník - Vavrovič ml. Petr</v>
      </c>
      <c r="I31" s="130" t="str">
        <f>VLOOKUP(G31,Postupy!$A$3:$AW$18,49,0)</f>
        <v/>
      </c>
      <c r="J31" s="27"/>
      <c r="K31" s="16"/>
      <c r="L31" s="33"/>
      <c r="M31" s="16"/>
      <c r="N31" s="16"/>
      <c r="O31" s="149"/>
      <c r="P31" s="296" t="s">
        <v>1680</v>
      </c>
      <c r="Q31" s="297" t="str">
        <f ca="1">IF(OR(TRIM(P32)="-",TRIM(P33)="-"),"",VLOOKUP(MIN(O32,O33),Hřiště!$B$11:$E$42,4,0))</f>
        <v/>
      </c>
      <c r="R31" s="149"/>
      <c r="S31" s="149"/>
      <c r="T31" s="16"/>
      <c r="U31" s="16"/>
      <c r="V31" s="16"/>
      <c r="W31" s="16"/>
      <c r="X31" s="16"/>
      <c r="Y31" s="16"/>
      <c r="Z31" s="16"/>
      <c r="AA31" s="16"/>
      <c r="AB31" s="16"/>
      <c r="AC31" s="16"/>
    </row>
    <row r="32" spans="1:29" ht="18.45" thickTop="1" thickBot="1" x14ac:dyDescent="0.45">
      <c r="A32" s="86">
        <f ca="1">VLOOKUP(C32,Postupy!$A$3:$C$18,3,0)</f>
        <v>44</v>
      </c>
      <c r="B32" s="16"/>
      <c r="C32" s="78">
        <v>15</v>
      </c>
      <c r="D32" s="253" t="str">
        <f ca="1">VLOOKUP(C32,Postupy!$A$3:$AT$18,46,0)</f>
        <v xml:space="preserve">44   - michael dánsko  </v>
      </c>
      <c r="E32" s="129" t="str">
        <f>VLOOKUP(C32,Postupy!$A$3:$AU$18,47,0)</f>
        <v/>
      </c>
      <c r="F32" s="26"/>
      <c r="G32" s="25"/>
      <c r="H32" s="33"/>
      <c r="I32" s="15"/>
      <c r="J32" s="16"/>
      <c r="K32" s="16"/>
      <c r="L32" s="16"/>
      <c r="M32" s="16"/>
      <c r="N32" s="16"/>
      <c r="O32" s="78">
        <v>4</v>
      </c>
      <c r="P32" s="79" t="str">
        <f ca="1">IF(OR(TRIM(L10)="-",TRIM(L11)="-"), IF(TRIM(L10)="-",L11,L10),IF(AND(M10="",M11="")," ",IF(N(M11)=N(M10)," ",IF(N(M11)&gt;N(M10),L10,L11))))</f>
        <v>5 CdP Loděnice - Dlouhá Ivana</v>
      </c>
      <c r="Q32" s="129" t="str">
        <f>VLOOKUP(O32,Postupy!$A$3:$BA$6,53,0)</f>
        <v/>
      </c>
      <c r="R32" s="163"/>
      <c r="S32" s="37">
        <v>3</v>
      </c>
      <c r="T32" s="98" t="str">
        <f>IF(AND(Q32="",Q33="")," ",IF(N(Q32)=N(Q33)," ",IF(N(Q32)&gt;N(Q33),P32,P33)))</f>
        <v xml:space="preserve"> </v>
      </c>
      <c r="U32" s="97">
        <v>3</v>
      </c>
      <c r="V32" s="16"/>
      <c r="W32" s="16"/>
      <c r="X32" s="16"/>
      <c r="Y32" s="16"/>
      <c r="Z32" s="16"/>
      <c r="AA32" s="16"/>
    </row>
    <row r="33" spans="1:27" ht="18.45" thickTop="1" thickBot="1" x14ac:dyDescent="0.45">
      <c r="A33" s="86">
        <f ca="1">VLOOKUP(C33,Postupy!$A$3:$C$18,3,0)</f>
        <v>1</v>
      </c>
      <c r="B33" s="16"/>
      <c r="C33" s="80">
        <v>2</v>
      </c>
      <c r="D33" s="253" t="str">
        <f ca="1">VLOOKUP(C33,Postupy!$A$3:$AT$18,46,0)</f>
        <v>1 PC Sokol Lipník - Vavrovič ml. Petr</v>
      </c>
      <c r="E33" s="130">
        <v>1</v>
      </c>
      <c r="F33" s="27"/>
      <c r="G33" s="16"/>
      <c r="H33" s="33"/>
      <c r="I33" s="16"/>
      <c r="J33" s="16"/>
      <c r="K33" s="16"/>
      <c r="L33" s="16"/>
      <c r="M33" s="16"/>
      <c r="N33" s="16"/>
      <c r="O33" s="80">
        <v>3</v>
      </c>
      <c r="P33" s="81" t="str">
        <f ca="1">IF(OR(TRIM(L26)="-",TRIM(L27)="-"), IF(TRIM(L26)="-",L27,L26),IF(AND(M26="",M27="")," ",IF(N(M27)=N(M26)," ",IF(N(M27)&gt;N(M26),L26,L27))))</f>
        <v>2 PLUK Jablonec - Lukáš Vojtěch</v>
      </c>
      <c r="Q33" s="130" t="str">
        <f>VLOOKUP(O33,Postupy!$A$3:$BA$6,53,0)</f>
        <v/>
      </c>
      <c r="R33" s="151"/>
      <c r="S33" s="37">
        <v>4</v>
      </c>
      <c r="T33" s="98" t="str">
        <f>IF(AND(Q32="",Q33="")," ",IF(N(Q33)=N(Q32)," ",IF(N(Q33)&gt;N(Q32),P32,P33)))</f>
        <v xml:space="preserve"> </v>
      </c>
      <c r="U33" s="97">
        <v>4</v>
      </c>
      <c r="V33" s="16"/>
      <c r="W33" s="16"/>
      <c r="X33" s="16"/>
      <c r="Y33" s="16"/>
      <c r="Z33" s="16"/>
      <c r="AA33" s="16"/>
    </row>
    <row r="34" spans="1:27" ht="12.45" thickTop="1" x14ac:dyDescent="0.4">
      <c r="A34" s="76"/>
      <c r="B34" s="55"/>
      <c r="C34" s="221">
        <f>SUM(C32:C33)</f>
        <v>17</v>
      </c>
      <c r="D34" s="184"/>
      <c r="E34" s="29"/>
      <c r="F34" s="16"/>
      <c r="G34" s="16"/>
      <c r="H34" s="32"/>
      <c r="I34" s="16"/>
      <c r="J34" s="16"/>
      <c r="K34" s="16"/>
      <c r="L34" s="16"/>
      <c r="M34" s="16"/>
      <c r="N34" s="16"/>
      <c r="O34" s="16"/>
      <c r="P34" s="16"/>
      <c r="Q34" s="16"/>
      <c r="R34" s="16"/>
      <c r="S34" s="17"/>
      <c r="T34" s="16"/>
      <c r="U34" s="16"/>
      <c r="V34" s="16"/>
      <c r="W34" s="16"/>
      <c r="X34" s="16"/>
      <c r="Y34" s="16"/>
      <c r="Z34" s="16"/>
      <c r="AA34" s="16"/>
    </row>
    <row r="35" spans="1:27" x14ac:dyDescent="0.4">
      <c r="A35" s="75"/>
      <c r="B35" s="55"/>
      <c r="C35" s="56"/>
      <c r="D35" s="17"/>
      <c r="E35" s="16"/>
      <c r="F35" s="16"/>
      <c r="G35" s="16"/>
      <c r="H35" s="35"/>
      <c r="I35" s="16"/>
      <c r="J35" s="16"/>
      <c r="K35" s="16"/>
      <c r="L35" s="16"/>
      <c r="M35" s="16"/>
      <c r="N35" s="16"/>
      <c r="O35" s="16"/>
      <c r="P35" s="16"/>
      <c r="Q35" s="16"/>
      <c r="R35" s="16"/>
      <c r="S35" s="17"/>
      <c r="T35" s="16"/>
      <c r="U35" s="16"/>
      <c r="V35" s="16"/>
      <c r="W35" s="16"/>
      <c r="X35" s="16"/>
      <c r="Y35" s="16"/>
      <c r="Z35" s="16"/>
      <c r="AA35" s="16"/>
    </row>
    <row r="36" spans="1:27" x14ac:dyDescent="0.4">
      <c r="A36" s="16"/>
      <c r="B36" s="21"/>
      <c r="C36" s="16"/>
      <c r="D36" s="16"/>
      <c r="E36" s="16"/>
      <c r="F36" s="16"/>
      <c r="G36" s="16"/>
      <c r="H36" s="16"/>
      <c r="I36" s="16"/>
      <c r="J36" s="16"/>
      <c r="K36" s="16"/>
      <c r="L36" s="16"/>
      <c r="M36" s="16"/>
      <c r="N36" s="16"/>
      <c r="O36" s="16"/>
      <c r="P36" s="16"/>
      <c r="Q36" s="16"/>
      <c r="R36" s="16"/>
      <c r="S36" s="17"/>
      <c r="T36" s="16"/>
      <c r="U36" s="16"/>
      <c r="V36" s="16"/>
      <c r="W36" s="16"/>
      <c r="X36" s="16"/>
      <c r="Y36" s="16"/>
      <c r="Z36" s="16"/>
      <c r="AA36" s="16"/>
    </row>
    <row r="37" spans="1:27" x14ac:dyDescent="0.4">
      <c r="A37" s="16"/>
      <c r="B37" s="21"/>
      <c r="C37" s="16"/>
      <c r="D37" s="16"/>
      <c r="E37" s="22"/>
      <c r="F37" s="16"/>
      <c r="G37" s="16"/>
      <c r="H37" s="16"/>
      <c r="I37" s="16"/>
      <c r="J37" s="16"/>
      <c r="K37" s="16"/>
      <c r="L37" s="16"/>
      <c r="M37" s="16"/>
      <c r="N37" s="16"/>
      <c r="O37" s="16"/>
      <c r="P37" s="16"/>
      <c r="Q37" s="16"/>
      <c r="R37" s="16"/>
      <c r="S37" s="17"/>
      <c r="T37" s="16"/>
      <c r="U37" s="16"/>
      <c r="V37" s="16"/>
      <c r="W37" s="16"/>
      <c r="X37" s="16"/>
      <c r="Y37" s="16"/>
      <c r="Z37" s="16"/>
      <c r="AA37" s="16"/>
    </row>
    <row r="38" spans="1:27" x14ac:dyDescent="0.4">
      <c r="A38" s="16"/>
      <c r="B38" s="21"/>
      <c r="C38" s="16"/>
      <c r="D38" s="17"/>
      <c r="E38" s="16"/>
      <c r="F38" s="16"/>
      <c r="G38" s="16"/>
      <c r="H38" s="16"/>
      <c r="I38" s="16"/>
      <c r="J38" s="16"/>
      <c r="K38" s="16"/>
      <c r="L38" s="16"/>
      <c r="M38" s="16"/>
      <c r="N38" s="16"/>
      <c r="O38" s="16"/>
      <c r="P38" s="16"/>
      <c r="Q38" s="16"/>
      <c r="R38" s="16"/>
      <c r="S38" s="17"/>
      <c r="T38" s="16"/>
      <c r="U38" s="16"/>
      <c r="V38" s="16"/>
      <c r="W38" s="16"/>
      <c r="X38" s="16"/>
      <c r="Y38" s="16"/>
      <c r="Z38" s="16"/>
      <c r="AA38" s="16"/>
    </row>
    <row r="39" spans="1:27" x14ac:dyDescent="0.4">
      <c r="A39" s="16"/>
      <c r="B39" s="21"/>
      <c r="C39" s="16"/>
      <c r="D39" s="17"/>
      <c r="E39" s="16"/>
      <c r="F39" s="16"/>
      <c r="G39" s="16"/>
      <c r="H39" s="16"/>
      <c r="I39" s="16"/>
      <c r="J39" s="16"/>
      <c r="K39" s="16"/>
      <c r="L39" s="16"/>
      <c r="M39" s="16"/>
      <c r="N39" s="16"/>
      <c r="O39" s="16"/>
      <c r="P39" s="16"/>
      <c r="Q39" s="16"/>
      <c r="R39" s="16"/>
      <c r="S39" s="17"/>
      <c r="T39" s="16"/>
      <c r="U39" s="16"/>
      <c r="V39" s="16"/>
      <c r="W39" s="16"/>
      <c r="X39" s="16"/>
      <c r="Y39" s="16"/>
      <c r="Z39" s="16"/>
      <c r="AA39" s="16"/>
    </row>
    <row r="40" spans="1:27" x14ac:dyDescent="0.4">
      <c r="A40" s="16"/>
      <c r="B40" s="21"/>
      <c r="C40" s="16"/>
      <c r="D40" s="17"/>
      <c r="E40" s="16"/>
      <c r="F40" s="16"/>
      <c r="G40" s="16"/>
      <c r="H40" s="16"/>
      <c r="I40" s="16"/>
      <c r="J40" s="16"/>
      <c r="K40" s="16"/>
      <c r="L40" s="16"/>
      <c r="M40" s="16"/>
      <c r="N40" s="16"/>
      <c r="O40" s="16"/>
      <c r="P40" s="16"/>
      <c r="Q40" s="16"/>
      <c r="R40" s="16"/>
      <c r="S40" s="17"/>
      <c r="T40" s="16"/>
      <c r="U40" s="16"/>
      <c r="V40" s="16"/>
      <c r="W40" s="16"/>
      <c r="X40" s="16"/>
      <c r="Y40" s="16"/>
      <c r="Z40" s="16"/>
      <c r="AA40" s="16"/>
    </row>
    <row r="41" spans="1:27" x14ac:dyDescent="0.4">
      <c r="A41" s="16"/>
      <c r="B41" s="21"/>
      <c r="C41" s="16"/>
      <c r="D41" s="17"/>
      <c r="E41" s="16"/>
      <c r="F41" s="16"/>
      <c r="G41" s="16"/>
      <c r="H41" s="16"/>
      <c r="I41" s="16"/>
      <c r="J41" s="16"/>
      <c r="K41" s="16"/>
      <c r="L41" s="16"/>
      <c r="M41" s="16"/>
      <c r="N41" s="16"/>
      <c r="O41" s="16"/>
      <c r="P41" s="16"/>
      <c r="Q41" s="16"/>
      <c r="R41" s="16"/>
      <c r="S41" s="17"/>
      <c r="T41" s="16"/>
      <c r="U41" s="16"/>
      <c r="V41" s="16"/>
      <c r="W41" s="16"/>
      <c r="X41" s="16"/>
      <c r="Y41" s="16"/>
      <c r="Z41" s="16"/>
      <c r="AA41" s="16"/>
    </row>
    <row r="42" spans="1:27" x14ac:dyDescent="0.4">
      <c r="A42" s="16"/>
      <c r="B42" s="21"/>
      <c r="C42" s="16"/>
      <c r="D42" s="17"/>
      <c r="E42" s="16"/>
      <c r="F42" s="16"/>
      <c r="G42" s="16"/>
      <c r="H42" s="16"/>
      <c r="I42" s="16"/>
      <c r="J42" s="16"/>
      <c r="K42" s="16"/>
      <c r="L42" s="16"/>
      <c r="M42" s="16"/>
      <c r="N42" s="16"/>
      <c r="O42" s="16"/>
      <c r="P42" s="16"/>
      <c r="Q42" s="16"/>
      <c r="R42" s="16"/>
      <c r="S42" s="17"/>
      <c r="T42" s="16"/>
      <c r="U42" s="16"/>
      <c r="V42" s="16"/>
      <c r="W42" s="16"/>
      <c r="X42" s="16"/>
      <c r="Y42" s="16"/>
      <c r="Z42" s="16"/>
      <c r="AA42" s="16"/>
    </row>
    <row r="43" spans="1:27" x14ac:dyDescent="0.4">
      <c r="A43" s="16"/>
      <c r="B43" s="21"/>
      <c r="C43" s="16"/>
      <c r="D43" s="17"/>
      <c r="E43" s="16"/>
      <c r="F43" s="16"/>
      <c r="G43" s="16"/>
      <c r="H43" s="16"/>
      <c r="I43" s="16"/>
      <c r="J43" s="16"/>
      <c r="K43" s="16"/>
      <c r="L43" s="16"/>
      <c r="M43" s="16"/>
      <c r="N43" s="16"/>
      <c r="O43" s="16"/>
      <c r="P43" s="16"/>
      <c r="Q43" s="16"/>
      <c r="R43" s="16"/>
      <c r="S43" s="17"/>
      <c r="T43" s="16"/>
      <c r="U43" s="16"/>
      <c r="V43" s="16"/>
      <c r="W43" s="16"/>
      <c r="X43" s="16"/>
      <c r="Y43" s="16"/>
      <c r="Z43" s="16"/>
      <c r="AA43" s="16"/>
    </row>
    <row r="44" spans="1:27" x14ac:dyDescent="0.4">
      <c r="A44" s="16"/>
      <c r="B44" s="21"/>
      <c r="C44" s="16"/>
      <c r="D44" s="17"/>
      <c r="E44" s="16"/>
      <c r="F44" s="16"/>
      <c r="G44" s="16"/>
      <c r="H44" s="16"/>
      <c r="I44" s="16"/>
      <c r="J44" s="16"/>
      <c r="K44" s="16"/>
      <c r="L44" s="16"/>
      <c r="M44" s="16"/>
      <c r="N44" s="16"/>
      <c r="O44" s="16"/>
      <c r="P44" s="16"/>
      <c r="Q44" s="16"/>
      <c r="R44" s="16"/>
      <c r="S44" s="17"/>
      <c r="T44" s="16"/>
      <c r="U44" s="16"/>
      <c r="V44" s="16"/>
      <c r="W44" s="16"/>
      <c r="X44" s="16"/>
      <c r="Y44" s="16"/>
      <c r="Z44" s="16"/>
      <c r="AA44" s="16"/>
    </row>
    <row r="45" spans="1:27" x14ac:dyDescent="0.4">
      <c r="A45" s="16"/>
      <c r="B45" s="21"/>
      <c r="C45" s="16"/>
      <c r="D45" s="17"/>
      <c r="E45" s="16"/>
      <c r="F45" s="16"/>
      <c r="G45" s="16"/>
      <c r="H45" s="16"/>
      <c r="I45" s="16"/>
      <c r="J45" s="16"/>
      <c r="K45" s="16"/>
      <c r="L45" s="16"/>
      <c r="M45" s="16"/>
      <c r="N45" s="16"/>
      <c r="O45" s="16"/>
      <c r="P45" s="16"/>
      <c r="Q45" s="16"/>
      <c r="R45" s="16"/>
      <c r="S45" s="17"/>
      <c r="T45" s="16"/>
      <c r="U45" s="16"/>
      <c r="V45" s="16"/>
      <c r="W45" s="16"/>
      <c r="X45" s="16"/>
      <c r="Y45" s="16"/>
      <c r="Z45" s="16"/>
      <c r="AA45" s="16"/>
    </row>
    <row r="46" spans="1:27" x14ac:dyDescent="0.4">
      <c r="A46" s="16"/>
      <c r="B46" s="21"/>
      <c r="C46" s="16"/>
      <c r="D46" s="17"/>
      <c r="E46" s="16"/>
      <c r="F46" s="16"/>
      <c r="G46" s="16"/>
      <c r="H46" s="16"/>
      <c r="I46" s="16"/>
      <c r="J46" s="16"/>
      <c r="K46" s="16"/>
      <c r="L46" s="16"/>
      <c r="M46" s="16"/>
      <c r="N46" s="16"/>
      <c r="O46" s="16"/>
      <c r="P46" s="16"/>
      <c r="Q46" s="16"/>
      <c r="R46" s="16"/>
      <c r="S46" s="17"/>
      <c r="T46" s="16"/>
      <c r="U46" s="16"/>
      <c r="V46" s="16"/>
      <c r="W46" s="16"/>
      <c r="X46" s="16"/>
      <c r="Y46" s="16"/>
      <c r="Z46" s="16"/>
      <c r="AA46" s="16"/>
    </row>
    <row r="47" spans="1:27" x14ac:dyDescent="0.4">
      <c r="A47" s="16"/>
      <c r="B47" s="21"/>
      <c r="C47" s="16"/>
      <c r="D47" s="17"/>
      <c r="E47" s="16"/>
      <c r="F47" s="16"/>
      <c r="G47" s="16"/>
      <c r="H47" s="16"/>
      <c r="I47" s="16"/>
      <c r="J47" s="16"/>
      <c r="K47" s="16"/>
      <c r="L47" s="16"/>
      <c r="M47" s="16"/>
      <c r="N47" s="16"/>
      <c r="O47" s="16"/>
      <c r="P47" s="16"/>
      <c r="Q47" s="16"/>
      <c r="R47" s="16"/>
      <c r="S47" s="17"/>
      <c r="T47" s="16"/>
      <c r="U47" s="16"/>
      <c r="V47" s="16"/>
      <c r="W47" s="16"/>
      <c r="X47" s="16"/>
      <c r="Y47" s="16"/>
      <c r="Z47" s="16"/>
      <c r="AA47" s="16"/>
    </row>
    <row r="48" spans="1:27" x14ac:dyDescent="0.4">
      <c r="A48" s="16"/>
      <c r="B48" s="21"/>
      <c r="C48" s="16"/>
      <c r="D48" s="17"/>
      <c r="E48" s="16"/>
      <c r="F48" s="16"/>
      <c r="G48" s="16"/>
      <c r="H48" s="16"/>
      <c r="I48" s="16"/>
      <c r="J48" s="16"/>
      <c r="K48" s="16"/>
      <c r="L48" s="16"/>
      <c r="M48" s="16"/>
      <c r="N48" s="16"/>
      <c r="O48" s="16"/>
      <c r="P48" s="16"/>
      <c r="Q48" s="16"/>
      <c r="R48" s="16"/>
      <c r="S48" s="17"/>
      <c r="T48" s="16"/>
      <c r="U48" s="16"/>
      <c r="V48" s="16"/>
      <c r="W48" s="16"/>
      <c r="X48" s="16"/>
      <c r="Y48" s="16"/>
      <c r="Z48" s="16"/>
      <c r="AA48" s="16"/>
    </row>
    <row r="49" spans="1:27" x14ac:dyDescent="0.4">
      <c r="A49" s="16"/>
      <c r="B49" s="21"/>
      <c r="C49" s="16"/>
      <c r="D49" s="17"/>
      <c r="E49" s="16"/>
      <c r="F49" s="16"/>
      <c r="G49" s="16"/>
      <c r="H49" s="16"/>
      <c r="I49" s="16"/>
      <c r="J49" s="16"/>
      <c r="K49" s="16"/>
      <c r="L49" s="16"/>
      <c r="M49" s="16"/>
      <c r="N49" s="16"/>
      <c r="O49" s="16"/>
      <c r="P49" s="16"/>
      <c r="Q49" s="16"/>
      <c r="R49" s="16"/>
      <c r="S49" s="17"/>
      <c r="T49" s="16"/>
      <c r="U49" s="16"/>
      <c r="V49" s="16"/>
      <c r="W49" s="16"/>
      <c r="X49" s="16"/>
      <c r="Y49" s="16"/>
      <c r="Z49" s="16"/>
      <c r="AA49" s="16"/>
    </row>
    <row r="50" spans="1:27" x14ac:dyDescent="0.4">
      <c r="A50" s="16"/>
      <c r="B50" s="21"/>
      <c r="C50" s="16"/>
      <c r="D50" s="17"/>
      <c r="E50" s="16"/>
      <c r="F50" s="16"/>
      <c r="G50" s="16"/>
      <c r="H50" s="16"/>
      <c r="I50" s="16"/>
      <c r="J50" s="16"/>
      <c r="K50" s="16"/>
      <c r="L50" s="16"/>
      <c r="M50" s="16"/>
      <c r="N50" s="16"/>
      <c r="O50" s="16"/>
      <c r="P50" s="16"/>
      <c r="Q50" s="16"/>
      <c r="R50" s="16"/>
      <c r="S50" s="17"/>
      <c r="T50" s="16"/>
      <c r="U50" s="16"/>
      <c r="V50" s="16"/>
      <c r="W50" s="16"/>
      <c r="X50" s="16"/>
      <c r="Y50" s="16"/>
      <c r="Z50" s="16"/>
      <c r="AA50" s="16"/>
    </row>
    <row r="51" spans="1:27" x14ac:dyDescent="0.4">
      <c r="A51" s="16"/>
      <c r="B51" s="21"/>
      <c r="C51" s="16"/>
      <c r="D51" s="17"/>
      <c r="E51" s="16"/>
      <c r="F51" s="16"/>
      <c r="G51" s="16"/>
      <c r="H51" s="16"/>
      <c r="I51" s="16"/>
      <c r="J51" s="16"/>
      <c r="K51" s="16"/>
      <c r="L51" s="16"/>
      <c r="M51" s="16"/>
      <c r="N51" s="16"/>
      <c r="O51" s="16"/>
      <c r="P51" s="16"/>
      <c r="Q51" s="16"/>
      <c r="R51" s="16"/>
      <c r="S51" s="17"/>
      <c r="T51" s="16"/>
      <c r="U51" s="16"/>
      <c r="V51" s="16"/>
      <c r="W51" s="16"/>
      <c r="X51" s="16"/>
      <c r="Y51" s="16"/>
      <c r="Z51" s="16"/>
      <c r="AA51" s="16"/>
    </row>
  </sheetData>
  <sheetProtection password="CA1B" sheet="1" formatCells="0" formatColumns="0" formatRows="0"/>
  <phoneticPr fontId="0" type="noConversion"/>
  <conditionalFormatting sqref="D16 D12 H22 P32 D4 D8 D20 D28 H6 H14 L26 H30 L10 P18 D24 D32">
    <cfRule type="expression" dxfId="33" priority="1" stopIfTrue="1">
      <formula>IF(N(E4)&gt;N(E5),TRUE,FALSE)</formula>
    </cfRule>
  </conditionalFormatting>
  <conditionalFormatting sqref="C4 K26 C8 C12 C16 C20 C24 C28 C32 G6 G14 G22 G30 K10 O18 O32">
    <cfRule type="expression" dxfId="32" priority="2" stopIfTrue="1">
      <formula>IF(N(E4)&gt;N(E5),TRUE,FALSE)</formula>
    </cfRule>
  </conditionalFormatting>
  <conditionalFormatting sqref="M26 M10 I14 E4 Q18 E8 E12 E16 E20 I30 I22 E28 E24 I6 E32 Q32">
    <cfRule type="expression" dxfId="31" priority="3" stopIfTrue="1">
      <formula>IF(N(E4)&gt;N(E5),TRUE,FALSE)</formula>
    </cfRule>
  </conditionalFormatting>
  <conditionalFormatting sqref="C5 K27 C9 C13 C17 C21 C25 C29 C33 G7 G15 G23 G31 K11 O19 O33">
    <cfRule type="expression" dxfId="30" priority="4" stopIfTrue="1">
      <formula>IF(N(E5)&gt;N(E4),TRUE,FALSE)</formula>
    </cfRule>
  </conditionalFormatting>
  <conditionalFormatting sqref="H15 H7 P19 L11 H31 L27 P33 H23">
    <cfRule type="expression" dxfId="29" priority="5" stopIfTrue="1">
      <formula>IF(N(I7)&gt;N(I6),TRUE,FALSE)</formula>
    </cfRule>
  </conditionalFormatting>
  <conditionalFormatting sqref="M27 M11 I15 E5 Q19 E9 E13 E17 E21 I31 I23 E29 E25 I7 E33 Q33">
    <cfRule type="expression" dxfId="28" priority="6" stopIfTrue="1">
      <formula>IF(N(E5)&gt;N(E4),TRUE,FALSE)</formula>
    </cfRule>
  </conditionalFormatting>
  <conditionalFormatting sqref="D5 D9 D13 D17 D21 D25 D29 D33">
    <cfRule type="expression" dxfId="27" priority="7" stopIfTrue="1">
      <formula>IF(N(E5)&gt;N(E4),TRUE,FALSE)</formula>
    </cfRule>
  </conditionalFormatting>
  <pageMargins left="0.78740157499999996" right="0.78740157499999996" top="0.17" bottom="0.14000000000000001" header="0.4921259845" footer="0.4921259845"/>
  <pageSetup paperSize="8"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7650" r:id="rId4" name="Button 2">
              <controlPr defaultSize="0" print="0" autoFill="0" autoPict="0" macro="[0]!BezHrist">
                <anchor moveWithCells="1">
                  <from>
                    <xdr:col>11</xdr:col>
                    <xdr:colOff>250371</xdr:colOff>
                    <xdr:row>4</xdr:row>
                    <xdr:rowOff>27214</xdr:rowOff>
                  </from>
                  <to>
                    <xdr:col>11</xdr:col>
                    <xdr:colOff>1447800</xdr:colOff>
                    <xdr:row>6</xdr:row>
                    <xdr:rowOff>97971</xdr:rowOff>
                  </to>
                </anchor>
              </controlPr>
            </control>
          </mc:Choice>
        </mc:AlternateContent>
        <mc:AlternateContent xmlns:mc="http://schemas.openxmlformats.org/markup-compatibility/2006">
          <mc:Choice Requires="x14">
            <control shapeId="27651" r:id="rId5" name="Button 3">
              <controlPr defaultSize="0" print="0" autoFill="0" autoPict="0" macro="[0]!Hriste8">
                <anchor moveWithCells="1">
                  <from>
                    <xdr:col>7</xdr:col>
                    <xdr:colOff>250371</xdr:colOff>
                    <xdr:row>2</xdr:row>
                    <xdr:rowOff>103414</xdr:rowOff>
                  </from>
                  <to>
                    <xdr:col>7</xdr:col>
                    <xdr:colOff>1447800</xdr:colOff>
                    <xdr:row>4</xdr:row>
                    <xdr:rowOff>59871</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List25">
    <pageSetUpPr fitToPage="1"/>
  </sheetPr>
  <dimension ref="A1:AD57"/>
  <sheetViews>
    <sheetView topLeftCell="B1" workbookViewId="0">
      <pane xSplit="3" ySplit="3" topLeftCell="E4" activePane="bottomRight" state="frozen"/>
      <selection pane="topRight" activeCell="G8" sqref="G8"/>
      <selection pane="bottomLeft" activeCell="G8" sqref="G8"/>
      <selection pane="bottomRight" activeCell="E4" sqref="E4"/>
    </sheetView>
  </sheetViews>
  <sheetFormatPr defaultRowHeight="12" x14ac:dyDescent="0.4"/>
  <cols>
    <col min="1" max="1" width="6.4140625" hidden="1" customWidth="1"/>
    <col min="2" max="2" width="1.75" customWidth="1"/>
    <col min="3" max="3" width="5.4140625" customWidth="1"/>
    <col min="4" max="4" width="28.4140625" customWidth="1"/>
    <col min="5" max="5" width="5" customWidth="1"/>
    <col min="6" max="6" width="2.4140625" customWidth="1"/>
    <col min="7" max="7" width="0.4140625" customWidth="1"/>
    <col min="8" max="8" width="28.4140625" customWidth="1"/>
    <col min="9" max="9" width="5" customWidth="1"/>
    <col min="10" max="10" width="2.4140625" customWidth="1"/>
    <col min="11" max="11" width="0.4140625" customWidth="1"/>
    <col min="12" max="12" width="28.4140625" customWidth="1"/>
    <col min="13" max="13" width="5" customWidth="1"/>
    <col min="14" max="14" width="2.4140625" customWidth="1"/>
    <col min="15" max="15" width="0.4140625" customWidth="1"/>
    <col min="16" max="16" width="22.83203125" customWidth="1"/>
    <col min="17" max="17" width="5" customWidth="1"/>
    <col min="18" max="18" width="2.4140625" customWidth="1"/>
    <col min="19" max="19" width="5.4140625" customWidth="1"/>
    <col min="20" max="20" width="25.4140625" customWidth="1"/>
    <col min="21" max="21" width="5" customWidth="1"/>
  </cols>
  <sheetData>
    <row r="1" spans="1:30" ht="12.45" thickBot="1" x14ac:dyDescent="0.45">
      <c r="A1" s="257"/>
      <c r="B1" s="27"/>
      <c r="C1" s="54"/>
      <c r="D1" s="54"/>
      <c r="E1" s="54"/>
      <c r="F1" s="54"/>
      <c r="G1" s="54"/>
      <c r="H1" s="54"/>
      <c r="I1" s="54"/>
      <c r="J1" s="54"/>
      <c r="K1" s="54"/>
      <c r="L1" s="54"/>
      <c r="M1" s="54"/>
      <c r="N1" s="54"/>
      <c r="O1" s="54"/>
      <c r="P1" s="54"/>
      <c r="R1" s="16"/>
      <c r="S1" s="16"/>
      <c r="T1" s="16"/>
      <c r="U1" s="16"/>
      <c r="V1" s="15"/>
      <c r="W1" s="16"/>
      <c r="X1" s="16"/>
      <c r="Y1" s="16"/>
      <c r="Z1" s="15"/>
      <c r="AA1" s="16"/>
    </row>
    <row r="2" spans="1:30" ht="32.5" customHeight="1" thickBot="1" x14ac:dyDescent="1.1000000000000001">
      <c r="A2" s="50"/>
      <c r="B2" s="21"/>
      <c r="C2" s="50"/>
      <c r="D2" s="132" t="s">
        <v>1684</v>
      </c>
      <c r="E2" s="15"/>
      <c r="F2" s="16"/>
      <c r="G2" s="16"/>
      <c r="H2" s="16"/>
      <c r="I2" s="16"/>
      <c r="J2" s="16"/>
      <c r="K2" s="16"/>
      <c r="L2" s="16"/>
      <c r="M2" s="16"/>
      <c r="N2" s="16"/>
      <c r="O2" s="16"/>
      <c r="P2" s="16"/>
      <c r="Q2" s="16"/>
      <c r="R2" s="16"/>
      <c r="S2" s="16"/>
      <c r="T2" s="16"/>
      <c r="U2" s="16"/>
      <c r="V2" s="15"/>
      <c r="W2" s="16"/>
      <c r="X2" s="16"/>
      <c r="Y2" s="16"/>
      <c r="Z2" s="15"/>
      <c r="AA2" s="16"/>
    </row>
    <row r="3" spans="1:30" ht="28.95" customHeight="1" thickBot="1" x14ac:dyDescent="0.55000000000000004">
      <c r="A3" s="16"/>
      <c r="B3" s="31"/>
      <c r="C3" s="52"/>
      <c r="D3" s="296" t="s">
        <v>1680</v>
      </c>
      <c r="E3" s="297" t="str">
        <f ca="1">IF(OR(TRIM(D4)="-",TRIM(D5)="-"),"",VLOOKUP(MIN(C4,C5),Hřiště!$B$11:$E$42,4,0))</f>
        <v/>
      </c>
      <c r="F3" s="94"/>
      <c r="G3" s="95"/>
      <c r="H3" s="93"/>
      <c r="I3" s="96"/>
      <c r="J3" s="94"/>
      <c r="K3" s="94"/>
      <c r="L3" s="93"/>
      <c r="M3" s="96"/>
      <c r="N3" s="94"/>
      <c r="O3" s="94"/>
      <c r="P3" s="93"/>
      <c r="Q3" s="53"/>
      <c r="R3" s="16"/>
      <c r="S3" s="16"/>
      <c r="T3" s="16"/>
      <c r="U3" s="16"/>
      <c r="V3" s="15"/>
      <c r="W3" s="16"/>
      <c r="X3" s="16"/>
      <c r="Y3" s="16"/>
      <c r="Z3" s="15"/>
      <c r="AA3" s="16"/>
    </row>
    <row r="4" spans="1:30" ht="18" thickBot="1" x14ac:dyDescent="0.45">
      <c r="A4" s="86">
        <f ca="1">VLOOKUP(C4,Postupy!$A$3:$C$34,3,0)</f>
        <v>24</v>
      </c>
      <c r="B4" s="21"/>
      <c r="C4" s="78">
        <v>16</v>
      </c>
      <c r="D4" s="253" t="str">
        <f ca="1">IF(OR(TRIM('KO16'!D4)="-",TRIM('KO16'!D5)="-"), IF(TRIM('KO16'!D4)="-",'KO16'!D4,'KO16'!D5),IF(AND('KO16'!E4="",'KO16'!E5="")," ",IF(N('KO16'!E4)=N('KO16'!E5)," ",IF(N('KO16'!E4)&gt;N('KO16'!E5),'KO16'!D5,'KO16'!D4))))</f>
        <v>24 SK Pétanque Řepy - Váňová Věra</v>
      </c>
      <c r="E4" s="129"/>
      <c r="F4" s="19"/>
      <c r="G4" s="16"/>
      <c r="H4" s="36"/>
      <c r="I4" s="205"/>
      <c r="J4" s="16"/>
      <c r="K4" s="16"/>
      <c r="L4" s="33"/>
      <c r="M4" s="205"/>
      <c r="N4" s="16"/>
      <c r="O4" s="16"/>
      <c r="P4" s="16"/>
      <c r="Q4" s="16"/>
      <c r="R4" s="16"/>
      <c r="S4" s="16"/>
      <c r="T4" s="17"/>
      <c r="U4" s="16"/>
      <c r="V4" s="16"/>
      <c r="W4" s="16"/>
      <c r="X4" s="16"/>
      <c r="Y4" s="16"/>
      <c r="Z4" s="16"/>
      <c r="AA4" s="16"/>
      <c r="AB4" s="16"/>
    </row>
    <row r="5" spans="1:30" ht="18.899999999999999" thickTop="1" thickBot="1" x14ac:dyDescent="0.5">
      <c r="A5" s="86">
        <f ca="1">VLOOKUP(C5,Postupy!$A$3:$C$34,3,0)</f>
        <v>34</v>
      </c>
      <c r="B5" s="31"/>
      <c r="C5" s="80">
        <v>9</v>
      </c>
      <c r="D5" s="254" t="str">
        <f ca="1">IF(OR(TRIM('KO16'!D8)="-",TRIM('KO16'!D9)="-"), IF(TRIM('KO16'!D8)="-",'KO16'!D8,'KO16'!D9),IF(AND('KO16'!E8="",'KO16'!E9="")," ",IF(N('KO16'!E8)=N('KO16'!E9)," ",IF(N('KO16'!E8)&gt;N('KO16'!E9),'KO16'!D9,'KO16'!D8))))</f>
        <v>34 1. KPK Vrchlabí - Šebek Viktor</v>
      </c>
      <c r="E5" s="130"/>
      <c r="F5" s="20"/>
      <c r="G5" s="25"/>
      <c r="H5" s="296" t="s">
        <v>1680</v>
      </c>
      <c r="I5" s="297" t="str">
        <f ca="1">IF(OR(TRIM(H6)="-",TRIM(H7)="-"),"",VLOOKUP(MIN(G6,G7),Hřiště!$B$11:$E$42,4,0))</f>
        <v/>
      </c>
      <c r="J5" s="16"/>
      <c r="K5" s="16"/>
      <c r="L5" s="33"/>
      <c r="M5" s="205"/>
      <c r="N5" s="16"/>
      <c r="O5" s="16"/>
      <c r="P5" s="16"/>
      <c r="Q5" s="16"/>
      <c r="R5" s="16"/>
      <c r="S5" s="16"/>
      <c r="T5" s="17"/>
      <c r="U5" s="16"/>
      <c r="V5" s="16"/>
      <c r="W5" s="16"/>
      <c r="X5" s="16"/>
      <c r="Y5" s="16"/>
      <c r="Z5" s="16"/>
      <c r="AA5" s="16"/>
      <c r="AB5" s="16"/>
    </row>
    <row r="6" spans="1:30" ht="18" thickBot="1" x14ac:dyDescent="0.45">
      <c r="A6" s="76"/>
      <c r="B6" s="21"/>
      <c r="C6" s="16"/>
      <c r="D6" s="46"/>
      <c r="E6" s="205"/>
      <c r="F6" s="16"/>
      <c r="G6" s="78">
        <v>9</v>
      </c>
      <c r="H6" s="79" t="str">
        <f ca="1">IF(OR(TRIM(D4)="-",TRIM(D5)="-"), IF(TRIM(D4)="-",D5,D4),IF(AND(E4="",E5="")," ",IF(N(E4)=N(E5)," ",IF(N(E4)&gt;N(E5),D4,D5))))</f>
        <v xml:space="preserve"> </v>
      </c>
      <c r="I6" s="129"/>
      <c r="J6" s="19"/>
      <c r="K6" s="15"/>
      <c r="L6" s="34"/>
      <c r="M6" s="206"/>
      <c r="N6" s="16"/>
      <c r="O6" s="16"/>
      <c r="P6" s="16"/>
      <c r="Q6" s="16"/>
      <c r="R6" s="16"/>
      <c r="S6" s="16"/>
      <c r="T6" s="16"/>
      <c r="U6" s="16"/>
      <c r="V6" s="15"/>
      <c r="W6" s="16"/>
      <c r="X6" s="16"/>
      <c r="Y6" s="16"/>
      <c r="Z6" s="15"/>
      <c r="AA6" s="16"/>
      <c r="AB6" s="16"/>
      <c r="AC6" s="16"/>
      <c r="AD6" s="17"/>
    </row>
    <row r="7" spans="1:30" ht="18.899999999999999" thickTop="1" thickBot="1" x14ac:dyDescent="0.5">
      <c r="A7" s="75"/>
      <c r="B7" s="31"/>
      <c r="C7" s="16"/>
      <c r="D7" s="296" t="s">
        <v>1680</v>
      </c>
      <c r="E7" s="297" t="str">
        <f ca="1">IF(OR(TRIM(D8)="-",TRIM(D9)="-"),"",VLOOKUP(MIN(C8,C9),Hřiště!$B$11:$E$42,4,0))</f>
        <v/>
      </c>
      <c r="F7" s="16"/>
      <c r="G7" s="80">
        <v>12</v>
      </c>
      <c r="H7" s="81" t="str">
        <f ca="1">IF(OR(TRIM(D8)="-",TRIM(D9)="-"), IF(TRIM(D8)="-",D9,D8),IF(AND(E8="",E9="")," ",IF(N(E8)=N(E9)," ",IF(N(E8)&gt;N(E9),D8,D9))))</f>
        <v xml:space="preserve"> </v>
      </c>
      <c r="I7" s="130"/>
      <c r="J7" s="20"/>
      <c r="K7" s="25"/>
      <c r="L7" s="34"/>
      <c r="M7" s="206"/>
      <c r="N7" s="16"/>
      <c r="O7" s="16"/>
      <c r="P7" s="16"/>
      <c r="Q7" s="16"/>
      <c r="R7" s="16"/>
      <c r="S7" s="16"/>
      <c r="T7" s="16"/>
      <c r="U7" s="16"/>
      <c r="V7" s="15"/>
      <c r="W7" s="16"/>
      <c r="X7" s="16"/>
      <c r="Y7" s="16"/>
      <c r="Z7" s="15"/>
      <c r="AA7" s="16"/>
      <c r="AB7" s="16"/>
      <c r="AC7" s="16"/>
      <c r="AD7" s="16"/>
    </row>
    <row r="8" spans="1:30" ht="18" thickBot="1" x14ac:dyDescent="0.45">
      <c r="A8" s="86">
        <f ca="1">VLOOKUP(C8,Postupy!$A$3:$C$34,3,0)</f>
        <v>5</v>
      </c>
      <c r="B8" s="21"/>
      <c r="C8" s="78">
        <v>12</v>
      </c>
      <c r="D8" s="253" t="str">
        <f ca="1">IF(OR(TRIM('KO16'!D12)="-",TRIM('KO16'!D13)="-"), IF(TRIM('KO16'!D12)="-",'KO16'!D12,'KO16'!D13),IF(AND('KO16'!E12="",'KO16'!E13="")," ",IF(N('KO16'!E12)=N('KO16'!E13)," ",IF(N('KO16'!E12)&gt;N('KO16'!E13),'KO16'!D13,'KO16'!D12))))</f>
        <v>23 PC Kolová - Horáček Jindřich</v>
      </c>
      <c r="E8" s="129"/>
      <c r="F8" s="26"/>
      <c r="G8" s="25"/>
      <c r="H8" s="46"/>
      <c r="I8" s="206"/>
      <c r="J8" s="16"/>
      <c r="K8" s="25"/>
      <c r="L8" s="34"/>
      <c r="M8" s="206"/>
      <c r="N8" s="16"/>
      <c r="O8" s="16"/>
      <c r="P8" s="16"/>
      <c r="Q8" s="16"/>
      <c r="R8" s="16"/>
      <c r="S8" s="16"/>
      <c r="T8" s="16"/>
      <c r="U8" s="16"/>
      <c r="V8" s="15"/>
      <c r="W8" s="16"/>
      <c r="X8" s="16"/>
      <c r="Y8" s="16"/>
      <c r="Z8" s="15"/>
      <c r="AA8" s="16"/>
      <c r="AB8" s="16"/>
      <c r="AC8" s="16"/>
      <c r="AD8" s="16"/>
    </row>
    <row r="9" spans="1:30" ht="18.899999999999999" thickTop="1" thickBot="1" x14ac:dyDescent="0.5">
      <c r="A9" s="86">
        <f ca="1">VLOOKUP(C9,Postupy!$A$3:$C$34,3,0)</f>
        <v>52</v>
      </c>
      <c r="B9" s="31"/>
      <c r="C9" s="80">
        <v>13</v>
      </c>
      <c r="D9" s="254" t="str">
        <f ca="1">IF(OR(TRIM('KO16'!D16)="-",TRIM('KO16'!D17)="-"), IF(TRIM('KO16'!D16)="-",'KO16'!D16,'KO16'!D17),IF(AND('KO16'!E16="",'KO16'!E17="")," ",IF(N('KO16'!E16)=N('KO16'!E17)," ",IF(N('KO16'!E16)&gt;N('KO16'!E17),'KO16'!D17,'KO16'!D16))))</f>
        <v xml:space="preserve">52   - Jesper R, Dánsko  </v>
      </c>
      <c r="E9" s="130"/>
      <c r="F9" s="27"/>
      <c r="G9" s="16"/>
      <c r="H9" s="46"/>
      <c r="I9" s="205"/>
      <c r="J9" s="16"/>
      <c r="K9" s="25"/>
      <c r="L9" s="255" t="s">
        <v>1685</v>
      </c>
      <c r="M9" s="297" t="str">
        <f ca="1">IF(OR(TRIM(L10)="-",TRIM(L11)="-"),"",VLOOKUP(MIN(K10,K11),Hřiště!$B$11:$E$42,4,0))</f>
        <v/>
      </c>
      <c r="N9" s="16"/>
      <c r="O9" s="16"/>
      <c r="P9" s="16"/>
      <c r="Q9" s="16"/>
      <c r="R9" s="16"/>
      <c r="S9" s="16"/>
      <c r="T9" s="17"/>
      <c r="U9" s="16"/>
      <c r="V9" s="16"/>
      <c r="W9" s="16"/>
      <c r="X9" s="16"/>
      <c r="Y9" s="16"/>
      <c r="Z9" s="16"/>
      <c r="AA9" s="16"/>
      <c r="AB9" s="16"/>
    </row>
    <row r="10" spans="1:30" ht="18.45" thickTop="1" thickBot="1" x14ac:dyDescent="0.45">
      <c r="A10" s="76"/>
      <c r="B10" s="55"/>
      <c r="C10" s="56"/>
      <c r="D10" s="45"/>
      <c r="E10" s="205"/>
      <c r="F10" s="16"/>
      <c r="G10" s="16"/>
      <c r="H10" s="47"/>
      <c r="I10" s="207"/>
      <c r="J10" s="17"/>
      <c r="K10" s="78">
        <v>9</v>
      </c>
      <c r="L10" s="79" t="str">
        <f ca="1">IF(OR(TRIM(H6)="-",TRIM(H7)="-"), IF(TRIM(H6)="-",H7,H6),IF(AND(I6="",I7="")," ",IF(N(I6)=N(I7)," ",IF(N(I6)&gt;N(I7),H6,H7))))</f>
        <v xml:space="preserve"> </v>
      </c>
      <c r="M10" s="129"/>
      <c r="N10" s="26"/>
      <c r="O10" s="37">
        <v>9</v>
      </c>
      <c r="P10" s="100" t="str">
        <f>IF(AND(M10="",M11="")," ",IF(N(M10)=N(M11)," ",IF(N(M10)&gt;N(M11),L10,L11)))</f>
        <v xml:space="preserve"> </v>
      </c>
      <c r="Q10" s="38">
        <v>9</v>
      </c>
      <c r="R10" s="16"/>
      <c r="S10" s="17"/>
      <c r="T10" s="16"/>
      <c r="U10" s="16"/>
      <c r="V10" s="16"/>
      <c r="W10" s="16"/>
      <c r="X10" s="16"/>
      <c r="Y10" s="16"/>
      <c r="Z10" s="16"/>
      <c r="AA10" s="16"/>
    </row>
    <row r="11" spans="1:30" ht="18.899999999999999" thickTop="1" thickBot="1" x14ac:dyDescent="0.5">
      <c r="A11" s="75"/>
      <c r="B11" s="21"/>
      <c r="C11" s="16"/>
      <c r="D11" s="296" t="s">
        <v>1680</v>
      </c>
      <c r="E11" s="297" t="str">
        <f ca="1">IF(OR(TRIM(D12)="-",TRIM(D13)="-"),"",VLOOKUP(MIN(C12,C13),Hřiště!$B$11:$E$42,4,0))</f>
        <v/>
      </c>
      <c r="F11" s="16"/>
      <c r="G11" s="16"/>
      <c r="H11" s="48"/>
      <c r="I11" s="207"/>
      <c r="J11" s="17"/>
      <c r="K11" s="80">
        <v>10</v>
      </c>
      <c r="L11" s="81" t="str">
        <f ca="1">IF(OR(TRIM(H14)="-",TRIM(H15)="-"), IF(TRIM(H14)="-",H15,H14),IF(AND(I14="",I15="")," ",IF(N(I14)=N(I15)," ",IF(N(I14)&gt;N(I15),H14,H15))))</f>
        <v xml:space="preserve"> </v>
      </c>
      <c r="M11" s="130"/>
      <c r="N11" s="20"/>
      <c r="O11" s="37">
        <v>10</v>
      </c>
      <c r="P11" s="98" t="str">
        <f>IF(AND(M10="",M11="")," ",IF(N(M11)=N(M10)," ",IF(N(M11)&gt;N(M10),L10,L11)))</f>
        <v xml:space="preserve"> </v>
      </c>
      <c r="Q11" s="97">
        <v>10</v>
      </c>
      <c r="R11" s="16"/>
      <c r="S11" s="16"/>
      <c r="T11" s="16"/>
      <c r="U11" s="16"/>
      <c r="V11" s="16"/>
      <c r="W11" s="16"/>
      <c r="X11" s="16"/>
      <c r="Y11" s="15"/>
      <c r="Z11" s="16"/>
      <c r="AA11" s="16"/>
      <c r="AB11" s="16"/>
      <c r="AC11" s="17"/>
    </row>
    <row r="12" spans="1:30" ht="18" thickBot="1" x14ac:dyDescent="0.45">
      <c r="A12" s="86">
        <f ca="1">VLOOKUP(C12,Postupy!$A$3:$C$34,3,0)</f>
        <v>9</v>
      </c>
      <c r="B12" s="21"/>
      <c r="C12" s="78">
        <v>14</v>
      </c>
      <c r="D12" s="253" t="str">
        <f ca="1">IF(OR(TRIM('KO16'!D20)="-",TRIM('KO16'!D21)="-"), IF(TRIM('KO16'!D20)="-",'KO16'!D20,'KO16'!D21),IF(AND('KO16'!E20="",'KO16'!E21="")," ",IF(N('KO16'!E20)=N('KO16'!E21)," ",IF(N('KO16'!E20)&gt;N('KO16'!E21),'KO16'!D21,'KO16'!D20))))</f>
        <v>9 UBU Únětice - Palas Pavel</v>
      </c>
      <c r="E12" s="129"/>
      <c r="F12" s="19"/>
      <c r="G12" s="16"/>
      <c r="H12" s="48"/>
      <c r="I12" s="207"/>
      <c r="J12" s="23"/>
      <c r="K12" s="15"/>
      <c r="L12" s="46"/>
      <c r="M12" s="207"/>
      <c r="N12" s="17"/>
      <c r="O12" s="56"/>
      <c r="P12" s="18"/>
      <c r="Q12" s="17"/>
      <c r="R12" s="16"/>
      <c r="S12" s="17"/>
      <c r="T12" s="16"/>
      <c r="U12" s="16"/>
      <c r="V12" s="16"/>
      <c r="W12" s="16"/>
      <c r="X12" s="16"/>
      <c r="Y12" s="15"/>
      <c r="Z12" s="16"/>
      <c r="AA12" s="16"/>
      <c r="AB12" s="16"/>
      <c r="AC12" s="16"/>
    </row>
    <row r="13" spans="1:30" ht="18.899999999999999" thickTop="1" thickBot="1" x14ac:dyDescent="0.5">
      <c r="A13" s="86">
        <f ca="1">VLOOKUP(C13,Postupy!$A$3:$C$34,3,0)</f>
        <v>51</v>
      </c>
      <c r="B13" s="31"/>
      <c r="C13" s="80">
        <v>11</v>
      </c>
      <c r="D13" s="254" t="str">
        <f ca="1">IF(OR(TRIM('KO16'!D24)="-",TRIM('KO16'!D25)="-"), IF(TRIM('KO16'!D24)="-",'KO16'!D24,'KO16'!D25),IF(AND('KO16'!E24="",'KO16'!E25="")," ",IF(N('KO16'!E24)=N('KO16'!E25)," ",IF(N('KO16'!E24)&gt;N('KO16'!E25),'KO16'!D25,'KO16'!D24))))</f>
        <v>21 SK Pétanque Řepy - Pastorek Jaroslav</v>
      </c>
      <c r="E13" s="130"/>
      <c r="F13" s="20"/>
      <c r="G13" s="25"/>
      <c r="H13" s="296" t="s">
        <v>1680</v>
      </c>
      <c r="I13" s="297" t="str">
        <f ca="1">IF(OR(TRIM(H14)="-",TRIM(H15)="-"),"",VLOOKUP(MIN(G14,G15),Hřiště!$B$11:$E$42,4,0))</f>
        <v/>
      </c>
      <c r="J13" s="23"/>
      <c r="K13" s="15"/>
      <c r="L13" s="45"/>
      <c r="M13" s="208"/>
      <c r="N13" s="45"/>
      <c r="O13" s="45"/>
      <c r="P13" s="45"/>
      <c r="Q13" s="45"/>
      <c r="R13" s="45"/>
      <c r="S13" s="45"/>
      <c r="T13" s="45"/>
      <c r="U13" s="45"/>
      <c r="V13" s="16"/>
      <c r="W13" s="16"/>
      <c r="X13" s="16"/>
      <c r="Y13" s="16"/>
      <c r="Z13" s="16"/>
      <c r="AA13" s="16"/>
    </row>
    <row r="14" spans="1:30" ht="18" thickBot="1" x14ac:dyDescent="0.45">
      <c r="A14" s="76"/>
      <c r="B14" s="21"/>
      <c r="C14" s="16"/>
      <c r="D14" s="46"/>
      <c r="E14" s="205"/>
      <c r="F14" s="16"/>
      <c r="G14" s="78">
        <v>11</v>
      </c>
      <c r="H14" s="79" t="str">
        <f ca="1">IF(OR(TRIM(D12)="-",TRIM(D13)="-"), IF(TRIM(D12)="-",D13,D12),IF(AND(E12="",E13="")," ",IF(N(E12)=N(E13)," ",IF(N(E12)&gt;N(E13),D12,D13))))</f>
        <v xml:space="preserve"> </v>
      </c>
      <c r="I14" s="129"/>
      <c r="J14" s="26"/>
      <c r="K14" s="16"/>
      <c r="L14" s="48"/>
      <c r="M14" s="209"/>
      <c r="N14" s="48"/>
      <c r="O14" s="48"/>
      <c r="P14" s="48"/>
      <c r="Q14" s="48"/>
      <c r="R14" s="48"/>
      <c r="S14" s="48"/>
      <c r="T14" s="48"/>
      <c r="U14" s="48"/>
      <c r="V14" s="16"/>
      <c r="W14" s="16"/>
      <c r="X14" s="16"/>
      <c r="Y14" s="17"/>
      <c r="Z14" s="16"/>
      <c r="AA14" s="16"/>
    </row>
    <row r="15" spans="1:30" ht="18.899999999999999" thickTop="1" thickBot="1" x14ac:dyDescent="0.5">
      <c r="A15" s="75"/>
      <c r="B15" s="31"/>
      <c r="C15" s="16"/>
      <c r="D15" s="296" t="s">
        <v>1680</v>
      </c>
      <c r="E15" s="297" t="str">
        <f ca="1">IF(OR(TRIM(D16)="-",TRIM(D17)="-"),"",VLOOKUP(MIN(C16,C17),Hřiště!$B$11:$E$42,4,0))</f>
        <v/>
      </c>
      <c r="F15" s="16"/>
      <c r="G15" s="80">
        <v>10</v>
      </c>
      <c r="H15" s="81" t="str">
        <f ca="1">IF(OR(TRIM(D16)="-",TRIM(D17)="-"), IF(TRIM(D16)="-",D17,D16),IF(AND(E16="",E17="")," ",IF(N(E16)=N(E17)," ",IF(N(E16)&gt;N(E17),D16,D17))))</f>
        <v xml:space="preserve"> </v>
      </c>
      <c r="I15" s="130"/>
      <c r="J15" s="27"/>
      <c r="K15" s="16"/>
      <c r="L15" s="48"/>
      <c r="M15" s="209"/>
      <c r="N15" s="48"/>
      <c r="O15" s="48"/>
      <c r="P15" s="48"/>
      <c r="Q15" s="48"/>
      <c r="R15" s="48"/>
      <c r="S15" s="48"/>
      <c r="T15" s="48"/>
      <c r="U15" s="48"/>
      <c r="V15" s="16"/>
      <c r="W15" s="16"/>
      <c r="X15" s="16"/>
      <c r="Y15" s="17"/>
      <c r="Z15" s="16"/>
      <c r="AA15" s="16"/>
    </row>
    <row r="16" spans="1:30" ht="18" thickBot="1" x14ac:dyDescent="0.45">
      <c r="A16" s="86">
        <f ca="1">VLOOKUP(C16,Postupy!$A$3:$C$34,3,0)</f>
        <v>12</v>
      </c>
      <c r="B16" s="21"/>
      <c r="C16" s="78">
        <v>10</v>
      </c>
      <c r="D16" s="253" t="str">
        <f ca="1">IF(OR(TRIM('KO16'!D28)="-",TRIM('KO16'!D29)="-"), IF(TRIM('KO16'!D28)="-",'KO16'!D28,'KO16'!D29),IF(AND('KO16'!E28="",'KO16'!E29="")," ",IF(N('KO16'!E28)=N('KO16'!E29)," ",IF(N('KO16'!E28)&gt;N('KO16'!E29),'KO16'!D29,'KO16'!D28))))</f>
        <v>12 PC Mimo Done - Heller Jan</v>
      </c>
      <c r="E16" s="129"/>
      <c r="F16" s="26"/>
      <c r="G16" s="25"/>
      <c r="H16" s="46"/>
      <c r="I16" s="206"/>
      <c r="J16" s="16"/>
      <c r="K16" s="16"/>
      <c r="L16" s="48"/>
      <c r="M16" s="209"/>
      <c r="N16" s="48"/>
      <c r="O16" s="48"/>
      <c r="P16" s="48"/>
      <c r="Q16" s="48"/>
      <c r="R16" s="48"/>
      <c r="S16" s="48"/>
      <c r="T16" s="48"/>
      <c r="U16" s="48"/>
      <c r="V16" s="16"/>
      <c r="W16" s="16"/>
      <c r="X16" s="16"/>
      <c r="Y16" s="16"/>
      <c r="Z16" s="16"/>
      <c r="AA16" s="16"/>
    </row>
    <row r="17" spans="1:27" ht="18.899999999999999" thickTop="1" thickBot="1" x14ac:dyDescent="0.5">
      <c r="A17" s="86">
        <f ca="1">VLOOKUP(C17,Postupy!$A$3:$C$34,3,0)</f>
        <v>44</v>
      </c>
      <c r="B17" s="31"/>
      <c r="C17" s="80">
        <v>15</v>
      </c>
      <c r="D17" s="254" t="str">
        <f ca="1">IF(OR(TRIM('KO16'!D32)="-",TRIM('KO16'!D33)="-"),IF(TRIM('KO16'!D32)="-",'KO16'!D32,'KO16'!D33),IF(AND('KO16'!E32="",'KO16'!E33="")," ",IF(N('KO16'!E32)=N('KO16'!E33)," ",IF(N('KO16'!E32)&gt;N('KO16'!E33),'KO16'!D33,'KO16'!D32))))</f>
        <v xml:space="preserve">44   - michael dánsko  </v>
      </c>
      <c r="E17" s="130"/>
      <c r="F17" s="27"/>
      <c r="G17" s="16"/>
      <c r="H17" s="46"/>
      <c r="I17" s="205"/>
      <c r="J17" s="16"/>
      <c r="K17" s="16"/>
      <c r="L17" s="255" t="s">
        <v>1686</v>
      </c>
      <c r="M17" s="297" t="str">
        <f ca="1">IF(OR(TRIM(L18)="-",TRIM(L19)="-"),"",VLOOKUP(MIN(K18,K19),Hřiště!$B$11:$E$42,4,0))</f>
        <v/>
      </c>
      <c r="N17" s="48"/>
      <c r="O17" s="48"/>
      <c r="P17" s="48"/>
      <c r="Q17" s="48"/>
      <c r="R17" s="48"/>
      <c r="S17" s="48"/>
      <c r="T17" s="48"/>
      <c r="U17" s="48"/>
      <c r="V17" s="16"/>
      <c r="W17" s="16"/>
      <c r="X17" s="16"/>
      <c r="Y17" s="16"/>
      <c r="Z17" s="16"/>
      <c r="AA17" s="16"/>
    </row>
    <row r="18" spans="1:27" ht="18.45" thickTop="1" thickBot="1" x14ac:dyDescent="0.45">
      <c r="A18" s="76"/>
      <c r="B18" s="21"/>
      <c r="C18" s="16"/>
      <c r="D18" s="46"/>
      <c r="E18" s="16"/>
      <c r="F18" s="16"/>
      <c r="G18" s="16"/>
      <c r="H18" s="49"/>
      <c r="I18" s="205"/>
      <c r="J18" s="16"/>
      <c r="K18" s="78">
        <v>11</v>
      </c>
      <c r="L18" s="79" t="str">
        <f ca="1">IF(OR(TRIM(H6)="-",TRIM(H7)="-"),IF(TRIM(H6)="-",H7,H6),IF(AND(I6="",I7="")," ",IF(N(I7)=N(I6)," ",IF(N(I7)&gt;N(I6),H6,H7))))</f>
        <v xml:space="preserve"> </v>
      </c>
      <c r="M18" s="129"/>
      <c r="N18" s="26"/>
      <c r="O18" s="37">
        <v>11</v>
      </c>
      <c r="P18" s="98" t="str">
        <f>IF(AND(M18="",M19="")," ",IF(N(M18)=N(M19)," ",IF(N(M18)&gt;N(M19),L18,L19)))</f>
        <v xml:space="preserve"> </v>
      </c>
      <c r="Q18" s="38">
        <v>11</v>
      </c>
      <c r="R18" s="49"/>
      <c r="S18" s="49"/>
      <c r="T18" s="49"/>
      <c r="U18" s="49"/>
      <c r="V18" s="16"/>
      <c r="W18" s="16"/>
      <c r="X18" s="16"/>
      <c r="Y18" s="16"/>
      <c r="Z18" s="16"/>
      <c r="AA18" s="16"/>
    </row>
    <row r="19" spans="1:27" ht="18.45" thickTop="1" thickBot="1" x14ac:dyDescent="0.45">
      <c r="A19" s="76"/>
      <c r="B19" s="99"/>
      <c r="C19" s="28"/>
      <c r="D19" s="58"/>
      <c r="E19" s="16"/>
      <c r="F19" s="16"/>
      <c r="G19" s="16"/>
      <c r="H19" s="49"/>
      <c r="I19" s="205"/>
      <c r="J19" s="16"/>
      <c r="K19" s="80">
        <v>12</v>
      </c>
      <c r="L19" s="81" t="str">
        <f ca="1">IF(OR(TRIM(H14)="-",TRIM(H15)="-"), IF(TRIM(H14)="-",H15,H14),IF(AND(I14="",I15="")," ",IF(N(I15)=N(I14)," ",IF(N(I15)&gt;N(I14),H14,H15))))</f>
        <v xml:space="preserve"> </v>
      </c>
      <c r="M19" s="130"/>
      <c r="N19" s="20"/>
      <c r="O19" s="37">
        <v>12</v>
      </c>
      <c r="P19" s="98" t="str">
        <f>IF(AND(M18="",M19="")," ",IF(N(M19)=N(M18)," ",IF(N(M19)&gt;N(M18),L18,L19)))</f>
        <v xml:space="preserve"> </v>
      </c>
      <c r="Q19" s="97">
        <v>12</v>
      </c>
      <c r="R19" s="49"/>
      <c r="S19" s="49"/>
      <c r="T19" s="49"/>
      <c r="U19" s="49"/>
      <c r="V19" s="16"/>
      <c r="W19" s="16"/>
      <c r="X19" s="16"/>
      <c r="Y19" s="16"/>
      <c r="Z19" s="16"/>
      <c r="AA19" s="16"/>
    </row>
    <row r="20" spans="1:27" ht="12.9" thickTop="1" thickBot="1" x14ac:dyDescent="0.45">
      <c r="A20" s="16"/>
      <c r="B20" s="55"/>
      <c r="C20" s="61"/>
      <c r="D20" s="62"/>
      <c r="E20" s="29"/>
      <c r="F20" s="16"/>
      <c r="G20" s="16"/>
      <c r="H20" s="32"/>
      <c r="I20" s="205"/>
      <c r="J20" s="16"/>
      <c r="K20" s="16"/>
      <c r="L20" s="16"/>
      <c r="M20" s="205"/>
      <c r="N20" s="16"/>
      <c r="O20" s="16"/>
      <c r="P20" s="16"/>
      <c r="Q20" s="16"/>
      <c r="R20" s="16"/>
      <c r="S20" s="17"/>
      <c r="T20" s="16"/>
      <c r="U20" s="16"/>
      <c r="V20" s="16"/>
      <c r="W20" s="16"/>
      <c r="X20" s="16"/>
      <c r="Y20" s="16"/>
      <c r="Z20" s="16"/>
      <c r="AA20" s="16"/>
    </row>
    <row r="21" spans="1:27" ht="14.6" thickTop="1" thickBot="1" x14ac:dyDescent="0.5">
      <c r="A21" s="16"/>
      <c r="B21" s="55"/>
      <c r="C21" s="59"/>
      <c r="D21" s="60"/>
      <c r="E21" s="16"/>
      <c r="F21" s="16"/>
      <c r="G21" s="16"/>
      <c r="H21" s="255" t="s">
        <v>1687</v>
      </c>
      <c r="I21" s="297" t="str">
        <f ca="1">IF(OR(TRIM(H22)="-",TRIM(H23)="-"),"",VLOOKUP(MIN(G22,G23),Hřiště!$B$11:$E$42,4,0))</f>
        <v/>
      </c>
      <c r="J21" s="16"/>
      <c r="K21" s="16"/>
      <c r="L21" s="16"/>
      <c r="M21" s="205"/>
      <c r="N21" s="16"/>
      <c r="O21" s="16"/>
      <c r="P21" s="16"/>
      <c r="Q21" s="16"/>
      <c r="R21" s="16"/>
      <c r="S21" s="17"/>
      <c r="T21" s="16"/>
      <c r="U21" s="16"/>
      <c r="V21" s="16"/>
      <c r="W21" s="16"/>
      <c r="X21" s="16"/>
      <c r="Y21" s="16"/>
      <c r="Z21" s="16"/>
      <c r="AA21" s="16"/>
    </row>
    <row r="22" spans="1:27" ht="18" thickBot="1" x14ac:dyDescent="0.45">
      <c r="A22" s="16"/>
      <c r="B22" s="21"/>
      <c r="C22" s="16"/>
      <c r="D22" s="16"/>
      <c r="E22" s="16"/>
      <c r="F22" s="16"/>
      <c r="G22" s="78">
        <v>16</v>
      </c>
      <c r="H22" s="79" t="str">
        <f ca="1">IF(OR(TRIM(D4)="-",TRIM(D5)="-"), IF(TRIM(D4)="-",D4,D5),IF(AND(E4="",E5="")," ",IF(N(E5)=N(E4)," ",IF(N(E5)&gt;N(E4),D4,D5))))</f>
        <v xml:space="preserve"> </v>
      </c>
      <c r="I22" s="129"/>
      <c r="J22" s="19"/>
      <c r="K22" s="15"/>
      <c r="L22" s="34"/>
      <c r="M22" s="206"/>
      <c r="N22" s="16"/>
      <c r="O22" s="16"/>
      <c r="P22" s="16"/>
      <c r="Q22" s="16"/>
      <c r="R22" s="16"/>
      <c r="S22" s="17"/>
      <c r="T22" s="16"/>
      <c r="U22" s="16"/>
      <c r="V22" s="16"/>
      <c r="W22" s="16"/>
      <c r="X22" s="16"/>
      <c r="Y22" s="16"/>
      <c r="Z22" s="16"/>
      <c r="AA22" s="16"/>
    </row>
    <row r="23" spans="1:27" ht="18.45" thickTop="1" thickBot="1" x14ac:dyDescent="0.45">
      <c r="A23" s="16"/>
      <c r="B23" s="55"/>
      <c r="C23" s="61"/>
      <c r="D23" s="62"/>
      <c r="E23" s="29"/>
      <c r="F23" s="16"/>
      <c r="G23" s="80">
        <v>13</v>
      </c>
      <c r="H23" s="81" t="str">
        <f ca="1">IF(OR(TRIM(D8)="-",TRIM(D9)="-"), IF(TRIM(D8)="-",D8,D9),IF(AND(E8="",E9="")," ",IF(N(E9)=N(E8)," ",IF(N(E9)&gt;N(E8),D8,D9))))</f>
        <v xml:space="preserve"> </v>
      </c>
      <c r="I23" s="130"/>
      <c r="J23" s="20"/>
      <c r="K23" s="25"/>
      <c r="L23" s="34"/>
      <c r="M23" s="206"/>
      <c r="N23" s="16"/>
      <c r="O23" s="16"/>
      <c r="P23" s="16"/>
      <c r="Q23" s="16"/>
      <c r="R23" s="16"/>
      <c r="S23" s="17"/>
      <c r="T23" s="16"/>
      <c r="U23" s="16"/>
      <c r="V23" s="16"/>
      <c r="W23" s="16"/>
      <c r="X23" s="16"/>
      <c r="Y23" s="16"/>
      <c r="Z23" s="16"/>
      <c r="AA23" s="16"/>
    </row>
    <row r="24" spans="1:27" ht="12.9" thickTop="1" thickBot="1" x14ac:dyDescent="0.45">
      <c r="A24" s="16"/>
      <c r="B24" s="55"/>
      <c r="C24" s="61"/>
      <c r="D24" s="62"/>
      <c r="E24" s="29"/>
      <c r="F24" s="63"/>
      <c r="G24" s="15"/>
      <c r="H24" s="46"/>
      <c r="I24" s="206"/>
      <c r="J24" s="16"/>
      <c r="K24" s="25"/>
      <c r="L24" s="34"/>
      <c r="M24" s="206"/>
      <c r="N24" s="16"/>
      <c r="O24" s="16"/>
      <c r="P24" s="16"/>
      <c r="Q24" s="16"/>
      <c r="R24" s="16"/>
      <c r="S24" s="17"/>
      <c r="T24" s="16"/>
      <c r="U24" s="16"/>
      <c r="V24" s="16"/>
      <c r="W24" s="16"/>
      <c r="X24" s="16"/>
      <c r="Y24" s="16"/>
      <c r="Z24" s="16"/>
      <c r="AA24" s="16"/>
    </row>
    <row r="25" spans="1:27" ht="14.6" thickTop="1" thickBot="1" x14ac:dyDescent="0.5">
      <c r="A25" s="16"/>
      <c r="B25" s="55"/>
      <c r="C25" s="61"/>
      <c r="D25" s="62"/>
      <c r="E25" s="29"/>
      <c r="F25" s="16"/>
      <c r="G25" s="16"/>
      <c r="H25" s="46"/>
      <c r="I25" s="205"/>
      <c r="J25" s="16"/>
      <c r="K25" s="25"/>
      <c r="L25" s="255" t="s">
        <v>1688</v>
      </c>
      <c r="M25" s="297" t="str">
        <f ca="1">IF(OR(TRIM(L26)="-",TRIM(L27)="-"),"",VLOOKUP(MIN(K26,K27),Hřiště!$B$11:$E$42,4,0))</f>
        <v/>
      </c>
      <c r="N25" s="16"/>
      <c r="O25" s="16"/>
      <c r="P25" s="16"/>
      <c r="Q25" s="16"/>
      <c r="R25" s="16"/>
      <c r="S25" s="17"/>
      <c r="T25" s="16"/>
      <c r="U25" s="16"/>
      <c r="V25" s="16"/>
      <c r="W25" s="16"/>
      <c r="X25" s="16"/>
      <c r="Y25" s="16"/>
      <c r="Z25" s="16"/>
      <c r="AA25" s="16"/>
    </row>
    <row r="26" spans="1:27" ht="18.45" thickTop="1" thickBot="1" x14ac:dyDescent="0.45">
      <c r="A26" s="16"/>
      <c r="B26" s="55"/>
      <c r="C26" s="61"/>
      <c r="D26" s="62"/>
      <c r="E26" s="29"/>
      <c r="F26" s="16"/>
      <c r="G26" s="16"/>
      <c r="H26" s="47"/>
      <c r="I26" s="207"/>
      <c r="J26" s="17"/>
      <c r="K26" s="78">
        <v>13</v>
      </c>
      <c r="L26" s="79" t="str">
        <f ca="1">IF(OR(TRIM(H22)="-",TRIM(H23)="-"), IF(TRIM(H22)="-",H23,H22),IF(AND(I22="",I23="")," ",IF(N(I22)=N(I23)," ",IF(N(I22)&gt;N(I23),H22,H23))))</f>
        <v xml:space="preserve"> </v>
      </c>
      <c r="M26" s="129"/>
      <c r="N26" s="26"/>
      <c r="O26" s="37">
        <v>13</v>
      </c>
      <c r="P26" s="98" t="str">
        <f>IF(AND(M26="",M27="")," ",IF(N(M26)=N(M27)," ",IF(N(M26)&gt;N(M27),L26,L27)))</f>
        <v xml:space="preserve"> </v>
      </c>
      <c r="Q26" s="38">
        <v>13</v>
      </c>
      <c r="R26" s="16"/>
      <c r="S26" s="17"/>
      <c r="T26" s="16"/>
      <c r="U26" s="16"/>
      <c r="V26" s="16"/>
      <c r="W26" s="16"/>
      <c r="X26" s="16"/>
      <c r="Y26" s="16"/>
      <c r="Z26" s="16"/>
      <c r="AA26" s="16"/>
    </row>
    <row r="27" spans="1:27" ht="18.45" thickTop="1" thickBot="1" x14ac:dyDescent="0.45">
      <c r="A27" s="16"/>
      <c r="B27" s="55"/>
      <c r="C27" s="61"/>
      <c r="D27" s="62"/>
      <c r="E27" s="29"/>
      <c r="F27" s="16"/>
      <c r="G27" s="16"/>
      <c r="H27" s="48"/>
      <c r="I27" s="207"/>
      <c r="J27" s="17"/>
      <c r="K27" s="80">
        <v>14</v>
      </c>
      <c r="L27" s="81" t="str">
        <f ca="1">IF(OR(TRIM(H30)="-",TRIM(H31)="-"), IF(TRIM(H30)="-",H31,H30),IF(AND(I30="",I31="")," ",IF(N(I30)=N(I31)," ",IF(N(I30)&gt;N(I31),H30,H31))))</f>
        <v xml:space="preserve"> </v>
      </c>
      <c r="M27" s="130"/>
      <c r="N27" s="20"/>
      <c r="O27" s="37">
        <v>14</v>
      </c>
      <c r="P27" s="98" t="str">
        <f>IF(AND(M26="",M27="")," ",IF(N(M27)=N(M26)," ",IF(N(M27)&gt;N(M26),L26,L27)))</f>
        <v xml:space="preserve"> </v>
      </c>
      <c r="Q27" s="97">
        <v>14</v>
      </c>
      <c r="R27" s="16"/>
      <c r="S27" s="17"/>
      <c r="T27" s="16"/>
      <c r="U27" s="16"/>
      <c r="V27" s="16"/>
      <c r="W27" s="16"/>
      <c r="X27" s="16"/>
      <c r="Y27" s="16"/>
      <c r="Z27" s="16"/>
      <c r="AA27" s="16"/>
    </row>
    <row r="28" spans="1:27" ht="14.15" thickTop="1" thickBot="1" x14ac:dyDescent="0.45">
      <c r="A28" s="16"/>
      <c r="B28" s="55"/>
      <c r="C28" s="61"/>
      <c r="D28" s="62"/>
      <c r="E28" s="29"/>
      <c r="F28" s="16"/>
      <c r="G28" s="16"/>
      <c r="H28" s="48"/>
      <c r="I28" s="207"/>
      <c r="J28" s="23"/>
      <c r="K28" s="15"/>
      <c r="L28" s="46"/>
      <c r="M28" s="207"/>
      <c r="N28" s="17"/>
      <c r="O28" s="56"/>
      <c r="P28" s="18"/>
      <c r="Q28" s="17"/>
      <c r="R28" s="16"/>
      <c r="S28" s="17"/>
      <c r="T28" s="16"/>
      <c r="U28" s="16"/>
      <c r="V28" s="16"/>
      <c r="W28" s="16"/>
      <c r="X28" s="16"/>
      <c r="Y28" s="16"/>
      <c r="Z28" s="16"/>
      <c r="AA28" s="16"/>
    </row>
    <row r="29" spans="1:27" ht="14.6" thickTop="1" thickBot="1" x14ac:dyDescent="0.5">
      <c r="A29" s="16"/>
      <c r="B29" s="55"/>
      <c r="C29" s="61"/>
      <c r="D29" s="62"/>
      <c r="E29" s="29"/>
      <c r="F29" s="63"/>
      <c r="G29" s="15"/>
      <c r="H29" s="255" t="s">
        <v>1687</v>
      </c>
      <c r="I29" s="297" t="str">
        <f ca="1">IF(OR(TRIM(H30)="-",TRIM(H31)="-"),"",VLOOKUP(MIN(G30,G31),Hřiště!$B$11:$E$42,4,0))</f>
        <v/>
      </c>
      <c r="J29" s="23"/>
      <c r="K29" s="15"/>
      <c r="L29" s="45"/>
      <c r="M29" s="208"/>
      <c r="N29" s="45"/>
      <c r="O29" s="45"/>
      <c r="P29" s="45"/>
      <c r="Q29" s="45"/>
      <c r="R29" s="16"/>
      <c r="S29" s="17"/>
      <c r="T29" s="16"/>
      <c r="U29" s="16"/>
      <c r="V29" s="16"/>
      <c r="W29" s="16"/>
      <c r="X29" s="16"/>
      <c r="Y29" s="16"/>
      <c r="Z29" s="16"/>
      <c r="AA29" s="16"/>
    </row>
    <row r="30" spans="1:27" ht="18.45" thickTop="1" thickBot="1" x14ac:dyDescent="0.45">
      <c r="A30" s="16"/>
      <c r="B30" s="55"/>
      <c r="C30" s="61"/>
      <c r="D30" s="62"/>
      <c r="E30" s="29"/>
      <c r="F30" s="16"/>
      <c r="G30" s="78">
        <v>14</v>
      </c>
      <c r="H30" s="79" t="str">
        <f ca="1">IF(OR(TRIM(D12)="-",TRIM(D13)="-"), IF(TRIM(D12)="-",D12,D13),IF(AND(E12="",E13="")," ",IF(N(E13)=N(E12)," ",IF(N(E13)&gt;N(E12),D12,D13))))</f>
        <v xml:space="preserve"> </v>
      </c>
      <c r="I30" s="129"/>
      <c r="J30" s="26"/>
      <c r="K30" s="16"/>
      <c r="L30" s="48"/>
      <c r="M30" s="209"/>
      <c r="N30" s="48"/>
      <c r="O30" s="48"/>
      <c r="P30" s="48"/>
      <c r="Q30" s="48"/>
      <c r="R30" s="16"/>
      <c r="S30" s="17"/>
      <c r="T30" s="16"/>
      <c r="U30" s="16"/>
      <c r="V30" s="16"/>
      <c r="W30" s="16"/>
      <c r="X30" s="16"/>
      <c r="Y30" s="16"/>
      <c r="Z30" s="16"/>
      <c r="AA30" s="16"/>
    </row>
    <row r="31" spans="1:27" ht="18.45" thickTop="1" thickBot="1" x14ac:dyDescent="0.45">
      <c r="A31" s="16"/>
      <c r="B31" s="55"/>
      <c r="C31" s="61"/>
      <c r="D31" s="62"/>
      <c r="E31" s="29"/>
      <c r="F31" s="16"/>
      <c r="G31" s="80">
        <v>15</v>
      </c>
      <c r="H31" s="81" t="str">
        <f ca="1">IF(OR(TRIM(D16)="-",TRIM(D17)="-"), IF(TRIM(D16)="-",D16,D17),IF(AND(E16="",E17="")," ",IF(N(E17)=N(E16)," ",IF(N(E17)&gt;N(E16),D16,D17))))</f>
        <v xml:space="preserve"> </v>
      </c>
      <c r="I31" s="130"/>
      <c r="J31" s="27"/>
      <c r="K31" s="16"/>
      <c r="L31" s="48"/>
      <c r="M31" s="209"/>
      <c r="N31" s="48"/>
      <c r="O31" s="48"/>
      <c r="P31" s="48"/>
      <c r="Q31" s="48"/>
      <c r="R31" s="16"/>
      <c r="S31" s="17"/>
      <c r="T31" s="16"/>
      <c r="U31" s="16"/>
      <c r="V31" s="16"/>
      <c r="W31" s="16"/>
      <c r="X31" s="16"/>
      <c r="Y31" s="16"/>
      <c r="Z31" s="16"/>
      <c r="AA31" s="16"/>
    </row>
    <row r="32" spans="1:27" ht="12.9" thickTop="1" thickBot="1" x14ac:dyDescent="0.45">
      <c r="A32" s="16"/>
      <c r="B32" s="55"/>
      <c r="C32" s="61"/>
      <c r="D32" s="62"/>
      <c r="E32" s="29"/>
      <c r="F32" s="16"/>
      <c r="G32" s="16"/>
      <c r="H32" s="32"/>
      <c r="I32" s="16"/>
      <c r="J32" s="16"/>
      <c r="K32" s="16"/>
      <c r="L32" s="16"/>
      <c r="M32" s="205"/>
      <c r="N32" s="16"/>
      <c r="O32" s="16"/>
      <c r="P32" s="16"/>
      <c r="Q32" s="16"/>
      <c r="R32" s="16"/>
      <c r="S32" s="17"/>
      <c r="T32" s="16"/>
      <c r="U32" s="16"/>
      <c r="V32" s="16"/>
      <c r="W32" s="16"/>
      <c r="X32" s="16"/>
      <c r="Y32" s="16"/>
      <c r="Z32" s="16"/>
      <c r="AA32" s="16"/>
    </row>
    <row r="33" spans="1:27" ht="14.6" thickTop="1" thickBot="1" x14ac:dyDescent="0.5">
      <c r="A33" s="16"/>
      <c r="B33" s="55"/>
      <c r="C33" s="61"/>
      <c r="D33" s="62"/>
      <c r="E33" s="29"/>
      <c r="F33" s="16"/>
      <c r="G33" s="16"/>
      <c r="H33" s="32"/>
      <c r="I33" s="16"/>
      <c r="J33" s="16"/>
      <c r="K33" s="16"/>
      <c r="L33" s="255" t="s">
        <v>1689</v>
      </c>
      <c r="M33" s="297" t="str">
        <f ca="1">IF(OR(TRIM(L34)="-",TRIM(L35)="-"),"",VLOOKUP(MIN(K34,K35),Hřiště!$B$11:$E$42,4,0))</f>
        <v/>
      </c>
      <c r="N33" s="16"/>
      <c r="O33" s="16"/>
      <c r="P33" s="16"/>
      <c r="Q33" s="16"/>
      <c r="R33" s="16"/>
      <c r="S33" s="17"/>
      <c r="T33" s="16"/>
      <c r="U33" s="16"/>
      <c r="V33" s="16"/>
      <c r="W33" s="16"/>
      <c r="X33" s="16"/>
      <c r="Y33" s="16"/>
      <c r="Z33" s="16"/>
      <c r="AA33" s="16"/>
    </row>
    <row r="34" spans="1:27" ht="18.45" thickTop="1" thickBot="1" x14ac:dyDescent="0.45">
      <c r="A34" s="16"/>
      <c r="B34" s="55"/>
      <c r="C34" s="61"/>
      <c r="D34" s="62"/>
      <c r="E34" s="29"/>
      <c r="F34" s="16"/>
      <c r="G34" s="16"/>
      <c r="H34" s="32"/>
      <c r="I34" s="16"/>
      <c r="J34" s="16"/>
      <c r="K34" s="78">
        <v>15</v>
      </c>
      <c r="L34" s="79" t="str">
        <f ca="1">IF(OR(TRIM(H22)="-",TRIM(H23)="-"), IF(TRIM(H22)="-",H22,H23),IF(AND(I22="",I23="")," ",IF(N(I23)=N(I22)," ",IF(N(I23)&gt;N(I22),H22,H23))))</f>
        <v xml:space="preserve"> </v>
      </c>
      <c r="M34" s="129"/>
      <c r="N34" s="26"/>
      <c r="O34" s="37">
        <v>15</v>
      </c>
      <c r="P34" s="98" t="str">
        <f>IF(AND(M34="",M35="")," ",IF(N(M34)=N(M35)," ",IF(N(M34)&gt;N(M35),L34,L35)))</f>
        <v xml:space="preserve"> </v>
      </c>
      <c r="Q34" s="38">
        <v>15</v>
      </c>
      <c r="R34" s="16"/>
      <c r="S34" s="17"/>
      <c r="T34" s="16"/>
      <c r="U34" s="16"/>
      <c r="V34" s="16"/>
      <c r="W34" s="16"/>
      <c r="X34" s="16"/>
      <c r="Y34" s="16"/>
      <c r="Z34" s="16"/>
      <c r="AA34" s="16"/>
    </row>
    <row r="35" spans="1:27" ht="18.45" thickTop="1" thickBot="1" x14ac:dyDescent="0.45">
      <c r="A35" s="16"/>
      <c r="B35" s="55"/>
      <c r="C35" s="61"/>
      <c r="D35" s="62"/>
      <c r="E35" s="29"/>
      <c r="F35" s="16"/>
      <c r="G35" s="16"/>
      <c r="H35" s="32"/>
      <c r="I35" s="16"/>
      <c r="J35" s="16"/>
      <c r="K35" s="80">
        <v>16</v>
      </c>
      <c r="L35" s="81" t="str">
        <f ca="1">IF(OR(TRIM(H30)="-",TRIM(H31)="-"),IF(TRIM(H30)="-",H30,H31),IF(AND(I30="",I31="")," ",IF(N(I31)=N(I30)," ",IF(N(I31)&gt;N(I30),H30,H31))))</f>
        <v xml:space="preserve"> </v>
      </c>
      <c r="M35" s="130"/>
      <c r="N35" s="20"/>
      <c r="O35" s="37">
        <v>16</v>
      </c>
      <c r="P35" s="98" t="str">
        <f>IF(AND(M34="",M35="")," ",IF(N(M35)=N(M34)," ",IF(N(M35)&gt;N(M34),L34,L35)))</f>
        <v xml:space="preserve"> </v>
      </c>
      <c r="Q35" s="97">
        <v>16</v>
      </c>
      <c r="R35" s="16"/>
      <c r="S35" s="17"/>
      <c r="T35" s="16"/>
      <c r="U35" s="16"/>
      <c r="V35" s="16"/>
      <c r="W35" s="16"/>
      <c r="X35" s="16"/>
      <c r="Y35" s="16"/>
      <c r="Z35" s="16"/>
      <c r="AA35" s="16"/>
    </row>
    <row r="36" spans="1:27" ht="12.9" thickTop="1" thickBot="1" x14ac:dyDescent="0.45">
      <c r="A36" s="16"/>
      <c r="B36" s="55"/>
      <c r="C36" s="61"/>
      <c r="D36" s="62"/>
      <c r="E36" s="29"/>
      <c r="F36" s="16"/>
      <c r="G36" s="16"/>
      <c r="H36" s="32"/>
      <c r="I36" s="16"/>
      <c r="J36" s="16"/>
      <c r="K36" s="16"/>
      <c r="L36" s="16"/>
      <c r="M36" s="16"/>
      <c r="N36" s="16"/>
      <c r="O36" s="16"/>
      <c r="P36" s="16"/>
      <c r="Q36" s="16"/>
      <c r="R36" s="16"/>
      <c r="S36" s="17"/>
      <c r="T36" s="16"/>
      <c r="U36" s="16"/>
      <c r="V36" s="16"/>
      <c r="W36" s="16"/>
      <c r="X36" s="16"/>
      <c r="Y36" s="16"/>
      <c r="Z36" s="16"/>
      <c r="AA36" s="16"/>
    </row>
    <row r="37" spans="1:27" ht="12.9" thickTop="1" thickBot="1" x14ac:dyDescent="0.45">
      <c r="A37" s="16"/>
      <c r="B37" s="55"/>
      <c r="C37" s="61"/>
      <c r="D37" s="62"/>
      <c r="E37" s="29"/>
      <c r="F37" s="16"/>
      <c r="G37" s="16"/>
      <c r="H37" s="32"/>
      <c r="I37" s="16"/>
      <c r="J37" s="16"/>
      <c r="K37" s="16"/>
      <c r="L37" s="16"/>
      <c r="M37" s="16"/>
      <c r="N37" s="16"/>
      <c r="O37" s="16"/>
      <c r="P37" s="16"/>
      <c r="Q37" s="16"/>
      <c r="R37" s="16"/>
      <c r="S37" s="17"/>
      <c r="T37" s="16"/>
      <c r="U37" s="16"/>
      <c r="V37" s="16"/>
      <c r="W37" s="16"/>
      <c r="X37" s="16"/>
      <c r="Y37" s="16"/>
      <c r="Z37" s="16"/>
      <c r="AA37" s="16"/>
    </row>
    <row r="38" spans="1:27" ht="12.9" thickTop="1" thickBot="1" x14ac:dyDescent="0.45">
      <c r="A38" s="16"/>
      <c r="B38" s="55"/>
      <c r="C38" s="61"/>
      <c r="D38" s="62"/>
      <c r="E38" s="29"/>
      <c r="F38" s="16"/>
      <c r="G38" s="16"/>
      <c r="H38" s="32"/>
      <c r="I38" s="16"/>
      <c r="J38" s="16"/>
      <c r="K38" s="16"/>
      <c r="L38" s="16"/>
      <c r="M38" s="16"/>
      <c r="N38" s="16"/>
      <c r="O38" s="16"/>
      <c r="P38" s="16"/>
      <c r="Q38" s="16"/>
      <c r="R38" s="16"/>
      <c r="S38" s="17"/>
      <c r="T38" s="16"/>
      <c r="U38" s="16"/>
      <c r="V38" s="16"/>
      <c r="W38" s="16"/>
      <c r="X38" s="16"/>
      <c r="Y38" s="16"/>
      <c r="Z38" s="16"/>
      <c r="AA38" s="16"/>
    </row>
    <row r="39" spans="1:27" ht="12.9" thickTop="1" thickBot="1" x14ac:dyDescent="0.45">
      <c r="A39" s="16"/>
      <c r="B39" s="55"/>
      <c r="C39" s="61"/>
      <c r="D39" s="62"/>
      <c r="E39" s="29"/>
      <c r="F39" s="16"/>
      <c r="G39" s="16"/>
      <c r="H39" s="32"/>
      <c r="I39" s="16"/>
      <c r="J39" s="16"/>
      <c r="K39" s="16"/>
      <c r="L39" s="16"/>
      <c r="M39" s="16"/>
      <c r="N39" s="16"/>
      <c r="O39" s="16"/>
      <c r="P39" s="16"/>
      <c r="Q39" s="16"/>
      <c r="R39" s="16"/>
      <c r="S39" s="17"/>
      <c r="T39" s="16"/>
      <c r="U39" s="16"/>
      <c r="V39" s="16"/>
      <c r="W39" s="16"/>
      <c r="X39" s="16"/>
      <c r="Y39" s="16"/>
      <c r="Z39" s="16"/>
      <c r="AA39" s="16"/>
    </row>
    <row r="40" spans="1:27" ht="12.9" thickTop="1" thickBot="1" x14ac:dyDescent="0.45">
      <c r="A40" s="16"/>
      <c r="B40" s="55"/>
      <c r="C40" s="61"/>
      <c r="D40" s="62"/>
      <c r="E40" s="29"/>
      <c r="F40" s="16"/>
      <c r="G40" s="16"/>
      <c r="H40" s="32"/>
      <c r="I40" s="16"/>
      <c r="J40" s="16"/>
      <c r="K40" s="16"/>
      <c r="L40" s="16"/>
      <c r="M40" s="16"/>
      <c r="N40" s="16"/>
      <c r="O40" s="16"/>
      <c r="P40" s="16"/>
      <c r="Q40" s="16"/>
      <c r="R40" s="16"/>
      <c r="S40" s="17"/>
      <c r="T40" s="16"/>
      <c r="U40" s="16"/>
      <c r="V40" s="16"/>
      <c r="W40" s="16"/>
      <c r="X40" s="16"/>
      <c r="Y40" s="16"/>
      <c r="Z40" s="16"/>
      <c r="AA40" s="16"/>
    </row>
    <row r="41" spans="1:27" ht="12.9" thickTop="1" thickBot="1" x14ac:dyDescent="0.45">
      <c r="A41" s="16"/>
      <c r="B41" s="55"/>
      <c r="C41" s="61"/>
      <c r="D41" s="62"/>
      <c r="E41" s="29"/>
      <c r="F41" s="16"/>
      <c r="G41" s="16"/>
      <c r="H41" s="32"/>
      <c r="I41" s="16"/>
      <c r="J41" s="16"/>
      <c r="K41" s="16"/>
      <c r="L41" s="16"/>
      <c r="M41" s="16"/>
      <c r="N41" s="16"/>
      <c r="O41" s="16"/>
      <c r="P41" s="16"/>
      <c r="Q41" s="16"/>
      <c r="R41" s="16"/>
      <c r="S41" s="17"/>
      <c r="T41" s="16"/>
      <c r="U41" s="16"/>
      <c r="V41" s="16"/>
      <c r="W41" s="16"/>
      <c r="X41" s="16"/>
      <c r="Y41" s="16"/>
      <c r="Z41" s="16"/>
      <c r="AA41" s="16"/>
    </row>
    <row r="42" spans="1:27" ht="12.9" thickTop="1" thickBot="1" x14ac:dyDescent="0.45">
      <c r="A42" s="16"/>
      <c r="B42" s="55"/>
      <c r="C42" s="61"/>
      <c r="D42" s="62"/>
      <c r="E42" s="29"/>
      <c r="F42" s="16"/>
      <c r="G42" s="16"/>
      <c r="H42" s="32"/>
      <c r="I42" s="16"/>
      <c r="J42" s="16"/>
      <c r="K42" s="16"/>
      <c r="L42" s="16"/>
      <c r="M42" s="16"/>
      <c r="N42" s="16"/>
      <c r="O42" s="16"/>
      <c r="P42" s="16"/>
      <c r="Q42" s="16"/>
      <c r="R42" s="16"/>
      <c r="S42" s="17"/>
      <c r="T42" s="16"/>
      <c r="U42" s="16"/>
      <c r="V42" s="16"/>
      <c r="W42" s="16"/>
      <c r="X42" s="16"/>
      <c r="Y42" s="16"/>
      <c r="Z42" s="16"/>
      <c r="AA42" s="16"/>
    </row>
    <row r="43" spans="1:27" ht="12.9" thickTop="1" thickBot="1" x14ac:dyDescent="0.45">
      <c r="A43" s="16"/>
      <c r="B43" s="55"/>
      <c r="C43" s="61"/>
      <c r="D43" s="62"/>
      <c r="E43" s="29"/>
      <c r="F43" s="16"/>
      <c r="G43" s="16"/>
      <c r="H43" s="32"/>
      <c r="I43" s="16"/>
      <c r="J43" s="16"/>
      <c r="K43" s="16"/>
      <c r="L43" s="16"/>
      <c r="M43" s="16"/>
      <c r="N43" s="16"/>
      <c r="O43" s="16"/>
      <c r="P43" s="16"/>
      <c r="Q43" s="16"/>
      <c r="R43" s="16"/>
      <c r="S43" s="17"/>
      <c r="T43" s="16"/>
      <c r="U43" s="16"/>
      <c r="V43" s="16"/>
      <c r="W43" s="16"/>
      <c r="X43" s="16"/>
      <c r="Y43" s="16"/>
      <c r="Z43" s="16"/>
      <c r="AA43" s="16"/>
    </row>
    <row r="44" spans="1:27" ht="12.9" thickTop="1" thickBot="1" x14ac:dyDescent="0.45">
      <c r="A44" s="16"/>
      <c r="B44" s="55"/>
      <c r="C44" s="61"/>
      <c r="D44" s="62"/>
      <c r="E44" s="29"/>
      <c r="F44" s="16"/>
      <c r="G44" s="16"/>
      <c r="H44" s="32"/>
      <c r="I44" s="16"/>
      <c r="J44" s="16"/>
      <c r="K44" s="16"/>
      <c r="L44" s="16"/>
      <c r="M44" s="16"/>
      <c r="N44" s="16"/>
      <c r="O44" s="16"/>
      <c r="P44" s="16"/>
      <c r="Q44" s="16"/>
      <c r="R44" s="16"/>
      <c r="S44" s="17"/>
      <c r="T44" s="16"/>
      <c r="U44" s="16"/>
      <c r="V44" s="16"/>
      <c r="W44" s="16"/>
      <c r="X44" s="16"/>
      <c r="Y44" s="16"/>
      <c r="Z44" s="16"/>
      <c r="AA44" s="16"/>
    </row>
    <row r="45" spans="1:27" ht="12.9" thickTop="1" thickBot="1" x14ac:dyDescent="0.45">
      <c r="A45" s="16"/>
      <c r="B45" s="55"/>
      <c r="C45" s="61"/>
      <c r="D45" s="62"/>
      <c r="E45" s="29"/>
      <c r="F45" s="16"/>
      <c r="G45" s="16"/>
      <c r="H45" s="32"/>
      <c r="I45" s="16"/>
      <c r="J45" s="16"/>
      <c r="K45" s="16"/>
      <c r="L45" s="16"/>
      <c r="M45" s="16"/>
      <c r="N45" s="16"/>
      <c r="O45" s="16"/>
      <c r="P45" s="16"/>
      <c r="Q45" s="16"/>
      <c r="R45" s="16"/>
      <c r="S45" s="17"/>
      <c r="T45" s="16"/>
      <c r="U45" s="16"/>
      <c r="V45" s="16"/>
      <c r="W45" s="16"/>
      <c r="X45" s="16"/>
      <c r="Y45" s="16"/>
      <c r="Z45" s="16"/>
      <c r="AA45" s="16"/>
    </row>
    <row r="46" spans="1:27" ht="12.9" thickTop="1" thickBot="1" x14ac:dyDescent="0.45">
      <c r="A46" s="16"/>
      <c r="B46" s="55"/>
      <c r="C46" s="61"/>
      <c r="D46" s="62"/>
      <c r="E46" s="29"/>
      <c r="F46" s="16"/>
      <c r="G46" s="16"/>
      <c r="H46" s="32"/>
      <c r="I46" s="16"/>
      <c r="J46" s="16"/>
      <c r="K46" s="16"/>
      <c r="L46" s="16"/>
      <c r="M46" s="16"/>
      <c r="N46" s="16"/>
      <c r="O46" s="16"/>
      <c r="P46" s="16"/>
      <c r="Q46" s="16"/>
      <c r="R46" s="16"/>
      <c r="S46" s="17"/>
      <c r="T46" s="16"/>
      <c r="U46" s="16"/>
      <c r="V46" s="16"/>
      <c r="W46" s="16"/>
      <c r="X46" s="16"/>
      <c r="Y46" s="16"/>
      <c r="Z46" s="16"/>
      <c r="AA46" s="16"/>
    </row>
    <row r="47" spans="1:27" ht="12.9" thickTop="1" thickBot="1" x14ac:dyDescent="0.45">
      <c r="A47" s="16"/>
      <c r="B47" s="55"/>
      <c r="C47" s="61"/>
      <c r="D47" s="62"/>
      <c r="E47" s="29"/>
      <c r="F47" s="16"/>
      <c r="G47" s="16"/>
      <c r="H47" s="32"/>
      <c r="I47" s="16"/>
      <c r="J47" s="16"/>
      <c r="K47" s="16"/>
      <c r="L47" s="16"/>
      <c r="M47" s="16"/>
      <c r="N47" s="16"/>
      <c r="O47" s="16"/>
      <c r="P47" s="16"/>
      <c r="Q47" s="16"/>
      <c r="R47" s="16"/>
      <c r="S47" s="17"/>
      <c r="T47" s="16"/>
      <c r="U47" s="16"/>
      <c r="V47" s="16"/>
      <c r="W47" s="16"/>
      <c r="X47" s="16"/>
      <c r="Y47" s="16"/>
      <c r="Z47" s="16"/>
      <c r="AA47" s="16"/>
    </row>
    <row r="48" spans="1:27" ht="12.9" thickTop="1" thickBot="1" x14ac:dyDescent="0.45">
      <c r="A48" s="16"/>
      <c r="B48" s="55"/>
      <c r="C48" s="61"/>
      <c r="D48" s="62"/>
      <c r="E48" s="29"/>
      <c r="F48" s="16"/>
      <c r="G48" s="16"/>
      <c r="H48" s="32"/>
      <c r="I48" s="16"/>
      <c r="J48" s="16"/>
      <c r="K48" s="16"/>
      <c r="L48" s="16"/>
      <c r="M48" s="16"/>
      <c r="N48" s="16"/>
      <c r="O48" s="16"/>
      <c r="P48" s="16"/>
      <c r="Q48" s="16"/>
      <c r="R48" s="16"/>
      <c r="S48" s="17"/>
      <c r="T48" s="16"/>
      <c r="U48" s="16"/>
      <c r="V48" s="16"/>
      <c r="W48" s="16"/>
      <c r="X48" s="16"/>
      <c r="Y48" s="16"/>
      <c r="Z48" s="16"/>
      <c r="AA48" s="16"/>
    </row>
    <row r="49" spans="1:27" ht="12.9" thickTop="1" thickBot="1" x14ac:dyDescent="0.45">
      <c r="A49" s="16"/>
      <c r="B49" s="55"/>
      <c r="C49" s="61"/>
      <c r="D49" s="62"/>
      <c r="E49" s="29"/>
      <c r="F49" s="16"/>
      <c r="G49" s="16"/>
      <c r="H49" s="32"/>
      <c r="I49" s="16"/>
      <c r="J49" s="16"/>
      <c r="K49" s="16"/>
      <c r="L49" s="16"/>
      <c r="M49" s="16"/>
      <c r="N49" s="16"/>
      <c r="O49" s="16"/>
      <c r="P49" s="16"/>
      <c r="Q49" s="16"/>
      <c r="R49" s="16"/>
      <c r="S49" s="17"/>
      <c r="T49" s="16"/>
      <c r="U49" s="16"/>
      <c r="V49" s="16"/>
      <c r="W49" s="16"/>
      <c r="X49" s="16"/>
      <c r="Y49" s="16"/>
      <c r="Z49" s="16"/>
      <c r="AA49" s="16"/>
    </row>
    <row r="50" spans="1:27" ht="12.9" thickTop="1" thickBot="1" x14ac:dyDescent="0.45">
      <c r="A50" s="16"/>
      <c r="B50" s="55"/>
      <c r="C50" s="61"/>
      <c r="D50" s="62"/>
      <c r="E50" s="29"/>
      <c r="F50" s="16"/>
      <c r="G50" s="16"/>
      <c r="H50" s="32"/>
      <c r="I50" s="16"/>
      <c r="J50" s="16"/>
      <c r="K50" s="16"/>
      <c r="L50" s="16"/>
      <c r="M50" s="16"/>
      <c r="N50" s="16"/>
      <c r="O50" s="16"/>
      <c r="P50" s="16"/>
      <c r="Q50" s="16"/>
      <c r="R50" s="16"/>
      <c r="S50" s="17"/>
      <c r="T50" s="16"/>
      <c r="U50" s="16"/>
      <c r="V50" s="16"/>
      <c r="W50" s="16"/>
      <c r="X50" s="16"/>
      <c r="Y50" s="16"/>
      <c r="Z50" s="16"/>
      <c r="AA50" s="16"/>
    </row>
    <row r="51" spans="1:27" ht="12.9" thickTop="1" thickBot="1" x14ac:dyDescent="0.45">
      <c r="A51" s="16"/>
      <c r="B51" s="55"/>
      <c r="C51" s="61"/>
      <c r="D51" s="62"/>
      <c r="E51" s="29"/>
      <c r="F51" s="16"/>
      <c r="G51" s="16"/>
      <c r="H51" s="32"/>
      <c r="I51" s="16"/>
      <c r="J51" s="16"/>
      <c r="K51" s="16"/>
      <c r="L51" s="16"/>
      <c r="M51" s="16"/>
      <c r="N51" s="16"/>
      <c r="O51" s="16"/>
      <c r="P51" s="16"/>
      <c r="Q51" s="16"/>
      <c r="R51" s="16"/>
      <c r="S51" s="17"/>
      <c r="T51" s="16"/>
      <c r="U51" s="16"/>
      <c r="V51" s="16"/>
      <c r="W51" s="16"/>
      <c r="X51" s="16"/>
      <c r="Y51" s="16"/>
      <c r="Z51" s="16"/>
      <c r="AA51" s="16"/>
    </row>
    <row r="52" spans="1:27" ht="12.9" thickTop="1" thickBot="1" x14ac:dyDescent="0.45">
      <c r="A52" s="16"/>
      <c r="B52" s="55"/>
      <c r="C52" s="61"/>
      <c r="D52" s="62"/>
      <c r="E52" s="29"/>
      <c r="F52" s="16"/>
      <c r="G52" s="16"/>
      <c r="H52" s="32"/>
      <c r="I52" s="16"/>
      <c r="J52" s="16"/>
      <c r="K52" s="16"/>
      <c r="L52" s="16"/>
      <c r="M52" s="16"/>
      <c r="N52" s="16"/>
      <c r="O52" s="16"/>
      <c r="P52" s="16"/>
      <c r="Q52" s="16"/>
      <c r="R52" s="16"/>
      <c r="S52" s="17"/>
      <c r="T52" s="16"/>
      <c r="U52" s="16"/>
      <c r="V52" s="16"/>
      <c r="W52" s="16"/>
      <c r="X52" s="16"/>
      <c r="Y52" s="16"/>
      <c r="Z52" s="16"/>
      <c r="AA52" s="16"/>
    </row>
    <row r="53" spans="1:27" ht="12.9" thickTop="1" thickBot="1" x14ac:dyDescent="0.45">
      <c r="A53" s="16"/>
      <c r="B53" s="55"/>
      <c r="C53" s="61"/>
      <c r="D53" s="62"/>
      <c r="E53" s="29"/>
      <c r="F53" s="16"/>
      <c r="G53" s="16"/>
      <c r="H53" s="32"/>
      <c r="I53" s="16"/>
      <c r="J53" s="16"/>
      <c r="K53" s="16"/>
      <c r="L53" s="16"/>
      <c r="M53" s="16"/>
      <c r="N53" s="16"/>
      <c r="O53" s="16"/>
      <c r="P53" s="16"/>
      <c r="Q53" s="16"/>
      <c r="R53" s="16"/>
      <c r="S53" s="17"/>
      <c r="T53" s="16"/>
      <c r="U53" s="16"/>
      <c r="V53" s="16"/>
      <c r="W53" s="16"/>
      <c r="X53" s="16"/>
      <c r="Y53" s="16"/>
      <c r="Z53" s="16"/>
      <c r="AA53" s="16"/>
    </row>
    <row r="54" spans="1:27" ht="12.9" thickTop="1" thickBot="1" x14ac:dyDescent="0.45">
      <c r="A54" s="16"/>
      <c r="B54" s="55"/>
      <c r="C54" s="61"/>
      <c r="D54" s="62"/>
      <c r="E54" s="29"/>
      <c r="F54" s="16"/>
      <c r="G54" s="16"/>
      <c r="H54" s="32"/>
      <c r="I54" s="16"/>
      <c r="J54" s="16"/>
      <c r="K54" s="16"/>
      <c r="L54" s="16"/>
      <c r="M54" s="16"/>
      <c r="N54" s="16"/>
      <c r="O54" s="16"/>
      <c r="P54" s="16"/>
      <c r="Q54" s="16"/>
      <c r="R54" s="16"/>
      <c r="S54" s="17"/>
      <c r="T54" s="16"/>
      <c r="U54" s="16"/>
      <c r="V54" s="16"/>
      <c r="W54" s="16"/>
      <c r="X54" s="16"/>
      <c r="Y54" s="16"/>
      <c r="Z54" s="16"/>
      <c r="AA54" s="16"/>
    </row>
    <row r="55" spans="1:27" ht="12.9" thickTop="1" thickBot="1" x14ac:dyDescent="0.45">
      <c r="A55" s="16"/>
      <c r="B55" s="55"/>
      <c r="C55" s="61"/>
      <c r="D55" s="62"/>
      <c r="E55" s="29"/>
      <c r="F55" s="16"/>
      <c r="G55" s="16"/>
      <c r="H55" s="32"/>
      <c r="I55" s="16"/>
      <c r="J55" s="16"/>
      <c r="K55" s="16"/>
      <c r="L55" s="16"/>
      <c r="M55" s="16"/>
      <c r="N55" s="16"/>
      <c r="O55" s="16"/>
      <c r="P55" s="16"/>
      <c r="Q55" s="16"/>
      <c r="R55" s="16"/>
      <c r="S55" s="17"/>
      <c r="T55" s="16"/>
      <c r="U55" s="16"/>
      <c r="V55" s="16"/>
      <c r="W55" s="16"/>
      <c r="X55" s="16"/>
      <c r="Y55" s="16"/>
      <c r="Z55" s="16"/>
      <c r="AA55" s="16"/>
    </row>
    <row r="56" spans="1:27" ht="12.9" thickTop="1" thickBot="1" x14ac:dyDescent="0.45">
      <c r="A56" s="16"/>
      <c r="B56" s="55"/>
      <c r="C56" s="61"/>
      <c r="D56" s="62"/>
      <c r="E56" s="29"/>
      <c r="F56" s="16"/>
      <c r="G56" s="16"/>
      <c r="H56" s="32"/>
      <c r="I56" s="16"/>
      <c r="J56" s="16"/>
      <c r="K56" s="16"/>
      <c r="L56" s="16"/>
      <c r="M56" s="16"/>
      <c r="N56" s="16"/>
      <c r="O56" s="16"/>
      <c r="P56" s="16"/>
      <c r="Q56" s="16"/>
      <c r="R56" s="16"/>
      <c r="S56" s="17"/>
      <c r="T56" s="16"/>
      <c r="U56" s="16"/>
      <c r="V56" s="16"/>
      <c r="W56" s="16"/>
      <c r="X56" s="16"/>
      <c r="Y56" s="16"/>
      <c r="Z56" s="16"/>
      <c r="AA56" s="16"/>
    </row>
    <row r="57" spans="1:27" ht="12.45" thickTop="1" x14ac:dyDescent="0.4"/>
  </sheetData>
  <sheetProtection password="CA1B" sheet="1" formatCells="0" formatColumns="0" formatRows="0"/>
  <phoneticPr fontId="0" type="noConversion"/>
  <conditionalFormatting sqref="H14 D4 D8 L18 D16 H6 L34 L10 H22 H30 D12 L26">
    <cfRule type="expression" dxfId="26" priority="1" stopIfTrue="1">
      <formula>IF(N(E4)&gt;N(E5),TRUE,FALSE)</formula>
    </cfRule>
  </conditionalFormatting>
  <conditionalFormatting sqref="G14 C16 G6 C4 C8 G30 G22 C12 K18 K34 K10 K26">
    <cfRule type="expression" dxfId="25" priority="2" stopIfTrue="1">
      <formula>IF(N(E4)&gt;N(E5),TRUE,FALSE)</formula>
    </cfRule>
  </conditionalFormatting>
  <conditionalFormatting sqref="M18 E16 I30 M26 E12 E4 I22 I14 I6 M10 E8 M34">
    <cfRule type="expression" dxfId="24" priority="3" stopIfTrue="1">
      <formula>IF(N(E4)&gt;N(E5),TRUE,FALSE)</formula>
    </cfRule>
  </conditionalFormatting>
  <conditionalFormatting sqref="G15 C17 G7 C5 C9 G31 G23 C13 K19 K35 K11 K27">
    <cfRule type="expression" dxfId="23" priority="4" stopIfTrue="1">
      <formula>IF(N(E5)&gt;N(E4),TRUE,FALSE)</formula>
    </cfRule>
  </conditionalFormatting>
  <conditionalFormatting sqref="L35 D5 D9 L19 D17 H7 H15 H23 H31 L11 D13 L27">
    <cfRule type="expression" dxfId="22" priority="5" stopIfTrue="1">
      <formula>IF(N(E5)&gt;N(E4),TRUE,FALSE)</formula>
    </cfRule>
  </conditionalFormatting>
  <conditionalFormatting sqref="M19 E17 I31 M27 E13 E5 I23 I15 I7 M11 E9 M35">
    <cfRule type="expression" dxfId="21" priority="6" stopIfTrue="1">
      <formula>IF(N(E5)&gt;N(E4),TRUE,FALSE)</formula>
    </cfRule>
  </conditionalFormatting>
  <pageMargins left="1.2" right="0.35" top="0.5" bottom="0.63" header="0.4921259845" footer="0.4921259845"/>
  <pageSetup paperSize="9" scale="77"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197" r:id="rId4" name="Button 5">
              <controlPr defaultSize="0" print="0" autoFill="0" autoPict="0" macro="[0]!BezHrist">
                <anchor moveWithCells="1">
                  <from>
                    <xdr:col>11</xdr:col>
                    <xdr:colOff>342900</xdr:colOff>
                    <xdr:row>1</xdr:row>
                    <xdr:rowOff>103414</xdr:rowOff>
                  </from>
                  <to>
                    <xdr:col>11</xdr:col>
                    <xdr:colOff>1545771</xdr:colOff>
                    <xdr:row>2</xdr:row>
                    <xdr:rowOff>239486</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List63">
    <pageSetUpPr fitToPage="1"/>
  </sheetPr>
  <dimension ref="A1:AD43"/>
  <sheetViews>
    <sheetView workbookViewId="0">
      <pane xSplit="4" ySplit="3" topLeftCell="E4" activePane="bottomRight" state="frozen"/>
      <selection pane="topRight" activeCell="G8" sqref="G8"/>
      <selection pane="bottomLeft" activeCell="G8" sqref="G8"/>
      <selection pane="bottomRight" activeCell="D8" sqref="D8"/>
    </sheetView>
  </sheetViews>
  <sheetFormatPr defaultRowHeight="12" x14ac:dyDescent="0.4"/>
  <cols>
    <col min="1" max="1" width="6.4140625" customWidth="1"/>
    <col min="2" max="2" width="1.75" customWidth="1"/>
    <col min="3" max="3" width="5.4140625" customWidth="1"/>
    <col min="4" max="4" width="28.4140625" customWidth="1"/>
    <col min="5" max="5" width="5" customWidth="1"/>
    <col min="6" max="6" width="2.4140625" customWidth="1"/>
    <col min="7" max="7" width="5.4140625" customWidth="1"/>
    <col min="8" max="8" width="28.4140625" customWidth="1"/>
    <col min="9" max="9" width="5" customWidth="1"/>
    <col min="10" max="10" width="2.4140625" customWidth="1"/>
    <col min="11" max="11" width="5.4140625" customWidth="1"/>
    <col min="12" max="12" width="28.4140625" customWidth="1"/>
    <col min="13" max="13" width="5" customWidth="1"/>
    <col min="14" max="14" width="2.4140625" customWidth="1"/>
    <col min="15" max="15" width="0.4140625" customWidth="1"/>
    <col min="16" max="16" width="22.83203125" customWidth="1"/>
    <col min="17" max="17" width="5" customWidth="1"/>
    <col min="18" max="18" width="2.4140625" customWidth="1"/>
    <col min="19" max="19" width="5.4140625" customWidth="1"/>
    <col min="20" max="20" width="25.4140625" customWidth="1"/>
    <col min="21" max="21" width="5" customWidth="1"/>
  </cols>
  <sheetData>
    <row r="1" spans="1:30" ht="12.45" thickBot="1" x14ac:dyDescent="0.45">
      <c r="B1" s="27"/>
      <c r="C1" s="54"/>
      <c r="D1" s="54"/>
      <c r="E1" s="54"/>
      <c r="F1" s="54"/>
      <c r="G1" s="54"/>
      <c r="H1" s="54"/>
      <c r="I1" s="54"/>
      <c r="J1" s="54"/>
      <c r="K1" s="54"/>
      <c r="L1" s="54"/>
      <c r="M1" s="54"/>
      <c r="N1" s="54"/>
      <c r="O1" s="54"/>
      <c r="P1" s="54"/>
      <c r="R1" s="16"/>
      <c r="S1" s="16"/>
      <c r="T1" s="16"/>
      <c r="U1" s="16"/>
      <c r="V1" s="15"/>
      <c r="W1" s="16"/>
      <c r="X1" s="16"/>
      <c r="Y1" s="16"/>
      <c r="Z1" s="15"/>
      <c r="AA1" s="16"/>
    </row>
    <row r="2" spans="1:30" ht="32.5" customHeight="1" thickBot="1" x14ac:dyDescent="1.1000000000000001">
      <c r="A2" s="50"/>
      <c r="B2" s="251"/>
      <c r="C2" s="252">
        <v>8</v>
      </c>
      <c r="D2" s="131" t="s">
        <v>1676</v>
      </c>
      <c r="E2" s="15"/>
      <c r="F2" s="16"/>
      <c r="G2" s="187">
        <v>4</v>
      </c>
      <c r="H2" s="131" t="s">
        <v>1677</v>
      </c>
      <c r="I2" s="16"/>
      <c r="J2" s="16"/>
      <c r="K2" s="187">
        <v>2</v>
      </c>
      <c r="L2" s="131" t="s">
        <v>1678</v>
      </c>
      <c r="M2" s="16"/>
      <c r="N2" s="16"/>
      <c r="O2" s="187">
        <v>1</v>
      </c>
      <c r="P2" s="146" t="s">
        <v>1679</v>
      </c>
      <c r="Q2" s="16"/>
      <c r="R2" s="16"/>
      <c r="S2" s="16"/>
      <c r="T2" s="15"/>
      <c r="U2" s="16"/>
      <c r="V2" s="15"/>
      <c r="W2" s="16"/>
      <c r="X2" s="16"/>
      <c r="Y2" s="16"/>
      <c r="Z2" s="15"/>
      <c r="AA2" s="16"/>
    </row>
    <row r="3" spans="1:30" ht="28.95" customHeight="1" thickBot="1" x14ac:dyDescent="0.5">
      <c r="A3" s="16"/>
      <c r="B3" s="16"/>
      <c r="C3" s="31"/>
      <c r="D3" s="296" t="s">
        <v>1680</v>
      </c>
      <c r="E3" s="297" t="str">
        <f ca="1">IF(OR(TRIM(D4)="-",TRIM(D5)="-"),"",VLOOKUP(MIN(C4,C5),Hřiště!$B$11:$E$42,4,0))</f>
        <v/>
      </c>
      <c r="F3" s="51"/>
      <c r="G3" s="51"/>
      <c r="H3" s="93"/>
      <c r="I3" s="53"/>
      <c r="J3" s="51"/>
      <c r="K3" s="51"/>
      <c r="L3" s="93"/>
      <c r="M3" s="53"/>
      <c r="N3" s="51"/>
      <c r="O3" s="51"/>
      <c r="P3" s="93"/>
      <c r="Q3" s="53"/>
      <c r="R3" s="51"/>
      <c r="S3" s="51"/>
      <c r="T3" s="57"/>
      <c r="U3" s="216"/>
      <c r="V3" s="15"/>
      <c r="W3" s="16"/>
      <c r="X3" s="16"/>
      <c r="Y3" s="16"/>
      <c r="Z3" s="15"/>
      <c r="AA3" s="16"/>
    </row>
    <row r="4" spans="1:30" ht="18" thickBot="1" x14ac:dyDescent="0.45">
      <c r="A4" s="86">
        <f ca="1">VLOOKUP(C4,Postupy!$A$3:$C$9,3,0)</f>
        <v>4</v>
      </c>
      <c r="B4" s="16"/>
      <c r="C4" s="78">
        <v>1</v>
      </c>
      <c r="D4" s="253" t="str">
        <f ca="1">VLOOKUP(C4,Postupy!$A$3:$AI$10,35,0)</f>
        <v>4 1. KPK Vrchlabí - Srnský Lubomír</v>
      </c>
      <c r="E4" s="129">
        <f>VLOOKUP(C4,Postupy!$A$3:$AJ$10,36,0)</f>
        <v>1</v>
      </c>
      <c r="F4" s="19"/>
      <c r="G4" s="16"/>
      <c r="H4" s="36"/>
      <c r="I4" s="16"/>
      <c r="J4" s="16"/>
      <c r="K4" s="16"/>
      <c r="L4" s="33"/>
      <c r="M4" s="16"/>
      <c r="N4" s="16"/>
      <c r="O4" s="16"/>
      <c r="P4" s="16"/>
      <c r="Q4" s="16"/>
      <c r="R4" s="16"/>
      <c r="S4" s="16"/>
      <c r="T4" s="17"/>
      <c r="U4" s="16"/>
      <c r="V4" s="16"/>
      <c r="W4" s="16"/>
      <c r="X4" s="16"/>
      <c r="Y4" s="16"/>
      <c r="Z4" s="16"/>
      <c r="AA4" s="16"/>
      <c r="AB4" s="16"/>
    </row>
    <row r="5" spans="1:30" ht="18.899999999999999" thickTop="1" thickBot="1" x14ac:dyDescent="0.5">
      <c r="A5" s="86">
        <f ca="1">VLOOKUP(C5,Postupy!$A$3:$C$18,3,0)</f>
        <v>28</v>
      </c>
      <c r="B5" s="16"/>
      <c r="C5" s="80">
        <v>8</v>
      </c>
      <c r="D5" s="253" t="str">
        <f ca="1">VLOOKUP(C5,Postupy!$A$3:$AI$10,35,0)</f>
        <v>28 PC Sokol PP Hr. Králové - Hochmann Lukáš</v>
      </c>
      <c r="E5" s="130" t="str">
        <f>VLOOKUP(C5,Postupy!$A$3:$AJ$10,36,0)</f>
        <v/>
      </c>
      <c r="F5" s="20"/>
      <c r="G5" s="25"/>
      <c r="H5" s="296" t="s">
        <v>1680</v>
      </c>
      <c r="I5" s="297" t="str">
        <f ca="1">IF(OR(TRIM(H6)="-",TRIM(H7)="-"),"",VLOOKUP(MIN(G6,G7),Hřiště!$B$11:$E$42,4,0))</f>
        <v/>
      </c>
      <c r="J5" s="16"/>
      <c r="K5" s="16"/>
      <c r="L5" s="33"/>
      <c r="M5" s="16"/>
      <c r="N5" s="16"/>
      <c r="O5" s="16"/>
      <c r="P5" s="16"/>
      <c r="Q5" s="16"/>
      <c r="R5" s="16"/>
      <c r="S5" s="16"/>
      <c r="T5" s="17"/>
      <c r="U5" s="16"/>
      <c r="V5" s="16"/>
      <c r="W5" s="16"/>
      <c r="X5" s="16"/>
      <c r="Y5" s="16"/>
      <c r="Z5" s="16"/>
      <c r="AA5" s="16"/>
      <c r="AB5" s="16"/>
    </row>
    <row r="6" spans="1:30" ht="18" thickBot="1" x14ac:dyDescent="0.45">
      <c r="A6" s="76"/>
      <c r="B6" s="21"/>
      <c r="C6" s="27"/>
      <c r="D6" s="217"/>
      <c r="E6" s="27"/>
      <c r="F6" s="16"/>
      <c r="G6" s="78">
        <v>1</v>
      </c>
      <c r="H6" s="79" t="str">
        <f ca="1">IF(OR(TRIM(D4)="-",TRIM(D5)="-"), IF(TRIM(D4)="-",D5,D4),IF(AND(E4="",E5="")," ",IF(N(E4)=N(E5)," ",IF(N(E4)&gt;N(E5),D4,D5))))</f>
        <v>4 1. KPK Vrchlabí - Srnský Lubomír</v>
      </c>
      <c r="I6" s="129">
        <f>VLOOKUP(G6,Postupy!$A$3:$AL$6,38,0)</f>
        <v>1</v>
      </c>
      <c r="J6" s="19"/>
      <c r="K6" s="15"/>
      <c r="L6" s="34"/>
      <c r="M6" s="15"/>
      <c r="N6" s="16"/>
      <c r="O6" s="16"/>
      <c r="P6" s="16"/>
      <c r="Q6" s="16"/>
      <c r="R6" s="16"/>
      <c r="S6" s="16"/>
      <c r="T6" s="16"/>
      <c r="U6" s="16"/>
      <c r="V6" s="15"/>
      <c r="W6" s="16"/>
      <c r="X6" s="16"/>
      <c r="Y6" s="16"/>
      <c r="Z6" s="15"/>
      <c r="AA6" s="16"/>
      <c r="AB6" s="16"/>
      <c r="AC6" s="16"/>
      <c r="AD6" s="17"/>
    </row>
    <row r="7" spans="1:30" ht="18.899999999999999" thickTop="1" thickBot="1" x14ac:dyDescent="0.5">
      <c r="A7" s="75"/>
      <c r="B7" s="31"/>
      <c r="C7" s="16"/>
      <c r="D7" s="296" t="s">
        <v>1680</v>
      </c>
      <c r="E7" s="297" t="str">
        <f ca="1">IF(OR(TRIM(D8)="-",TRIM(D9)="-"),"",VLOOKUP(MIN(C8,C9),Hřiště!$B$11:$E$42,4,0))</f>
        <v/>
      </c>
      <c r="F7" s="16"/>
      <c r="G7" s="80">
        <v>4</v>
      </c>
      <c r="H7" s="81" t="str">
        <f ca="1">IF(OR(TRIM(D8)="-",TRIM(D9)="-"), IF(TRIM(D8)="-",D9,D8),IF(AND(E8="",E9="")," ",IF(N(E8)=N(E9)," ",IF(N(E8)&gt;N(E9),D8,D9))))</f>
        <v>5 CdP Loděnice - Dlouhá Ivana</v>
      </c>
      <c r="I7" s="130" t="str">
        <f>VLOOKUP(G7,Postupy!$A$3:$AL$6,38,0)</f>
        <v/>
      </c>
      <c r="J7" s="20"/>
      <c r="K7" s="25"/>
      <c r="L7" s="34"/>
      <c r="M7" s="15"/>
      <c r="N7" s="16"/>
      <c r="O7" s="16"/>
      <c r="P7" s="16"/>
      <c r="Q7" s="16"/>
      <c r="R7" s="16"/>
      <c r="S7" s="16"/>
      <c r="T7" s="16"/>
      <c r="U7" s="16"/>
      <c r="V7" s="15"/>
      <c r="W7" s="16"/>
      <c r="X7" s="16"/>
      <c r="Y7" s="16"/>
      <c r="Z7" s="15"/>
      <c r="AA7" s="16"/>
      <c r="AB7" s="16"/>
      <c r="AC7" s="16"/>
      <c r="AD7" s="16"/>
    </row>
    <row r="8" spans="1:30" ht="18.45" thickBot="1" x14ac:dyDescent="0.5">
      <c r="A8" s="86">
        <f ca="1">VLOOKUP(C8,Postupy!$A$3:$C$18,3,0)</f>
        <v>23</v>
      </c>
      <c r="B8" s="16"/>
      <c r="C8" s="78">
        <v>5</v>
      </c>
      <c r="D8" s="253" t="str">
        <f ca="1">VLOOKUP(C8,Postupy!$A$3:$AI$10,35,0)</f>
        <v>5 CdP Loděnice - Dlouhá Ivana</v>
      </c>
      <c r="E8" s="129">
        <f>VLOOKUP(C8,Postupy!$A$3:$AJ$10,36,0)</f>
        <v>1</v>
      </c>
      <c r="F8" s="26"/>
      <c r="G8" s="25"/>
      <c r="H8" s="46"/>
      <c r="I8" s="15"/>
      <c r="J8" s="16"/>
      <c r="K8" s="25"/>
      <c r="L8" s="212" t="s">
        <v>1678</v>
      </c>
      <c r="M8" s="15"/>
      <c r="N8" s="16"/>
      <c r="O8" s="16"/>
      <c r="P8" s="16"/>
      <c r="Q8" s="16"/>
      <c r="R8" s="16"/>
      <c r="S8" s="16"/>
      <c r="T8" s="16"/>
      <c r="U8" s="16"/>
      <c r="V8" s="15"/>
      <c r="W8" s="16"/>
      <c r="X8" s="16"/>
      <c r="Y8" s="16"/>
      <c r="Z8" s="15"/>
      <c r="AA8" s="16"/>
      <c r="AB8" s="16"/>
      <c r="AC8" s="16"/>
      <c r="AD8" s="16"/>
    </row>
    <row r="9" spans="1:30" ht="18.899999999999999" thickTop="1" thickBot="1" x14ac:dyDescent="0.5">
      <c r="A9" s="86">
        <f ca="1">VLOOKUP(C9,Postupy!$A$3:$C$18,3,0)</f>
        <v>7</v>
      </c>
      <c r="B9" s="16"/>
      <c r="C9" s="80">
        <v>4</v>
      </c>
      <c r="D9" s="253" t="str">
        <f ca="1">VLOOKUP(C9,Postupy!$A$3:$AI$10,35,0)</f>
        <v>7 1. KPK Vrchlabí - Semeniv Maryana Khrystyna</v>
      </c>
      <c r="E9" s="130" t="str">
        <f>VLOOKUP(C9,Postupy!$A$3:$AJ$10,36,0)</f>
        <v/>
      </c>
      <c r="F9" s="27"/>
      <c r="G9" s="16"/>
      <c r="H9" s="46"/>
      <c r="I9" s="16"/>
      <c r="J9" s="16"/>
      <c r="K9" s="25"/>
      <c r="L9" s="296" t="s">
        <v>1680</v>
      </c>
      <c r="M9" s="297" t="str">
        <f ca="1">IF(OR(TRIM(L10)="-",TRIM(L11)="-"),"",VLOOKUP(MIN(K10,K11),Hřiště!$B$11:$E$42,4,0))</f>
        <v/>
      </c>
      <c r="N9" s="16"/>
      <c r="O9" s="17"/>
      <c r="P9" s="215"/>
      <c r="Q9" s="16"/>
      <c r="R9" s="16"/>
      <c r="S9" s="16"/>
      <c r="T9" s="17"/>
      <c r="U9" s="16"/>
      <c r="V9" s="16"/>
      <c r="W9" s="16"/>
      <c r="X9" s="16"/>
      <c r="Y9" s="16"/>
      <c r="Z9" s="16"/>
      <c r="AA9" s="16"/>
      <c r="AB9" s="16"/>
    </row>
    <row r="10" spans="1:30" ht="18.45" thickTop="1" thickBot="1" x14ac:dyDescent="0.45">
      <c r="A10" s="76"/>
      <c r="B10" s="55"/>
      <c r="C10" s="56"/>
      <c r="D10" s="45"/>
      <c r="E10" s="16"/>
      <c r="F10" s="16"/>
      <c r="G10" s="16"/>
      <c r="H10" s="47"/>
      <c r="I10" s="17"/>
      <c r="J10" s="17"/>
      <c r="K10" s="78">
        <v>1</v>
      </c>
      <c r="L10" s="79" t="str">
        <f ca="1">IF(OR(TRIM(H6)="-",TRIM(H7)="-"), IF(TRIM(H6)="-",H7,H6),IF(AND(I6="",I7="")," ",IF(N(I6)=N(I7)," ",IF(N(I6)&gt;N(I7),H6,H7))))</f>
        <v>4 1. KPK Vrchlabí - Srnský Lubomír</v>
      </c>
      <c r="M10" s="129">
        <f>VLOOKUP(K10,Postupy!$A$3:$AN$6,40,0)</f>
        <v>1</v>
      </c>
      <c r="N10" s="26"/>
      <c r="O10" s="37">
        <v>1</v>
      </c>
      <c r="P10" s="100" t="str">
        <f ca="1">IF(AND(M10="",M11="")," ",IF(N(M10)=N(M11)," ",IF(N(M10)&gt;N(M11),L10,L11)))</f>
        <v>4 1. KPK Vrchlabí - Srnský Lubomír</v>
      </c>
      <c r="Q10" s="38">
        <v>1</v>
      </c>
      <c r="R10" s="16"/>
      <c r="S10" s="17"/>
      <c r="T10" s="16"/>
      <c r="U10" s="16"/>
      <c r="V10" s="16"/>
      <c r="W10" s="16"/>
      <c r="X10" s="16"/>
      <c r="Y10" s="16"/>
      <c r="Z10" s="16"/>
      <c r="AA10" s="16"/>
    </row>
    <row r="11" spans="1:30" ht="18.899999999999999" thickTop="1" thickBot="1" x14ac:dyDescent="0.5">
      <c r="A11" s="75"/>
      <c r="B11" s="21"/>
      <c r="C11" s="16"/>
      <c r="D11" s="296" t="s">
        <v>1680</v>
      </c>
      <c r="E11" s="297" t="str">
        <f ca="1">IF(OR(TRIM(D12)="-",TRIM(D13)="-"),"",VLOOKUP(MIN(C12,C13),Hřiště!$B$11:$E$42,4,0))</f>
        <v/>
      </c>
      <c r="F11" s="16"/>
      <c r="G11" s="16"/>
      <c r="H11" s="48"/>
      <c r="I11" s="17"/>
      <c r="J11" s="17"/>
      <c r="K11" s="80">
        <v>2</v>
      </c>
      <c r="L11" s="81" t="str">
        <f ca="1">IF(OR(TRIM(H14)="-",TRIM(H15)="-"), IF(TRIM(H14)="-",H15,H14),IF(AND(I14="",I15="")," ",IF(N(I14)=N(I15)," ",IF(N(I14)&gt;N(I15),H14,H15))))</f>
        <v>14 PC Sokol Lipník - Morávek Petr</v>
      </c>
      <c r="M11" s="130" t="str">
        <f>VLOOKUP(K11,Postupy!$A$3:$AN$6,40,0)</f>
        <v/>
      </c>
      <c r="N11" s="16"/>
      <c r="O11" s="37">
        <v>2</v>
      </c>
      <c r="P11" s="98" t="str">
        <f ca="1">IF(AND(M10="",M11="")," ",IF(N(M11)=N(M10)," ",IF(N(M11)&gt;N(M10),L10,L11)))</f>
        <v>14 PC Sokol Lipník - Morávek Petr</v>
      </c>
      <c r="Q11" s="97">
        <v>2</v>
      </c>
      <c r="R11" s="16"/>
      <c r="S11" s="16"/>
      <c r="T11" s="16"/>
      <c r="U11" s="16"/>
      <c r="V11" s="16"/>
      <c r="W11" s="16"/>
      <c r="X11" s="16"/>
      <c r="Y11" s="15"/>
      <c r="Z11" s="16"/>
      <c r="AA11" s="16"/>
      <c r="AB11" s="16"/>
      <c r="AC11" s="17"/>
    </row>
    <row r="12" spans="1:30" ht="18" thickBot="1" x14ac:dyDescent="0.45">
      <c r="A12" s="86">
        <f ca="1">VLOOKUP(C12,Postupy!$A$3:$C$18,3,0)</f>
        <v>2</v>
      </c>
      <c r="B12" s="16"/>
      <c r="C12" s="78">
        <v>3</v>
      </c>
      <c r="D12" s="253" t="str">
        <f ca="1">VLOOKUP(C12,Postupy!$A$3:$AI$10,35,0)</f>
        <v>2 PLUK Jablonec - Lukáš Vojtěch</v>
      </c>
      <c r="E12" s="129">
        <f>VLOOKUP(C12,Postupy!$A$3:$AJ$10,36,0)</f>
        <v>1</v>
      </c>
      <c r="F12" s="19"/>
      <c r="G12" s="16"/>
      <c r="H12" s="48"/>
      <c r="I12" s="17"/>
      <c r="J12" s="23"/>
      <c r="K12" s="25"/>
      <c r="L12" s="34"/>
      <c r="M12" s="17"/>
      <c r="N12" s="16"/>
      <c r="O12" s="16"/>
      <c r="P12" s="16"/>
      <c r="Q12" s="16"/>
      <c r="R12" s="16"/>
      <c r="S12" s="17"/>
      <c r="T12" s="16"/>
      <c r="U12" s="16"/>
      <c r="V12" s="16"/>
      <c r="W12" s="16"/>
      <c r="X12" s="16"/>
      <c r="Y12" s="15"/>
      <c r="Z12" s="16"/>
      <c r="AA12" s="16"/>
      <c r="AB12" s="16"/>
      <c r="AC12" s="16"/>
    </row>
    <row r="13" spans="1:30" ht="18.899999999999999" thickTop="1" thickBot="1" x14ac:dyDescent="0.5">
      <c r="A13" s="86">
        <f ca="1">VLOOKUP(C13,Postupy!$A$3:$C$18,3,0)</f>
        <v>21</v>
      </c>
      <c r="B13" s="16"/>
      <c r="C13" s="80">
        <v>6</v>
      </c>
      <c r="D13" s="253" t="str">
        <f ca="1">VLOOKUP(C13,Postupy!$A$3:$AI$10,35,0)</f>
        <v xml:space="preserve">51   - Erik, Dánsko  </v>
      </c>
      <c r="E13" s="130" t="str">
        <f>VLOOKUP(C13,Postupy!$A$3:$AJ$10,36,0)</f>
        <v/>
      </c>
      <c r="F13" s="20"/>
      <c r="G13" s="25"/>
      <c r="H13" s="296" t="s">
        <v>1680</v>
      </c>
      <c r="I13" s="297" t="str">
        <f ca="1">IF(OR(TRIM(H14)="-",TRIM(H15)="-"),"",VLOOKUP(MIN(G14,G15),Hřiště!$B$11:$E$42,4,0))</f>
        <v/>
      </c>
      <c r="J13" s="23"/>
      <c r="K13" s="25"/>
      <c r="L13" s="34"/>
      <c r="M13" s="15"/>
      <c r="N13" s="16"/>
      <c r="O13" s="16"/>
      <c r="P13" s="18"/>
      <c r="Q13" s="17"/>
      <c r="R13" s="16"/>
      <c r="S13" s="17"/>
      <c r="T13" s="16"/>
      <c r="U13" s="16"/>
      <c r="V13" s="16"/>
      <c r="W13" s="16"/>
      <c r="X13" s="16"/>
      <c r="Y13" s="16"/>
      <c r="Z13" s="16"/>
      <c r="AA13" s="16"/>
    </row>
    <row r="14" spans="1:30" ht="18" thickBot="1" x14ac:dyDescent="0.45">
      <c r="A14" s="76"/>
      <c r="B14" s="21"/>
      <c r="C14" s="16"/>
      <c r="D14" s="46"/>
      <c r="E14" s="16"/>
      <c r="F14" s="16"/>
      <c r="G14" s="78">
        <v>3</v>
      </c>
      <c r="H14" s="79" t="str">
        <f ca="1">IF(OR(TRIM(D12)="-",TRIM(D13)="-"), IF(TRIM(D12)="-",D13,D12),IF(AND(E12="",E13="")," ",IF(N(E12)=N(E13)," ",IF(N(E12)&gt;N(E13),D12,D13))))</f>
        <v>2 PLUK Jablonec - Lukáš Vojtěch</v>
      </c>
      <c r="I14" s="129" t="str">
        <f>VLOOKUP(G14,Postupy!$A$3:$AL$6,38,0)</f>
        <v/>
      </c>
      <c r="J14" s="26"/>
      <c r="K14" s="16"/>
      <c r="L14" s="34"/>
      <c r="M14" s="15"/>
      <c r="N14" s="16"/>
      <c r="O14" s="16"/>
      <c r="P14" s="18"/>
      <c r="Q14" s="16"/>
      <c r="R14" s="16"/>
      <c r="S14" s="16"/>
      <c r="T14" s="16"/>
      <c r="U14" s="17"/>
      <c r="V14" s="16"/>
      <c r="W14" s="16"/>
      <c r="X14" s="16"/>
      <c r="Y14" s="17"/>
      <c r="Z14" s="16"/>
      <c r="AA14" s="16"/>
    </row>
    <row r="15" spans="1:30" ht="18.899999999999999" thickTop="1" thickBot="1" x14ac:dyDescent="0.5">
      <c r="A15" s="75"/>
      <c r="B15" s="31"/>
      <c r="C15" s="16"/>
      <c r="D15" s="296" t="s">
        <v>1680</v>
      </c>
      <c r="E15" s="297" t="str">
        <f ca="1">IF(OR(TRIM(D16)="-",TRIM(D17)="-"),"",VLOOKUP(MIN(C16,C17),Hřiště!$B$11:$E$42,4,0))</f>
        <v/>
      </c>
      <c r="F15" s="16"/>
      <c r="G15" s="80">
        <v>2</v>
      </c>
      <c r="H15" s="81" t="str">
        <f ca="1">IF(OR(TRIM(D16)="-",TRIM(D17)="-"), IF(TRIM(D16)="-",D17,D16),IF(AND(E16="",E17="")," ",IF(N(E16)=N(E17)," ",IF(N(E16)&gt;N(E17),D16,D17))))</f>
        <v>14 PC Sokol Lipník - Morávek Petr</v>
      </c>
      <c r="I15" s="130">
        <f>VLOOKUP(G15,Postupy!$A$3:$AL$6,38,0)</f>
        <v>1</v>
      </c>
      <c r="J15" s="27"/>
      <c r="K15" s="16"/>
      <c r="L15" s="34"/>
      <c r="M15" s="15"/>
      <c r="N15" s="16"/>
      <c r="O15" s="16"/>
      <c r="P15" s="18"/>
      <c r="Q15" s="16"/>
      <c r="R15" s="16"/>
      <c r="S15" s="16"/>
      <c r="T15" s="16"/>
      <c r="U15" s="17"/>
      <c r="V15" s="16"/>
      <c r="W15" s="16"/>
      <c r="X15" s="16"/>
      <c r="Y15" s="17"/>
      <c r="Z15" s="16"/>
      <c r="AA15" s="16"/>
    </row>
    <row r="16" spans="1:30" ht="18" thickBot="1" x14ac:dyDescent="0.45">
      <c r="A16" s="86">
        <f ca="1">VLOOKUP(C16,Postupy!$A$3:$C$18,3,0)</f>
        <v>14</v>
      </c>
      <c r="B16" s="16"/>
      <c r="C16" s="78">
        <v>7</v>
      </c>
      <c r="D16" s="253" t="str">
        <f ca="1">VLOOKUP(C16,Postupy!$A$3:$AI$10,35,0)</f>
        <v>14 PC Sokol Lipník - Morávek Petr</v>
      </c>
      <c r="E16" s="129">
        <f>VLOOKUP(C16,Postupy!$A$3:$AJ$10,36,0)</f>
        <v>1</v>
      </c>
      <c r="F16" s="26"/>
      <c r="G16" s="25"/>
      <c r="H16" s="46"/>
      <c r="I16" s="15"/>
      <c r="J16" s="16"/>
      <c r="K16" s="16"/>
      <c r="L16" s="34"/>
      <c r="M16" s="15"/>
      <c r="N16" s="16"/>
      <c r="O16" s="16"/>
      <c r="P16" s="18"/>
      <c r="Q16" s="17"/>
      <c r="R16" s="16"/>
      <c r="S16" s="17"/>
      <c r="T16" s="33"/>
      <c r="U16" s="16"/>
      <c r="V16" s="16"/>
      <c r="W16" s="16"/>
      <c r="X16" s="16"/>
      <c r="Y16" s="16"/>
      <c r="Z16" s="16"/>
      <c r="AA16" s="16"/>
    </row>
    <row r="17" spans="1:27" ht="18.45" thickTop="1" thickBot="1" x14ac:dyDescent="0.45">
      <c r="A17" s="86">
        <f ca="1">VLOOKUP(C17,Postupy!$A$3:$C$18,3,0)</f>
        <v>1</v>
      </c>
      <c r="B17" s="16"/>
      <c r="C17" s="80">
        <v>2</v>
      </c>
      <c r="D17" s="253" t="str">
        <f ca="1">VLOOKUP(C17,Postupy!$A$3:$AI$10,35,0)</f>
        <v>1 PC Sokol Lipník - Vavrovič ml. Petr</v>
      </c>
      <c r="E17" s="130" t="str">
        <f>VLOOKUP(C17,Postupy!$A$3:$AJ$10,36,0)</f>
        <v/>
      </c>
      <c r="F17" s="27"/>
      <c r="G17" s="16"/>
      <c r="H17" s="46"/>
      <c r="I17" s="16"/>
      <c r="J17" s="16"/>
      <c r="K17" s="149"/>
      <c r="L17" s="210" t="s">
        <v>1682</v>
      </c>
      <c r="M17" s="15"/>
      <c r="N17" s="16"/>
      <c r="O17" s="16"/>
      <c r="P17" s="219"/>
      <c r="Q17" s="17"/>
      <c r="R17" s="16"/>
      <c r="S17" s="17"/>
      <c r="T17" s="215"/>
      <c r="U17" s="16"/>
      <c r="V17" s="16"/>
      <c r="W17" s="16"/>
      <c r="X17" s="16"/>
      <c r="Y17" s="16"/>
      <c r="Z17" s="16"/>
      <c r="AA17" s="16"/>
    </row>
    <row r="18" spans="1:27" ht="15.45" thickBot="1" x14ac:dyDescent="0.45">
      <c r="A18" s="75"/>
      <c r="B18" s="55"/>
      <c r="C18" s="56"/>
      <c r="D18" s="17"/>
      <c r="E18" s="16"/>
      <c r="F18" s="16"/>
      <c r="G18" s="16"/>
      <c r="H18" s="35"/>
      <c r="I18" s="16"/>
      <c r="J18" s="16"/>
      <c r="K18" s="16"/>
      <c r="L18" s="211" t="s">
        <v>1683</v>
      </c>
      <c r="M18" s="16"/>
      <c r="N18" s="16"/>
      <c r="O18" s="16"/>
      <c r="P18" s="16"/>
      <c r="Q18" s="16"/>
      <c r="R18" s="16"/>
      <c r="S18" s="17"/>
      <c r="T18" s="16"/>
      <c r="U18" s="16"/>
      <c r="V18" s="16"/>
      <c r="W18" s="16"/>
      <c r="X18" s="16"/>
      <c r="Y18" s="16"/>
      <c r="Z18" s="16"/>
      <c r="AA18" s="16"/>
    </row>
    <row r="19" spans="1:27" ht="17.5" customHeight="1" thickBot="1" x14ac:dyDescent="0.5">
      <c r="A19" s="16"/>
      <c r="B19" s="21"/>
      <c r="C19" s="16"/>
      <c r="D19" s="16"/>
      <c r="E19" s="16"/>
      <c r="F19" s="16"/>
      <c r="G19" s="16"/>
      <c r="H19" s="16"/>
      <c r="I19" s="16"/>
      <c r="J19" s="16"/>
      <c r="K19" s="149"/>
      <c r="L19" s="296" t="s">
        <v>1680</v>
      </c>
      <c r="M19" s="297" t="str">
        <f ca="1">IF(OR(TRIM(L20)="-",TRIM(L21)="-"),"",VLOOKUP(MIN(K20,K21),Hřiště!$B$11:$E$42,4,0))</f>
        <v/>
      </c>
      <c r="N19" s="16"/>
      <c r="O19" s="16"/>
      <c r="P19" s="16"/>
      <c r="Q19" s="16"/>
      <c r="R19" s="16"/>
      <c r="S19" s="17"/>
      <c r="T19" s="16"/>
      <c r="U19" s="16"/>
      <c r="V19" s="16"/>
      <c r="W19" s="16"/>
      <c r="X19" s="16"/>
      <c r="Y19" s="16"/>
      <c r="Z19" s="16"/>
      <c r="AA19" s="16"/>
    </row>
    <row r="20" spans="1:27" ht="18.45" thickTop="1" thickBot="1" x14ac:dyDescent="0.45">
      <c r="A20" s="16"/>
      <c r="B20" s="21"/>
      <c r="C20" s="16"/>
      <c r="D20" s="16"/>
      <c r="E20" s="22"/>
      <c r="F20" s="16"/>
      <c r="G20" s="16"/>
      <c r="H20" s="16"/>
      <c r="I20" s="16"/>
      <c r="J20" s="16"/>
      <c r="K20" s="78">
        <v>4</v>
      </c>
      <c r="L20" s="79" t="str">
        <f ca="1">IF(OR(TRIM(H6)="-",TRIM(H7)="-"), IF(TRIM(H6)="-",H6,H7),IF(AND(I6="",I7="")," ",IF(N(I7)=N(I6)," ",IF(N(I7)&gt;N(I6),H6,H7))))</f>
        <v>5 CdP Loděnice - Dlouhá Ivana</v>
      </c>
      <c r="M20" s="129" t="str">
        <f>VLOOKUP(K20,Postupy!$A$3:$AN$6,40,0)</f>
        <v/>
      </c>
      <c r="N20" s="163"/>
      <c r="O20" s="37">
        <v>3</v>
      </c>
      <c r="P20" s="98" t="str">
        <f>IF(AND(M20="",M21="")," ",IF(N(M20)=N(M21)," ",IF(N(M20)&gt;N(M21),L20,L21)))</f>
        <v xml:space="preserve"> </v>
      </c>
      <c r="Q20" s="97">
        <v>3</v>
      </c>
      <c r="R20" s="16"/>
      <c r="S20" s="17"/>
      <c r="T20" s="16"/>
      <c r="U20" s="16"/>
      <c r="V20" s="16"/>
      <c r="W20" s="16"/>
      <c r="X20" s="16"/>
      <c r="Y20" s="16"/>
      <c r="Z20" s="16"/>
      <c r="AA20" s="16"/>
    </row>
    <row r="21" spans="1:27" ht="18.45" thickTop="1" thickBot="1" x14ac:dyDescent="0.45">
      <c r="A21" s="16"/>
      <c r="B21" s="21"/>
      <c r="C21" s="16"/>
      <c r="D21" s="16"/>
      <c r="E21" s="22"/>
      <c r="F21" s="16"/>
      <c r="G21" s="16"/>
      <c r="H21" s="16"/>
      <c r="I21" s="16"/>
      <c r="J21" s="16"/>
      <c r="K21" s="80">
        <v>3</v>
      </c>
      <c r="L21" s="81" t="str">
        <f ca="1">IF(OR(TRIM(H14)="-",TRIM(H15)="-"), IF(TRIM(H14)="-",H14,H15),IF(AND(I14="",I15="")," ",IF(N(I15)=N(I14)," ",IF(N(I15)&gt;N(I14),H14,H15))))</f>
        <v>2 PLUK Jablonec - Lukáš Vojtěch</v>
      </c>
      <c r="M21" s="130" t="str">
        <f>VLOOKUP(K21,Postupy!$A$3:$AN$6,40,0)</f>
        <v/>
      </c>
      <c r="N21" s="151"/>
      <c r="O21" s="37">
        <v>4</v>
      </c>
      <c r="P21" s="98" t="str">
        <f>IF(AND(M20="",M21="")," ",IF(N(M21)=N(M20)," ",IF(N(M21)&gt;N(M20),L20,L21)))</f>
        <v xml:space="preserve"> </v>
      </c>
      <c r="Q21" s="97">
        <v>4</v>
      </c>
      <c r="R21" s="16"/>
      <c r="S21" s="17"/>
      <c r="T21" s="16"/>
      <c r="U21" s="16"/>
      <c r="V21" s="16"/>
      <c r="W21" s="16"/>
      <c r="X21" s="16"/>
      <c r="Y21" s="16"/>
      <c r="Z21" s="16"/>
      <c r="AA21" s="16"/>
    </row>
    <row r="22" spans="1:27" x14ac:dyDescent="0.4">
      <c r="A22" s="16"/>
      <c r="B22" s="21"/>
      <c r="C22" s="16"/>
      <c r="D22" s="16"/>
      <c r="E22" s="22"/>
      <c r="F22" s="16"/>
      <c r="G22" s="16"/>
      <c r="H22" s="16"/>
      <c r="I22" s="16"/>
      <c r="J22" s="16"/>
      <c r="K22" s="16"/>
      <c r="L22" s="16"/>
      <c r="M22" s="16"/>
      <c r="N22" s="16"/>
      <c r="O22" s="16"/>
      <c r="P22" s="16"/>
      <c r="Q22" s="16"/>
      <c r="R22" s="16"/>
      <c r="S22" s="17"/>
      <c r="T22" s="16"/>
      <c r="U22" s="16"/>
      <c r="V22" s="16"/>
      <c r="W22" s="16"/>
      <c r="X22" s="16"/>
      <c r="Y22" s="16"/>
      <c r="Z22" s="16"/>
      <c r="AA22" s="16"/>
    </row>
    <row r="23" spans="1:27" x14ac:dyDescent="0.4">
      <c r="A23" s="16"/>
      <c r="B23" s="21"/>
      <c r="C23" s="16"/>
      <c r="D23" s="16"/>
      <c r="E23" s="22"/>
      <c r="F23" s="16"/>
      <c r="G23" s="16"/>
      <c r="H23" s="16"/>
      <c r="I23" s="16"/>
      <c r="J23" s="16"/>
      <c r="K23" s="16"/>
      <c r="L23" s="16"/>
      <c r="M23" s="16"/>
      <c r="N23" s="16"/>
      <c r="O23" s="16"/>
      <c r="P23" s="16"/>
      <c r="Q23" s="16"/>
      <c r="R23" s="16"/>
      <c r="S23" s="17"/>
      <c r="T23" s="16"/>
      <c r="U23" s="16"/>
      <c r="V23" s="16"/>
      <c r="W23" s="16"/>
      <c r="X23" s="16"/>
      <c r="Y23" s="16"/>
      <c r="Z23" s="16"/>
      <c r="AA23" s="16"/>
    </row>
    <row r="24" spans="1:27" x14ac:dyDescent="0.4">
      <c r="A24" s="16"/>
      <c r="B24" s="21"/>
      <c r="C24" s="16"/>
      <c r="D24" s="16"/>
      <c r="E24" s="22"/>
      <c r="F24" s="16"/>
      <c r="G24" s="16"/>
      <c r="H24" s="16"/>
      <c r="I24" s="16"/>
      <c r="J24" s="16"/>
      <c r="K24" s="16"/>
      <c r="L24" s="16"/>
      <c r="M24" s="16"/>
      <c r="N24" s="16"/>
      <c r="O24" s="16"/>
      <c r="P24" s="16"/>
      <c r="Q24" s="16"/>
      <c r="R24" s="16"/>
      <c r="S24" s="17"/>
      <c r="T24" s="16"/>
      <c r="U24" s="16"/>
      <c r="V24" s="16"/>
      <c r="W24" s="16"/>
      <c r="X24" s="16"/>
      <c r="Y24" s="16"/>
      <c r="Z24" s="16"/>
      <c r="AA24" s="16"/>
    </row>
    <row r="25" spans="1:27" x14ac:dyDescent="0.4">
      <c r="A25" s="16"/>
      <c r="B25" s="21"/>
      <c r="C25" s="16"/>
      <c r="D25" s="16"/>
      <c r="E25" s="22"/>
      <c r="F25" s="16"/>
      <c r="G25" s="16"/>
      <c r="H25" s="16"/>
      <c r="I25" s="16"/>
      <c r="J25" s="16"/>
      <c r="K25" s="16"/>
      <c r="L25" s="16"/>
      <c r="M25" s="16"/>
      <c r="N25" s="16"/>
      <c r="O25" s="16"/>
      <c r="P25" s="16"/>
      <c r="Q25" s="16"/>
      <c r="R25" s="16"/>
      <c r="S25" s="17"/>
      <c r="T25" s="16"/>
      <c r="U25" s="16"/>
      <c r="V25" s="16"/>
      <c r="W25" s="16"/>
      <c r="X25" s="16"/>
      <c r="Y25" s="16"/>
      <c r="Z25" s="16"/>
      <c r="AA25" s="16"/>
    </row>
    <row r="26" spans="1:27" x14ac:dyDescent="0.4">
      <c r="A26" s="16"/>
      <c r="B26" s="21"/>
      <c r="C26" s="16"/>
      <c r="D26" s="16"/>
      <c r="E26" s="22"/>
      <c r="F26" s="16"/>
      <c r="G26" s="16"/>
      <c r="H26" s="16"/>
      <c r="I26" s="16"/>
      <c r="J26" s="16"/>
      <c r="K26" s="16"/>
      <c r="L26" s="16"/>
      <c r="M26" s="16"/>
      <c r="N26" s="16"/>
      <c r="O26" s="16"/>
      <c r="P26" s="16"/>
      <c r="Q26" s="16"/>
      <c r="R26" s="16"/>
      <c r="S26" s="17"/>
      <c r="T26" s="16"/>
      <c r="U26" s="16"/>
      <c r="V26" s="16"/>
      <c r="W26" s="16"/>
      <c r="X26" s="16"/>
      <c r="Y26" s="16"/>
      <c r="Z26" s="16"/>
      <c r="AA26" s="16"/>
    </row>
    <row r="27" spans="1:27" x14ac:dyDescent="0.4">
      <c r="A27" s="16"/>
      <c r="B27" s="21"/>
      <c r="C27" s="16"/>
      <c r="D27" s="16"/>
      <c r="E27" s="22"/>
      <c r="F27" s="16"/>
      <c r="G27" s="16"/>
      <c r="H27" s="16"/>
      <c r="I27" s="16"/>
      <c r="J27" s="16"/>
      <c r="K27" s="16"/>
      <c r="L27" s="16"/>
      <c r="M27" s="16"/>
      <c r="N27" s="16"/>
      <c r="O27" s="16"/>
      <c r="P27" s="16"/>
      <c r="Q27" s="16"/>
      <c r="R27" s="16"/>
      <c r="S27" s="17"/>
      <c r="T27" s="16"/>
      <c r="U27" s="16"/>
      <c r="V27" s="16"/>
      <c r="W27" s="16"/>
      <c r="X27" s="16"/>
      <c r="Y27" s="16"/>
      <c r="Z27" s="16"/>
      <c r="AA27" s="16"/>
    </row>
    <row r="28" spans="1:27" x14ac:dyDescent="0.4">
      <c r="A28" s="16"/>
      <c r="B28" s="21"/>
      <c r="C28" s="16"/>
      <c r="D28" s="16"/>
      <c r="E28" s="22"/>
      <c r="F28" s="16"/>
      <c r="G28" s="16"/>
      <c r="H28" s="16"/>
      <c r="I28" s="16"/>
      <c r="J28" s="16"/>
      <c r="K28" s="16"/>
      <c r="L28" s="16"/>
      <c r="M28" s="16"/>
      <c r="N28" s="16"/>
      <c r="O28" s="16"/>
      <c r="P28" s="16"/>
      <c r="Q28" s="16"/>
      <c r="R28" s="16"/>
      <c r="S28" s="17"/>
      <c r="T28" s="16"/>
      <c r="U28" s="16"/>
      <c r="V28" s="16"/>
      <c r="W28" s="16"/>
      <c r="X28" s="16"/>
      <c r="Y28" s="16"/>
      <c r="Z28" s="16"/>
      <c r="AA28" s="16"/>
    </row>
    <row r="29" spans="1:27" x14ac:dyDescent="0.4">
      <c r="A29" s="16"/>
      <c r="B29" s="21"/>
      <c r="C29" s="16"/>
      <c r="D29" s="16"/>
      <c r="E29" s="22"/>
      <c r="F29" s="16"/>
      <c r="G29" s="16"/>
      <c r="H29" s="16"/>
      <c r="I29" s="16"/>
      <c r="J29" s="16"/>
      <c r="K29" s="16"/>
      <c r="L29" s="16"/>
      <c r="M29" s="16"/>
      <c r="N29" s="16"/>
      <c r="O29" s="16"/>
      <c r="P29" s="16"/>
      <c r="Q29" s="16"/>
      <c r="R29" s="16"/>
      <c r="S29" s="17"/>
      <c r="T29" s="16"/>
      <c r="U29" s="16"/>
      <c r="V29" s="16"/>
      <c r="W29" s="16"/>
      <c r="X29" s="16"/>
      <c r="Y29" s="16"/>
      <c r="Z29" s="16"/>
      <c r="AA29" s="16"/>
    </row>
    <row r="30" spans="1:27" x14ac:dyDescent="0.4">
      <c r="A30" s="16"/>
      <c r="B30" s="21"/>
      <c r="C30" s="16"/>
      <c r="D30" s="16"/>
      <c r="E30" s="22"/>
      <c r="F30" s="16"/>
      <c r="G30" s="16"/>
      <c r="H30" s="16"/>
      <c r="I30" s="16"/>
      <c r="J30" s="16"/>
      <c r="K30" s="16"/>
      <c r="L30" s="16"/>
      <c r="M30" s="16"/>
      <c r="N30" s="16"/>
      <c r="O30" s="16"/>
      <c r="P30" s="16"/>
      <c r="Q30" s="16"/>
      <c r="R30" s="16"/>
      <c r="S30" s="17"/>
      <c r="T30" s="16"/>
      <c r="U30" s="16"/>
      <c r="V30" s="16"/>
      <c r="W30" s="16"/>
      <c r="X30" s="16"/>
      <c r="Y30" s="16"/>
      <c r="Z30" s="16"/>
      <c r="AA30" s="16"/>
    </row>
    <row r="31" spans="1:27" x14ac:dyDescent="0.4">
      <c r="A31" s="16"/>
      <c r="B31" s="21"/>
      <c r="C31" s="16"/>
      <c r="D31" s="16"/>
      <c r="E31" s="22"/>
      <c r="F31" s="16"/>
      <c r="G31" s="16"/>
      <c r="H31" s="16"/>
      <c r="I31" s="16"/>
      <c r="J31" s="16"/>
      <c r="K31" s="16"/>
      <c r="L31" s="16"/>
      <c r="M31" s="16"/>
      <c r="N31" s="16"/>
      <c r="O31" s="16"/>
      <c r="P31" s="16"/>
      <c r="Q31" s="16"/>
      <c r="R31" s="16"/>
      <c r="S31" s="17"/>
      <c r="T31" s="16"/>
      <c r="U31" s="16"/>
      <c r="V31" s="16"/>
      <c r="W31" s="16"/>
      <c r="X31" s="16"/>
      <c r="Y31" s="16"/>
      <c r="Z31" s="16"/>
      <c r="AA31" s="16"/>
    </row>
    <row r="32" spans="1:27" x14ac:dyDescent="0.4">
      <c r="A32" s="16"/>
      <c r="B32" s="21"/>
      <c r="C32" s="16"/>
      <c r="D32" s="16"/>
      <c r="E32" s="22"/>
      <c r="F32" s="16"/>
      <c r="G32" s="16"/>
      <c r="H32" s="16"/>
      <c r="I32" s="16"/>
      <c r="J32" s="16"/>
      <c r="K32" s="16"/>
      <c r="L32" s="16"/>
      <c r="M32" s="16"/>
      <c r="N32" s="16"/>
      <c r="O32" s="16"/>
      <c r="P32" s="16"/>
      <c r="Q32" s="16"/>
      <c r="R32" s="16"/>
      <c r="S32" s="17"/>
      <c r="T32" s="16"/>
      <c r="U32" s="16"/>
      <c r="V32" s="16"/>
      <c r="W32" s="16"/>
      <c r="X32" s="16"/>
      <c r="Y32" s="16"/>
      <c r="Z32" s="16"/>
      <c r="AA32" s="16"/>
    </row>
    <row r="33" spans="1:27" x14ac:dyDescent="0.4">
      <c r="A33" s="16"/>
      <c r="B33" s="21"/>
      <c r="C33" s="16"/>
      <c r="D33" s="16"/>
      <c r="E33" s="22"/>
      <c r="F33" s="16"/>
      <c r="G33" s="16"/>
      <c r="H33" s="16"/>
      <c r="I33" s="16"/>
      <c r="J33" s="16"/>
      <c r="K33" s="16"/>
      <c r="L33" s="16"/>
      <c r="M33" s="16"/>
      <c r="N33" s="16"/>
      <c r="O33" s="16"/>
      <c r="P33" s="16"/>
      <c r="Q33" s="16"/>
      <c r="R33" s="16"/>
      <c r="S33" s="17"/>
      <c r="T33" s="16"/>
      <c r="U33" s="16"/>
      <c r="V33" s="16"/>
      <c r="W33" s="16"/>
      <c r="X33" s="16"/>
      <c r="Y33" s="16"/>
      <c r="Z33" s="16"/>
      <c r="AA33" s="16"/>
    </row>
    <row r="34" spans="1:27" x14ac:dyDescent="0.4">
      <c r="A34" s="16"/>
      <c r="B34" s="21"/>
      <c r="C34" s="16"/>
      <c r="D34" s="16"/>
      <c r="E34" s="22"/>
      <c r="F34" s="16"/>
      <c r="G34" s="16"/>
      <c r="H34" s="16"/>
      <c r="I34" s="16"/>
      <c r="J34" s="16"/>
      <c r="K34" s="16"/>
      <c r="L34" s="16"/>
      <c r="M34" s="16"/>
      <c r="N34" s="16"/>
      <c r="O34" s="16"/>
      <c r="P34" s="16"/>
      <c r="Q34" s="16"/>
      <c r="R34" s="16"/>
      <c r="S34" s="17"/>
      <c r="T34" s="16"/>
      <c r="U34" s="16"/>
      <c r="V34" s="16"/>
      <c r="W34" s="16"/>
      <c r="X34" s="16"/>
      <c r="Y34" s="16"/>
      <c r="Z34" s="16"/>
      <c r="AA34" s="16"/>
    </row>
    <row r="35" spans="1:27" x14ac:dyDescent="0.4">
      <c r="A35" s="16"/>
      <c r="B35" s="21"/>
      <c r="C35" s="16"/>
      <c r="D35" s="16"/>
      <c r="E35" s="22"/>
      <c r="F35" s="16"/>
      <c r="G35" s="16"/>
      <c r="H35" s="16"/>
      <c r="I35" s="16"/>
      <c r="J35" s="16"/>
      <c r="K35" s="16"/>
      <c r="L35" s="16"/>
      <c r="M35" s="16"/>
      <c r="N35" s="16"/>
      <c r="O35" s="16"/>
      <c r="P35" s="16"/>
      <c r="Q35" s="16"/>
      <c r="R35" s="16"/>
      <c r="S35" s="17"/>
      <c r="T35" s="16"/>
      <c r="U35" s="16"/>
      <c r="V35" s="16"/>
      <c r="W35" s="16"/>
      <c r="X35" s="16"/>
      <c r="Y35" s="16"/>
      <c r="Z35" s="16"/>
      <c r="AA35" s="16"/>
    </row>
    <row r="36" spans="1:27" x14ac:dyDescent="0.4">
      <c r="A36" s="16"/>
      <c r="B36" s="21"/>
      <c r="C36" s="16"/>
      <c r="D36" s="16"/>
      <c r="E36" s="22"/>
      <c r="F36" s="16"/>
      <c r="G36" s="16"/>
      <c r="H36" s="16"/>
      <c r="I36" s="16"/>
      <c r="J36" s="16"/>
      <c r="K36" s="16"/>
      <c r="L36" s="16"/>
      <c r="M36" s="16"/>
      <c r="N36" s="16"/>
      <c r="O36" s="16"/>
      <c r="P36" s="16"/>
      <c r="Q36" s="16"/>
      <c r="R36" s="16"/>
      <c r="S36" s="17"/>
      <c r="T36" s="16"/>
      <c r="U36" s="16"/>
      <c r="V36" s="16"/>
      <c r="W36" s="16"/>
      <c r="X36" s="16"/>
      <c r="Y36" s="16"/>
      <c r="Z36" s="16"/>
      <c r="AA36" s="16"/>
    </row>
    <row r="37" spans="1:27" x14ac:dyDescent="0.4">
      <c r="A37" s="16"/>
      <c r="B37" s="21"/>
      <c r="C37" s="16"/>
      <c r="D37" s="16"/>
      <c r="E37" s="22"/>
      <c r="F37" s="16"/>
      <c r="G37" s="16"/>
      <c r="H37" s="16"/>
      <c r="I37" s="16"/>
      <c r="J37" s="16"/>
      <c r="K37" s="16"/>
      <c r="L37" s="16"/>
      <c r="M37" s="16"/>
      <c r="N37" s="16"/>
      <c r="O37" s="16"/>
      <c r="P37" s="16"/>
      <c r="Q37" s="16"/>
      <c r="R37" s="16"/>
      <c r="S37" s="17"/>
      <c r="T37" s="16"/>
      <c r="U37" s="16"/>
      <c r="V37" s="16"/>
      <c r="W37" s="16"/>
      <c r="X37" s="16"/>
      <c r="Y37" s="16"/>
      <c r="Z37" s="16"/>
      <c r="AA37" s="16"/>
    </row>
    <row r="38" spans="1:27" x14ac:dyDescent="0.4">
      <c r="A38" s="16"/>
      <c r="B38" s="21"/>
      <c r="C38" s="16"/>
      <c r="D38" s="16"/>
      <c r="E38" s="22"/>
      <c r="F38" s="16"/>
      <c r="G38" s="16"/>
      <c r="H38" s="16"/>
      <c r="I38" s="16"/>
      <c r="J38" s="16"/>
      <c r="K38" s="16"/>
      <c r="L38" s="16"/>
      <c r="M38" s="16"/>
      <c r="N38" s="16"/>
      <c r="O38" s="16"/>
      <c r="P38" s="16"/>
      <c r="Q38" s="16"/>
      <c r="R38" s="16"/>
      <c r="S38" s="17"/>
      <c r="T38" s="16"/>
      <c r="U38" s="16"/>
      <c r="V38" s="16"/>
      <c r="W38" s="16"/>
      <c r="X38" s="16"/>
      <c r="Y38" s="16"/>
      <c r="Z38" s="16"/>
      <c r="AA38" s="16"/>
    </row>
    <row r="39" spans="1:27" x14ac:dyDescent="0.4">
      <c r="A39" s="16"/>
      <c r="B39" s="21"/>
      <c r="C39" s="16"/>
      <c r="D39" s="16"/>
      <c r="E39" s="22"/>
      <c r="F39" s="16"/>
      <c r="G39" s="16"/>
      <c r="H39" s="16"/>
      <c r="I39" s="16"/>
      <c r="J39" s="16"/>
      <c r="K39" s="16"/>
      <c r="L39" s="16"/>
      <c r="M39" s="16"/>
      <c r="N39" s="16"/>
      <c r="O39" s="16"/>
      <c r="P39" s="16"/>
      <c r="Q39" s="16"/>
      <c r="R39" s="16"/>
      <c r="S39" s="17"/>
      <c r="T39" s="16"/>
      <c r="U39" s="16"/>
      <c r="V39" s="16"/>
      <c r="W39" s="16"/>
      <c r="X39" s="16"/>
      <c r="Y39" s="16"/>
      <c r="Z39" s="16"/>
      <c r="AA39" s="16"/>
    </row>
    <row r="40" spans="1:27" x14ac:dyDescent="0.4">
      <c r="A40" s="16"/>
      <c r="B40" s="21"/>
      <c r="C40" s="16"/>
      <c r="D40" s="16"/>
      <c r="E40" s="22"/>
      <c r="F40" s="16"/>
      <c r="G40" s="16"/>
      <c r="H40" s="16"/>
      <c r="I40" s="16"/>
      <c r="J40" s="16"/>
      <c r="K40" s="16"/>
      <c r="L40" s="16"/>
      <c r="M40" s="16"/>
      <c r="N40" s="16"/>
      <c r="O40" s="16"/>
      <c r="P40" s="16"/>
      <c r="Q40" s="16"/>
      <c r="R40" s="16"/>
      <c r="S40" s="17"/>
      <c r="T40" s="16"/>
      <c r="U40" s="16"/>
      <c r="V40" s="16"/>
      <c r="W40" s="16"/>
      <c r="X40" s="16"/>
      <c r="Y40" s="16"/>
      <c r="Z40" s="16"/>
      <c r="AA40" s="16"/>
    </row>
    <row r="41" spans="1:27" x14ac:dyDescent="0.4">
      <c r="A41" s="16"/>
      <c r="B41" s="21"/>
      <c r="C41" s="16"/>
      <c r="D41" s="16"/>
      <c r="E41" s="22"/>
      <c r="F41" s="16"/>
      <c r="G41" s="16"/>
      <c r="H41" s="16"/>
      <c r="I41" s="16"/>
      <c r="J41" s="16"/>
      <c r="K41" s="16"/>
      <c r="L41" s="16"/>
      <c r="M41" s="16"/>
      <c r="N41" s="16"/>
      <c r="O41" s="16"/>
      <c r="P41" s="16"/>
      <c r="Q41" s="16"/>
      <c r="R41" s="16"/>
      <c r="S41" s="17"/>
      <c r="T41" s="16"/>
      <c r="U41" s="16"/>
      <c r="V41" s="16"/>
      <c r="W41" s="16"/>
      <c r="X41" s="16"/>
      <c r="Y41" s="16"/>
      <c r="Z41" s="16"/>
      <c r="AA41" s="16"/>
    </row>
    <row r="42" spans="1:27" x14ac:dyDescent="0.4">
      <c r="A42" s="16"/>
      <c r="B42" s="21"/>
      <c r="C42" s="16"/>
      <c r="D42" s="16"/>
      <c r="E42" s="22"/>
      <c r="F42" s="16"/>
      <c r="G42" s="16"/>
      <c r="H42" s="16"/>
      <c r="I42" s="16"/>
      <c r="J42" s="16"/>
      <c r="K42" s="16"/>
      <c r="L42" s="16"/>
      <c r="M42" s="16"/>
      <c r="N42" s="16"/>
      <c r="O42" s="16"/>
      <c r="P42" s="16"/>
      <c r="Q42" s="16"/>
      <c r="R42" s="16"/>
      <c r="S42" s="17"/>
      <c r="T42" s="16"/>
      <c r="U42" s="16"/>
      <c r="V42" s="16"/>
      <c r="W42" s="16"/>
      <c r="X42" s="16"/>
      <c r="Y42" s="16"/>
      <c r="Z42" s="16"/>
      <c r="AA42" s="16"/>
    </row>
    <row r="43" spans="1:27" x14ac:dyDescent="0.4">
      <c r="A43" s="16"/>
      <c r="B43" s="21"/>
      <c r="C43" s="16"/>
      <c r="D43" s="16"/>
      <c r="E43" s="22"/>
      <c r="F43" s="16"/>
      <c r="G43" s="16"/>
      <c r="H43" s="16"/>
      <c r="I43" s="16"/>
      <c r="J43" s="16"/>
      <c r="K43" s="16"/>
      <c r="L43" s="16"/>
      <c r="M43" s="16"/>
      <c r="N43" s="16"/>
      <c r="O43" s="16"/>
      <c r="P43" s="16"/>
      <c r="Q43" s="16"/>
      <c r="R43" s="16"/>
      <c r="S43" s="17"/>
      <c r="T43" s="16"/>
      <c r="U43" s="16"/>
      <c r="V43" s="16"/>
      <c r="W43" s="16"/>
      <c r="X43" s="16"/>
      <c r="Y43" s="16"/>
      <c r="Z43" s="16"/>
      <c r="AA43" s="16"/>
    </row>
  </sheetData>
  <sheetProtection password="CA1B" sheet="1" formatCells="0" formatColumns="0" formatRows="0"/>
  <phoneticPr fontId="0" type="noConversion"/>
  <conditionalFormatting sqref="L10 L20 D4 D12 H6 H14 D8 D16">
    <cfRule type="expression" dxfId="20" priority="1" stopIfTrue="1">
      <formula>IF(N(E4)&gt;N(E5),TRUE,FALSE)</formula>
    </cfRule>
  </conditionalFormatting>
  <conditionalFormatting sqref="C4 C8 C12 C16 G6 G14 K10 K20">
    <cfRule type="expression" dxfId="19" priority="2" stopIfTrue="1">
      <formula>IF(N(E4)&gt;N(E5),TRUE,FALSE)</formula>
    </cfRule>
  </conditionalFormatting>
  <conditionalFormatting sqref="I6 E16 E4 I14 E8 E12 M10 M20">
    <cfRule type="expression" dxfId="18" priority="3" stopIfTrue="1">
      <formula>IF(N(E4)&gt;N(E5),TRUE,FALSE)</formula>
    </cfRule>
  </conditionalFormatting>
  <conditionalFormatting sqref="C5 C9 C13 C17 G7 G15 K11 K21">
    <cfRule type="expression" dxfId="17" priority="4" stopIfTrue="1">
      <formula>IF(N(E5)&gt;N(E4),TRUE,FALSE)</formula>
    </cfRule>
  </conditionalFormatting>
  <conditionalFormatting sqref="L21 H15 H7 L11">
    <cfRule type="expression" dxfId="16" priority="5" stopIfTrue="1">
      <formula>IF(N(I7)&gt;N(I6),TRUE,FALSE)</formula>
    </cfRule>
  </conditionalFormatting>
  <conditionalFormatting sqref="I7 E17 E5 I15 E9 E13 M11 M21">
    <cfRule type="expression" dxfId="15" priority="6" stopIfTrue="1">
      <formula>IF(N(E5)&gt;N(E4),TRUE,FALSE)</formula>
    </cfRule>
  </conditionalFormatting>
  <conditionalFormatting sqref="D5 D9 D13 D17">
    <cfRule type="expression" dxfId="14" priority="7" stopIfTrue="1">
      <formula>IF(N(E5)&gt;N(E4),TRUE,FALSE)</formula>
    </cfRule>
  </conditionalFormatting>
  <pageMargins left="0.78740157499999996" right="0.78740157499999996" top="0.984251969" bottom="0.984251969" header="0.4921259845" footer="0.4921259845"/>
  <pageSetup paperSize="9" scale="94"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8673" r:id="rId4" name="Button 1">
              <controlPr defaultSize="0" print="0" autoFill="0" autoPict="0" macro="[0]!BezHrist">
                <anchor moveWithCells="1">
                  <from>
                    <xdr:col>11</xdr:col>
                    <xdr:colOff>250371</xdr:colOff>
                    <xdr:row>4</xdr:row>
                    <xdr:rowOff>27214</xdr:rowOff>
                  </from>
                  <to>
                    <xdr:col>11</xdr:col>
                    <xdr:colOff>1447800</xdr:colOff>
                    <xdr:row>6</xdr:row>
                    <xdr:rowOff>97971</xdr:rowOff>
                  </to>
                </anchor>
              </controlPr>
            </control>
          </mc:Choice>
        </mc:AlternateContent>
        <mc:AlternateContent xmlns:mc="http://schemas.openxmlformats.org/markup-compatibility/2006">
          <mc:Choice Requires="x14">
            <control shapeId="28674" r:id="rId5" name="Button 2">
              <controlPr defaultSize="0" print="0" autoFill="0" autoPict="0" macro="[0]!Hriste4">
                <anchor moveWithCells="1">
                  <from>
                    <xdr:col>7</xdr:col>
                    <xdr:colOff>250371</xdr:colOff>
                    <xdr:row>2</xdr:row>
                    <xdr:rowOff>103414</xdr:rowOff>
                  </from>
                  <to>
                    <xdr:col>7</xdr:col>
                    <xdr:colOff>1551214</xdr:colOff>
                    <xdr:row>4</xdr:row>
                    <xdr:rowOff>59871</xdr:rowOff>
                  </to>
                </anchor>
              </controlPr>
            </control>
          </mc:Choice>
        </mc:AlternateContent>
      </controls>
    </mc:Choice>
  </mc:AlternateConten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List24"/>
  <dimension ref="A1:AD32"/>
  <sheetViews>
    <sheetView topLeftCell="B1" workbookViewId="0">
      <pane xSplit="3" ySplit="3" topLeftCell="E4" activePane="bottomRight" state="frozen"/>
      <selection pane="topRight" activeCell="G8" sqref="G8"/>
      <selection pane="bottomLeft" activeCell="G8" sqref="G8"/>
      <selection pane="bottomRight" activeCell="E4" sqref="E4"/>
    </sheetView>
  </sheetViews>
  <sheetFormatPr defaultRowHeight="12" x14ac:dyDescent="0.4"/>
  <cols>
    <col min="1" max="1" width="6.4140625" hidden="1" customWidth="1"/>
    <col min="2" max="2" width="1.75" customWidth="1"/>
    <col min="3" max="3" width="5.4140625" customWidth="1"/>
    <col min="4" max="4" width="28.4140625" customWidth="1"/>
    <col min="5" max="5" width="5" customWidth="1"/>
    <col min="6" max="6" width="2.4140625" customWidth="1"/>
    <col min="7" max="7" width="0.25" customWidth="1"/>
    <col min="8" max="8" width="28.4140625" customWidth="1"/>
    <col min="9" max="9" width="5" customWidth="1"/>
    <col min="10" max="10" width="2.4140625" customWidth="1"/>
    <col min="11" max="11" width="0.4140625" customWidth="1"/>
    <col min="12" max="12" width="28.4140625" customWidth="1"/>
    <col min="13" max="13" width="5" customWidth="1"/>
    <col min="14" max="14" width="2.4140625" customWidth="1"/>
    <col min="15" max="15" width="5.4140625" customWidth="1"/>
    <col min="16" max="16" width="22.83203125" customWidth="1"/>
    <col min="17" max="17" width="5" customWidth="1"/>
    <col min="18" max="18" width="2.4140625" customWidth="1"/>
    <col min="19" max="19" width="5.4140625" customWidth="1"/>
    <col min="20" max="20" width="25.4140625" customWidth="1"/>
    <col min="21" max="21" width="5" customWidth="1"/>
  </cols>
  <sheetData>
    <row r="1" spans="1:30" ht="12.45" thickBot="1" x14ac:dyDescent="0.45">
      <c r="B1" s="27"/>
      <c r="C1" s="54"/>
      <c r="D1" s="54"/>
      <c r="E1" s="54"/>
      <c r="F1" s="54"/>
      <c r="G1" s="54"/>
      <c r="H1" s="54"/>
      <c r="I1" s="54"/>
      <c r="J1" s="54"/>
      <c r="K1" s="54"/>
      <c r="L1" s="54"/>
      <c r="M1" s="54"/>
      <c r="N1" s="54"/>
      <c r="O1" s="54"/>
      <c r="P1" s="54"/>
      <c r="R1" s="16"/>
      <c r="S1" s="16"/>
      <c r="T1" s="16"/>
      <c r="U1" s="16"/>
      <c r="V1" s="15"/>
      <c r="W1" s="16"/>
      <c r="X1" s="16"/>
      <c r="Y1" s="16"/>
      <c r="Z1" s="15"/>
      <c r="AA1" s="16"/>
    </row>
    <row r="2" spans="1:30" ht="32.5" customHeight="1" thickBot="1" x14ac:dyDescent="1.1000000000000001">
      <c r="A2" s="50"/>
      <c r="B2" s="21"/>
      <c r="C2" s="50"/>
      <c r="D2" s="132" t="s">
        <v>1690</v>
      </c>
      <c r="E2" s="15"/>
      <c r="F2" s="16"/>
      <c r="G2" s="16"/>
      <c r="H2" s="28"/>
      <c r="I2" s="16"/>
      <c r="J2" s="16"/>
      <c r="K2" s="16"/>
      <c r="L2" s="16"/>
      <c r="M2" s="16"/>
      <c r="N2" s="16"/>
      <c r="O2" s="16"/>
      <c r="P2" s="16"/>
      <c r="Q2" s="16"/>
      <c r="R2" s="16"/>
      <c r="S2" s="16"/>
      <c r="T2" s="16"/>
      <c r="U2" s="16"/>
      <c r="V2" s="15"/>
      <c r="W2" s="16"/>
      <c r="X2" s="16"/>
      <c r="Y2" s="16"/>
      <c r="Z2" s="15"/>
      <c r="AA2" s="16"/>
    </row>
    <row r="3" spans="1:30" ht="28.95" customHeight="1" thickBot="1" x14ac:dyDescent="0.5">
      <c r="A3" s="16"/>
      <c r="B3" s="31"/>
      <c r="C3" s="52"/>
      <c r="D3" s="296" t="s">
        <v>1680</v>
      </c>
      <c r="E3" s="297" t="str">
        <f ca="1">IF(OR(TRIM(D4)="-",TRIM(D5)="-"),"",VLOOKUP(MIN(C4,C5),Hřiště!$B$11:$E$42,4,0))</f>
        <v/>
      </c>
      <c r="F3" s="51"/>
      <c r="G3" s="52"/>
      <c r="H3" s="57"/>
      <c r="I3" s="53"/>
      <c r="J3" s="51"/>
      <c r="K3" s="51"/>
      <c r="L3" s="57"/>
      <c r="M3" s="53"/>
      <c r="N3" s="51"/>
      <c r="O3" s="51"/>
      <c r="P3" s="57"/>
      <c r="Q3" s="53"/>
      <c r="R3" s="16"/>
      <c r="S3" s="16"/>
      <c r="T3" s="16"/>
      <c r="U3" s="16"/>
      <c r="V3" s="15"/>
      <c r="W3" s="16"/>
      <c r="X3" s="16"/>
      <c r="Y3" s="16"/>
      <c r="Z3" s="15"/>
      <c r="AA3" s="16"/>
    </row>
    <row r="4" spans="1:30" ht="18" thickBot="1" x14ac:dyDescent="0.45">
      <c r="A4" s="86">
        <f ca="1">VLOOKUP(C4,Postupy!$A$3:$C$34,3,0)</f>
        <v>28</v>
      </c>
      <c r="B4" s="65"/>
      <c r="C4" s="78">
        <v>8</v>
      </c>
      <c r="D4" s="253" t="str">
        <f ca="1">IF(OR(TRIM('KO8'!D4)="-",TRIM('KO8'!D5)="-"), IF(TRIM('KO8'!D4)="-",'KO8'!D4,'KO8'!D5),IF(AND('KO8'!E4="",'KO8'!E5="")," ",IF(N('KO8'!E4)=N('KO8'!E5)," ",IF(N('KO8'!E4)&gt;N('KO8'!E5),'KO8'!D5,'KO8'!D4))))</f>
        <v>28 PC Sokol PP Hr. Králové - Hochmann Lukáš</v>
      </c>
      <c r="E4" s="129"/>
      <c r="F4" s="19"/>
      <c r="G4" s="16"/>
      <c r="H4" s="36"/>
      <c r="I4" s="205"/>
      <c r="J4" s="16"/>
      <c r="K4" s="16"/>
      <c r="L4" s="33"/>
      <c r="M4" s="16"/>
      <c r="N4" s="16"/>
      <c r="O4" s="16"/>
      <c r="P4" s="16"/>
      <c r="Q4" s="16"/>
      <c r="R4" s="16"/>
      <c r="S4" s="16"/>
      <c r="T4" s="17"/>
      <c r="U4" s="16"/>
      <c r="V4" s="16"/>
      <c r="W4" s="16"/>
      <c r="X4" s="16"/>
      <c r="Y4" s="16"/>
      <c r="Z4" s="16"/>
      <c r="AA4" s="16"/>
      <c r="AB4" s="16"/>
    </row>
    <row r="5" spans="1:30" ht="18.899999999999999" thickTop="1" thickBot="1" x14ac:dyDescent="0.5">
      <c r="A5" s="86">
        <f ca="1">VLOOKUP(C5,Postupy!$A$3:$C$34,3,0)</f>
        <v>23</v>
      </c>
      <c r="B5" s="66"/>
      <c r="C5" s="80">
        <v>5</v>
      </c>
      <c r="D5" s="254" t="str">
        <f ca="1">IF(OR(TRIM('KO8'!D8)="-",TRIM('KO8'!D9)="-"), IF(TRIM('KO8'!D8)="-",'KO8'!D8,'KO8'!D9),IF(AND('KO8'!E8="",'KO8'!E9="")," ",IF(N('KO8'!E8)=N('KO8'!E9)," ",IF(N('KO8'!E8)&gt;N('KO8'!E9),'KO8'!D9,'KO8'!D8))))</f>
        <v>7 1. KPK Vrchlabí - Semeniv Maryana Khrystyna</v>
      </c>
      <c r="E5" s="130"/>
      <c r="F5" s="20"/>
      <c r="G5" s="25"/>
      <c r="H5" s="255" t="s">
        <v>1691</v>
      </c>
      <c r="I5" s="297" t="str">
        <f ca="1">IF(OR(TRIM(H6)="-",TRIM(H7)="-"),"",VLOOKUP(MIN(G6,G7),Hřiště!$B$11:$E$42,4,0))</f>
        <v/>
      </c>
      <c r="J5" s="16"/>
      <c r="K5" s="16"/>
      <c r="L5" s="33"/>
      <c r="M5" s="16"/>
      <c r="N5" s="16"/>
      <c r="O5" s="16"/>
      <c r="P5" s="16"/>
      <c r="Q5" s="16"/>
      <c r="R5" s="16"/>
      <c r="S5" s="16"/>
      <c r="T5" s="17"/>
      <c r="U5" s="16"/>
      <c r="V5" s="16"/>
      <c r="W5" s="16"/>
      <c r="X5" s="16"/>
      <c r="Y5" s="16"/>
      <c r="Z5" s="16"/>
      <c r="AA5" s="16"/>
      <c r="AB5" s="16"/>
    </row>
    <row r="6" spans="1:30" ht="18.45" thickTop="1" thickBot="1" x14ac:dyDescent="0.45">
      <c r="A6" s="76"/>
      <c r="B6" s="21"/>
      <c r="C6" s="16"/>
      <c r="D6" s="46"/>
      <c r="E6" s="205"/>
      <c r="F6" s="16"/>
      <c r="G6" s="78">
        <v>5</v>
      </c>
      <c r="H6" s="79" t="str">
        <f ca="1">IF(OR(TRIM(D4)="-",TRIM(D5)="-"), IF(TRIM(D4)="-",D5,D4),IF(AND(E4="",E5="")," ",IF(N(E4)=N(E5)," ",IF(N(E4)&gt;N(E5),D4,D5))))</f>
        <v xml:space="preserve"> </v>
      </c>
      <c r="I6" s="129"/>
      <c r="J6" s="26"/>
      <c r="K6" s="38">
        <v>5</v>
      </c>
      <c r="L6" s="100" t="str">
        <f>IF(AND(I6="",I7="")," ",IF(N(I6)=N(I7)," ",IF(N(I6)&gt;N(I7),H6,H7)))</f>
        <v xml:space="preserve"> </v>
      </c>
      <c r="M6" s="38">
        <v>5</v>
      </c>
      <c r="N6" s="16"/>
      <c r="O6" s="16"/>
      <c r="P6" s="17"/>
      <c r="Q6" s="16"/>
      <c r="R6" s="16"/>
      <c r="S6" s="16"/>
      <c r="T6" s="16"/>
      <c r="U6" s="16"/>
      <c r="V6" s="15"/>
      <c r="W6" s="16"/>
      <c r="X6" s="16"/>
      <c r="Y6" s="16"/>
      <c r="Z6" s="15"/>
      <c r="AA6" s="16"/>
      <c r="AB6" s="16"/>
      <c r="AC6" s="16"/>
      <c r="AD6" s="17"/>
    </row>
    <row r="7" spans="1:30" ht="18.899999999999999" thickTop="1" thickBot="1" x14ac:dyDescent="0.5">
      <c r="A7" s="75"/>
      <c r="B7" s="31"/>
      <c r="C7" s="16"/>
      <c r="D7" s="296" t="s">
        <v>1680</v>
      </c>
      <c r="E7" s="297" t="str">
        <f ca="1">IF(OR(TRIM(D8)="-",TRIM(D9)="-"),"",VLOOKUP(MIN(C8,C9),Hřiště!$B$11:$E$42,4,0))</f>
        <v/>
      </c>
      <c r="F7" s="16"/>
      <c r="G7" s="80">
        <v>6</v>
      </c>
      <c r="H7" s="81" t="str">
        <f ca="1">IF(OR(TRIM(D8)="-",TRIM(D9)="-"), IF(TRIM(D8)="-",D9,D8),IF(AND(E8="",E9="")," ",IF(N(E8)=N(E9)," ",IF(N(E8)&gt;N(E9),D8,D9))))</f>
        <v xml:space="preserve"> </v>
      </c>
      <c r="I7" s="130"/>
      <c r="J7" s="20"/>
      <c r="K7" s="256">
        <v>6</v>
      </c>
      <c r="L7" s="98" t="str">
        <f>IF(AND(I6="",I7="")," ",IF(N(I7)=N(I6)," ",IF(N(I7)&gt;N(I6),H6,H7)))</f>
        <v xml:space="preserve"> </v>
      </c>
      <c r="M7" s="97">
        <v>6</v>
      </c>
      <c r="N7" s="16"/>
      <c r="O7" s="16"/>
      <c r="P7" s="16"/>
      <c r="Q7" s="16"/>
      <c r="R7" s="16"/>
      <c r="S7" s="16"/>
      <c r="T7" s="16"/>
      <c r="U7" s="16"/>
      <c r="V7" s="15"/>
      <c r="W7" s="16"/>
      <c r="X7" s="16"/>
      <c r="Y7" s="16"/>
      <c r="Z7" s="15"/>
      <c r="AA7" s="16"/>
      <c r="AB7" s="16"/>
      <c r="AC7" s="16"/>
      <c r="AD7" s="16"/>
    </row>
    <row r="8" spans="1:30" ht="18" thickBot="1" x14ac:dyDescent="0.45">
      <c r="A8" s="86" t="e">
        <f>VLOOKUP(C50,Postupy!$A$3:$C$34,3,0)</f>
        <v>#N/A</v>
      </c>
      <c r="B8" s="65"/>
      <c r="C8" s="78">
        <v>6</v>
      </c>
      <c r="D8" s="253" t="str">
        <f ca="1">IF(OR(TRIM('KO8'!D12)="-",TRIM('KO8'!D13)="-"), IF(TRIM('KO8'!D12)="-",'KO8'!D12,'KO8'!D13),IF(AND('KO8'!E12="",'KO8'!E13="")," ",IF(N('KO8'!E12)=N('KO8'!E13)," ",IF(N('KO8'!E12)&gt;N('KO8'!E13),'KO8'!D13,'KO8'!D12))))</f>
        <v xml:space="preserve">51   - Erik, Dánsko  </v>
      </c>
      <c r="E8" s="129"/>
      <c r="F8" s="26"/>
      <c r="G8" s="25"/>
      <c r="H8" s="46"/>
      <c r="I8" s="206"/>
      <c r="J8" s="16"/>
      <c r="K8" s="16"/>
      <c r="L8" s="56"/>
      <c r="M8" s="18"/>
      <c r="N8" s="17"/>
      <c r="O8" s="16"/>
      <c r="P8" s="17"/>
      <c r="Q8" s="16"/>
      <c r="R8" s="16"/>
      <c r="S8" s="16"/>
      <c r="T8" s="16"/>
      <c r="U8" s="16"/>
      <c r="V8" s="15"/>
      <c r="W8" s="16"/>
      <c r="X8" s="16"/>
      <c r="Y8" s="16"/>
      <c r="Z8" s="15"/>
      <c r="AA8" s="16"/>
      <c r="AB8" s="16"/>
      <c r="AC8" s="16"/>
      <c r="AD8" s="16"/>
    </row>
    <row r="9" spans="1:30" ht="18.45" thickTop="1" thickBot="1" x14ac:dyDescent="0.45">
      <c r="A9" s="86" t="e">
        <f>VLOOKUP(C51,Postupy!$A$3:$C$34,3,0)</f>
        <v>#N/A</v>
      </c>
      <c r="B9" s="31"/>
      <c r="C9" s="80">
        <v>7</v>
      </c>
      <c r="D9" s="254" t="str">
        <f ca="1">IF(OR(TRIM('KO8'!D16)="-",TRIM('KO8'!D17)="-"),IF(TRIM('KO8'!D16)="-",'KO8'!D16,'KO8'!D17),IF(AND('KO8'!E16="",'KO8'!E17="")," ",IF(N('KO8'!E16)=N('KO8'!E17)," ",IF(N('KO8'!E16)&gt;N('KO8'!E17),'KO8'!D17,'KO8'!D16))))</f>
        <v>1 PC Sokol Lipník - Vavrovič ml. Petr</v>
      </c>
      <c r="E9" s="130"/>
      <c r="F9" s="27"/>
      <c r="G9" s="16"/>
      <c r="H9" s="46"/>
      <c r="I9" s="205"/>
      <c r="J9" s="45"/>
      <c r="K9" s="45"/>
      <c r="L9" s="45"/>
      <c r="M9" s="45"/>
      <c r="N9" s="45"/>
      <c r="O9" s="45"/>
      <c r="P9" s="45"/>
      <c r="Q9" s="45"/>
      <c r="R9" s="16"/>
      <c r="S9" s="16"/>
      <c r="T9" s="17"/>
      <c r="U9" s="16"/>
      <c r="V9" s="16"/>
      <c r="W9" s="16"/>
      <c r="X9" s="16"/>
      <c r="Y9" s="16"/>
      <c r="Z9" s="16"/>
      <c r="AA9" s="16"/>
      <c r="AB9" s="16"/>
    </row>
    <row r="10" spans="1:30" ht="13.75" thickBot="1" x14ac:dyDescent="0.45">
      <c r="A10" s="16"/>
      <c r="B10" s="55"/>
      <c r="C10" s="56"/>
      <c r="D10" s="45"/>
      <c r="E10" s="205"/>
      <c r="F10" s="16"/>
      <c r="G10" s="16"/>
      <c r="H10" s="47"/>
      <c r="I10" s="207"/>
      <c r="J10" s="48"/>
      <c r="K10" s="48"/>
      <c r="L10" s="48"/>
      <c r="M10" s="48"/>
      <c r="N10" s="48"/>
      <c r="O10" s="48"/>
      <c r="P10" s="48"/>
      <c r="Q10" s="48"/>
      <c r="R10" s="16"/>
      <c r="S10" s="17"/>
      <c r="T10" s="16"/>
      <c r="U10" s="16"/>
      <c r="V10" s="16"/>
      <c r="W10" s="16"/>
      <c r="X10" s="16"/>
      <c r="Y10" s="16"/>
      <c r="Z10" s="16"/>
      <c r="AA10" s="16"/>
    </row>
    <row r="11" spans="1:30" ht="14.15" thickBot="1" x14ac:dyDescent="0.5">
      <c r="A11" s="16"/>
      <c r="B11" s="21"/>
      <c r="C11" s="16"/>
      <c r="D11" s="46"/>
      <c r="E11" s="205"/>
      <c r="F11" s="16"/>
      <c r="G11" s="16"/>
      <c r="H11" s="255" t="s">
        <v>1692</v>
      </c>
      <c r="I11" s="297" t="str">
        <f ca="1">IF(OR(TRIM(H12)="-",TRIM(H13)="-"),"",VLOOKUP(MIN(G12,G13),Hřiště!$B$11:$E$42,4,0))</f>
        <v/>
      </c>
      <c r="J11" s="48"/>
      <c r="K11" s="48"/>
      <c r="L11" s="48"/>
      <c r="M11" s="48"/>
      <c r="N11" s="48"/>
      <c r="O11" s="48"/>
      <c r="P11" s="48"/>
      <c r="Q11" s="48"/>
      <c r="R11" s="16"/>
      <c r="S11" s="16"/>
      <c r="T11" s="16"/>
      <c r="U11" s="16"/>
      <c r="V11" s="16"/>
      <c r="W11" s="16"/>
      <c r="X11" s="16"/>
      <c r="Y11" s="15"/>
      <c r="Z11" s="16"/>
      <c r="AA11" s="16"/>
      <c r="AB11" s="16"/>
      <c r="AC11" s="17"/>
    </row>
    <row r="12" spans="1:30" ht="18.45" thickTop="1" thickBot="1" x14ac:dyDescent="0.45">
      <c r="A12" s="16"/>
      <c r="B12" s="31"/>
      <c r="C12" s="28"/>
      <c r="D12" s="58"/>
      <c r="E12" s="205"/>
      <c r="F12" s="16"/>
      <c r="G12" s="78">
        <v>7</v>
      </c>
      <c r="H12" s="79" t="str">
        <f ca="1">IF(OR(TRIM(D4)="-",TRIM(D5)="-"), IF(TRIM(D4)="-",D5,D4),IF(AND(E4="",E5="")," ",IF(N(E4)=N(E5)," ",IF(N(E5)&gt;N(E4),D4,D5))))</f>
        <v xml:space="preserve"> </v>
      </c>
      <c r="I12" s="129"/>
      <c r="J12" s="163"/>
      <c r="K12" s="97">
        <v>7</v>
      </c>
      <c r="L12" s="98" t="str">
        <f>IF(AND(I12="",I13="")," ",IF(N(I12)=N(I13)," ",IF(N(I12)&gt;N(I13),H12,H13)))</f>
        <v xml:space="preserve"> </v>
      </c>
      <c r="M12" s="97">
        <v>7</v>
      </c>
      <c r="N12" s="16"/>
      <c r="O12" s="16"/>
      <c r="P12" s="17"/>
      <c r="Q12" s="49"/>
      <c r="R12" s="49"/>
      <c r="S12" s="49"/>
      <c r="T12" s="49"/>
      <c r="U12" s="49"/>
      <c r="V12" s="16"/>
      <c r="W12" s="16"/>
      <c r="X12" s="16"/>
      <c r="Y12" s="16"/>
      <c r="Z12" s="16"/>
      <c r="AA12" s="16"/>
    </row>
    <row r="13" spans="1:30" ht="18.45" thickTop="1" thickBot="1" x14ac:dyDescent="0.45">
      <c r="A13" s="16"/>
      <c r="B13" s="55"/>
      <c r="C13" s="61"/>
      <c r="D13" s="62"/>
      <c r="E13" s="201"/>
      <c r="F13" s="16"/>
      <c r="G13" s="80">
        <v>8</v>
      </c>
      <c r="H13" s="81" t="str">
        <f ca="1">IF(OR(TRIM(D8)="-",TRIM(D9)="-"), IF(TRIM(D8)="-",D9,D8),IF(AND(E8="",E9="")," ",IF(N(E8)=N(E9)," ",IF(N(E9)&gt;N(E8),D8,D9))))</f>
        <v xml:space="preserve"> </v>
      </c>
      <c r="I13" s="130"/>
      <c r="J13" s="151"/>
      <c r="K13" s="256">
        <v>8</v>
      </c>
      <c r="L13" s="98" t="str">
        <f>IF(AND(I12="",I13="")," ",IF(N(I13)=N(I12)," ",IF(N(I13)&gt;N(I12),H12,H13)))</f>
        <v xml:space="preserve"> </v>
      </c>
      <c r="M13" s="97">
        <v>8</v>
      </c>
      <c r="N13" s="16"/>
      <c r="O13" s="16"/>
      <c r="P13" s="17"/>
      <c r="Q13" s="16"/>
      <c r="R13" s="16"/>
      <c r="S13" s="17"/>
      <c r="T13" s="16"/>
      <c r="U13" s="16"/>
      <c r="V13" s="16"/>
      <c r="W13" s="16"/>
      <c r="X13" s="16"/>
      <c r="Y13" s="16"/>
      <c r="Z13" s="16"/>
      <c r="AA13" s="16"/>
    </row>
    <row r="14" spans="1:30" ht="12.45" thickTop="1" x14ac:dyDescent="0.4">
      <c r="A14" s="16"/>
      <c r="B14" s="55"/>
      <c r="C14" s="59"/>
      <c r="D14" s="60"/>
      <c r="E14" s="16"/>
      <c r="F14" s="16"/>
      <c r="G14" s="16"/>
      <c r="H14" s="35"/>
      <c r="I14" s="16"/>
      <c r="J14" s="16"/>
      <c r="K14" s="16"/>
      <c r="L14" s="16"/>
      <c r="M14" s="16"/>
      <c r="N14" s="16"/>
      <c r="O14" s="16"/>
      <c r="P14" s="17"/>
      <c r="Q14" s="16"/>
      <c r="R14" s="16"/>
      <c r="S14" s="17"/>
      <c r="T14" s="16"/>
      <c r="U14" s="16"/>
      <c r="V14" s="16"/>
      <c r="W14" s="16"/>
      <c r="X14" s="16"/>
      <c r="Y14" s="16"/>
      <c r="Z14" s="16"/>
      <c r="AA14" s="16"/>
    </row>
    <row r="15" spans="1:30" x14ac:dyDescent="0.4">
      <c r="A15" s="16"/>
      <c r="B15" s="21"/>
      <c r="C15" s="16"/>
      <c r="D15" s="16"/>
      <c r="E15" s="16"/>
      <c r="F15" s="16"/>
      <c r="G15" s="16"/>
      <c r="H15" s="16"/>
      <c r="I15" s="16"/>
      <c r="J15" s="16"/>
      <c r="K15" s="16"/>
      <c r="L15" s="16"/>
      <c r="M15" s="16"/>
      <c r="N15" s="16"/>
      <c r="O15" s="16"/>
      <c r="P15" s="17"/>
      <c r="Q15" s="16"/>
      <c r="R15" s="16"/>
      <c r="S15" s="17"/>
      <c r="T15" s="16"/>
      <c r="U15" s="16"/>
      <c r="V15" s="16"/>
      <c r="W15" s="16"/>
      <c r="X15" s="16"/>
      <c r="Y15" s="16"/>
      <c r="Z15" s="16"/>
      <c r="AA15" s="16"/>
    </row>
    <row r="16" spans="1:30" ht="13.3" x14ac:dyDescent="0.4">
      <c r="A16" s="16"/>
      <c r="B16" s="21"/>
      <c r="C16" s="16"/>
      <c r="D16" s="16"/>
      <c r="E16" s="22"/>
      <c r="F16" s="16"/>
      <c r="G16" s="16"/>
      <c r="H16" s="16"/>
      <c r="I16" s="16"/>
      <c r="J16" s="16"/>
      <c r="K16" s="16"/>
      <c r="L16" s="16"/>
      <c r="M16" s="16"/>
      <c r="N16" s="16"/>
      <c r="O16" s="16"/>
      <c r="P16" s="17"/>
      <c r="Q16" s="49"/>
      <c r="R16" s="16"/>
      <c r="S16" s="17"/>
      <c r="T16" s="16"/>
      <c r="U16" s="16"/>
      <c r="V16" s="16"/>
      <c r="W16" s="16"/>
      <c r="X16" s="16"/>
      <c r="Y16" s="16"/>
      <c r="Z16" s="16"/>
      <c r="AA16" s="16"/>
    </row>
    <row r="17" spans="1:27" x14ac:dyDescent="0.4">
      <c r="A17" s="16"/>
      <c r="B17" s="31"/>
      <c r="C17" s="16"/>
      <c r="D17" s="17"/>
      <c r="E17" s="16"/>
      <c r="F17" s="16"/>
      <c r="G17" s="16"/>
      <c r="H17" s="16"/>
      <c r="I17" s="16"/>
      <c r="J17" s="16"/>
      <c r="K17" s="16"/>
      <c r="L17" s="16"/>
      <c r="M17" s="16"/>
      <c r="N17" s="16"/>
      <c r="O17" s="16"/>
      <c r="P17" s="16"/>
      <c r="Q17" s="16"/>
      <c r="R17" s="16"/>
      <c r="S17" s="17"/>
      <c r="T17" s="16"/>
      <c r="U17" s="16"/>
      <c r="V17" s="16"/>
      <c r="W17" s="16"/>
      <c r="X17" s="16"/>
      <c r="Y17" s="16"/>
      <c r="Z17" s="16"/>
      <c r="AA17" s="16"/>
    </row>
    <row r="18" spans="1:27" x14ac:dyDescent="0.4">
      <c r="A18" s="16"/>
      <c r="B18" s="63"/>
      <c r="C18" s="16"/>
      <c r="D18" s="30"/>
      <c r="E18" s="16"/>
      <c r="F18" s="16"/>
      <c r="G18" s="16"/>
      <c r="H18" s="16"/>
      <c r="I18" s="16"/>
      <c r="J18" s="16"/>
      <c r="K18" s="16"/>
      <c r="L18" s="16"/>
      <c r="M18" s="16"/>
      <c r="N18" s="16"/>
      <c r="O18" s="16"/>
      <c r="P18" s="16"/>
      <c r="Q18" s="16"/>
      <c r="R18" s="16"/>
      <c r="S18" s="17"/>
      <c r="T18" s="16"/>
      <c r="U18" s="16"/>
      <c r="V18" s="16"/>
      <c r="W18" s="16"/>
      <c r="X18" s="16"/>
      <c r="Y18" s="16"/>
      <c r="Z18" s="16"/>
      <c r="AA18" s="16"/>
    </row>
    <row r="19" spans="1:27" x14ac:dyDescent="0.4">
      <c r="A19" s="16"/>
      <c r="B19" s="63"/>
      <c r="C19" s="16"/>
      <c r="D19" s="16"/>
      <c r="E19" s="16"/>
      <c r="F19" s="16"/>
      <c r="G19" s="16"/>
      <c r="H19" s="16"/>
      <c r="I19" s="16"/>
      <c r="J19" s="16"/>
      <c r="K19" s="16"/>
      <c r="L19" s="16"/>
      <c r="M19" s="16"/>
      <c r="N19" s="16"/>
      <c r="O19" s="16"/>
      <c r="P19" s="16"/>
      <c r="Q19" s="16"/>
      <c r="R19" s="16"/>
      <c r="S19" s="17"/>
      <c r="T19" s="16"/>
      <c r="U19" s="16"/>
      <c r="V19" s="16"/>
      <c r="W19" s="16"/>
      <c r="X19" s="16"/>
      <c r="Y19" s="16"/>
      <c r="Z19" s="16"/>
      <c r="AA19" s="16"/>
    </row>
    <row r="20" spans="1:27" ht="13.3" x14ac:dyDescent="0.4">
      <c r="A20" s="16"/>
      <c r="B20" s="64"/>
      <c r="C20" s="28"/>
      <c r="D20" s="58"/>
      <c r="E20" s="16"/>
      <c r="F20" s="16"/>
      <c r="G20" s="16"/>
      <c r="H20" s="49"/>
      <c r="I20" s="16"/>
      <c r="J20" s="16"/>
      <c r="K20" s="16"/>
      <c r="L20" s="16"/>
      <c r="M20" s="16"/>
      <c r="N20" s="16"/>
      <c r="O20" s="16"/>
      <c r="P20" s="17"/>
      <c r="Q20" s="49"/>
      <c r="R20" s="49"/>
      <c r="S20" s="49"/>
      <c r="T20" s="49"/>
      <c r="U20" s="49"/>
      <c r="V20" s="16"/>
      <c r="W20" s="16"/>
      <c r="X20" s="16"/>
      <c r="Y20" s="16"/>
      <c r="Z20" s="16"/>
      <c r="AA20" s="16"/>
    </row>
    <row r="21" spans="1:27" ht="13.3" x14ac:dyDescent="0.4">
      <c r="A21" s="16"/>
      <c r="B21" s="64"/>
      <c r="C21" s="28"/>
      <c r="D21" s="58"/>
      <c r="E21" s="16"/>
      <c r="F21" s="16"/>
      <c r="G21" s="16"/>
      <c r="H21" s="49"/>
      <c r="I21" s="16"/>
      <c r="J21" s="16"/>
      <c r="K21" s="16"/>
      <c r="L21" s="16"/>
      <c r="M21" s="16"/>
      <c r="N21" s="16"/>
      <c r="O21" s="16"/>
      <c r="P21" s="17"/>
      <c r="Q21" s="49"/>
      <c r="R21" s="49"/>
      <c r="S21" s="49"/>
      <c r="T21" s="49"/>
      <c r="U21" s="49"/>
      <c r="V21" s="16"/>
      <c r="W21" s="16"/>
      <c r="X21" s="16"/>
      <c r="Y21" s="16"/>
      <c r="Z21" s="16"/>
      <c r="AA21" s="16"/>
    </row>
    <row r="22" spans="1:27" ht="13.3" x14ac:dyDescent="0.4">
      <c r="A22" s="16"/>
      <c r="B22" s="64"/>
      <c r="C22" s="28"/>
      <c r="D22" s="58"/>
      <c r="E22" s="16"/>
      <c r="F22" s="16"/>
      <c r="G22" s="16"/>
      <c r="H22" s="49"/>
      <c r="I22" s="16"/>
      <c r="J22" s="16"/>
      <c r="K22" s="16"/>
      <c r="L22" s="16"/>
      <c r="M22" s="16"/>
      <c r="N22" s="16"/>
      <c r="O22" s="16"/>
      <c r="P22" s="17"/>
      <c r="Q22" s="49"/>
      <c r="R22" s="49"/>
      <c r="S22" s="49"/>
      <c r="T22" s="49"/>
      <c r="U22" s="49"/>
      <c r="V22" s="16"/>
      <c r="W22" s="16"/>
      <c r="X22" s="16"/>
      <c r="Y22" s="16"/>
      <c r="Z22" s="16"/>
      <c r="AA22" s="16"/>
    </row>
    <row r="23" spans="1:27" ht="13.3" x14ac:dyDescent="0.4">
      <c r="A23" s="16"/>
      <c r="B23" s="64"/>
      <c r="C23" s="28"/>
      <c r="D23" s="58"/>
      <c r="E23" s="16"/>
      <c r="F23" s="16"/>
      <c r="G23" s="16"/>
      <c r="H23" s="49"/>
      <c r="I23" s="16"/>
      <c r="J23" s="16"/>
      <c r="K23" s="16"/>
      <c r="L23" s="16"/>
      <c r="M23" s="16"/>
      <c r="N23" s="16"/>
      <c r="O23" s="16"/>
      <c r="P23" s="17"/>
      <c r="Q23" s="49"/>
      <c r="R23" s="49"/>
      <c r="S23" s="49"/>
      <c r="T23" s="49"/>
      <c r="U23" s="49"/>
      <c r="V23" s="16"/>
      <c r="W23" s="16"/>
      <c r="X23" s="16"/>
      <c r="Y23" s="16"/>
      <c r="Z23" s="16"/>
      <c r="AA23" s="16"/>
    </row>
    <row r="24" spans="1:27" ht="13.3" x14ac:dyDescent="0.4">
      <c r="A24" s="16"/>
      <c r="B24" s="64"/>
      <c r="C24" s="28"/>
      <c r="D24" s="58"/>
      <c r="E24" s="16"/>
      <c r="F24" s="16"/>
      <c r="G24" s="16"/>
      <c r="H24" s="49"/>
      <c r="I24" s="16"/>
      <c r="J24" s="16"/>
      <c r="K24" s="16"/>
      <c r="L24" s="16"/>
      <c r="M24" s="16"/>
      <c r="N24" s="16"/>
      <c r="O24" s="16"/>
      <c r="P24" s="17"/>
      <c r="Q24" s="49"/>
      <c r="R24" s="49"/>
      <c r="S24" s="49"/>
      <c r="T24" s="49"/>
      <c r="U24" s="49"/>
      <c r="V24" s="16"/>
      <c r="W24" s="16"/>
      <c r="X24" s="16"/>
      <c r="Y24" s="16"/>
      <c r="Z24" s="16"/>
      <c r="AA24" s="16"/>
    </row>
    <row r="25" spans="1:27" ht="13.3" x14ac:dyDescent="0.4">
      <c r="A25" s="16"/>
      <c r="B25" s="64"/>
      <c r="C25" s="28"/>
      <c r="D25" s="58"/>
      <c r="E25" s="16"/>
      <c r="F25" s="16"/>
      <c r="G25" s="16"/>
      <c r="H25" s="49"/>
      <c r="I25" s="16"/>
      <c r="J25" s="16"/>
      <c r="K25" s="16"/>
      <c r="L25" s="16"/>
      <c r="M25" s="16"/>
      <c r="N25" s="16"/>
      <c r="O25" s="16"/>
      <c r="P25" s="17"/>
      <c r="Q25" s="49"/>
      <c r="R25" s="49"/>
      <c r="S25" s="49"/>
      <c r="T25" s="49"/>
      <c r="U25" s="49"/>
      <c r="V25" s="16"/>
      <c r="W25" s="16"/>
      <c r="X25" s="16"/>
      <c r="Y25" s="16"/>
      <c r="Z25" s="16"/>
      <c r="AA25" s="16"/>
    </row>
    <row r="26" spans="1:27" ht="13.3" x14ac:dyDescent="0.4">
      <c r="A26" s="16"/>
      <c r="B26" s="64"/>
      <c r="C26" s="28"/>
      <c r="D26" s="58"/>
      <c r="E26" s="16"/>
      <c r="F26" s="16"/>
      <c r="G26" s="16"/>
      <c r="H26" s="49"/>
      <c r="I26" s="16"/>
      <c r="J26" s="16"/>
      <c r="K26" s="16"/>
      <c r="L26" s="16"/>
      <c r="M26" s="16"/>
      <c r="N26" s="16"/>
      <c r="O26" s="16"/>
      <c r="P26" s="17"/>
      <c r="Q26" s="49"/>
      <c r="R26" s="49"/>
      <c r="S26" s="49"/>
      <c r="T26" s="49"/>
      <c r="U26" s="49"/>
      <c r="V26" s="16"/>
      <c r="W26" s="16"/>
      <c r="X26" s="16"/>
      <c r="Y26" s="16"/>
      <c r="Z26" s="16"/>
      <c r="AA26" s="16"/>
    </row>
    <row r="27" spans="1:27" ht="13.3" x14ac:dyDescent="0.4">
      <c r="A27" s="16"/>
      <c r="B27" s="64"/>
      <c r="C27" s="28"/>
      <c r="D27" s="58"/>
      <c r="E27" s="16"/>
      <c r="F27" s="16"/>
      <c r="G27" s="16"/>
      <c r="H27" s="49"/>
      <c r="I27" s="16"/>
      <c r="J27" s="16"/>
      <c r="K27" s="16"/>
      <c r="L27" s="16"/>
      <c r="M27" s="16"/>
      <c r="N27" s="16"/>
      <c r="O27" s="16"/>
      <c r="P27" s="17"/>
      <c r="Q27" s="49"/>
      <c r="R27" s="49"/>
      <c r="S27" s="49"/>
      <c r="T27" s="49"/>
      <c r="U27" s="49"/>
      <c r="V27" s="16"/>
      <c r="W27" s="16"/>
      <c r="X27" s="16"/>
      <c r="Y27" s="16"/>
      <c r="Z27" s="16"/>
      <c r="AA27" s="16"/>
    </row>
    <row r="28" spans="1:27" ht="13.3" x14ac:dyDescent="0.4">
      <c r="A28" s="16"/>
      <c r="B28" s="64"/>
      <c r="C28" s="28"/>
      <c r="D28" s="58"/>
      <c r="E28" s="16"/>
      <c r="F28" s="16"/>
      <c r="G28" s="16"/>
      <c r="H28" s="49"/>
      <c r="I28" s="16"/>
      <c r="J28" s="16"/>
      <c r="K28" s="16"/>
      <c r="L28" s="16"/>
      <c r="M28" s="16"/>
      <c r="N28" s="16"/>
      <c r="O28" s="16"/>
      <c r="P28" s="17"/>
      <c r="Q28" s="49"/>
      <c r="R28" s="49"/>
      <c r="S28" s="49"/>
      <c r="T28" s="49"/>
      <c r="U28" s="49"/>
      <c r="V28" s="16"/>
      <c r="W28" s="16"/>
      <c r="X28" s="16"/>
      <c r="Y28" s="16"/>
      <c r="Z28" s="16"/>
      <c r="AA28" s="16"/>
    </row>
    <row r="29" spans="1:27" ht="13.3" x14ac:dyDescent="0.4">
      <c r="A29" s="16"/>
      <c r="B29" s="64"/>
      <c r="C29" s="28"/>
      <c r="D29" s="58"/>
      <c r="E29" s="16"/>
      <c r="F29" s="16"/>
      <c r="G29" s="16"/>
      <c r="H29" s="49"/>
      <c r="I29" s="16"/>
      <c r="J29" s="16"/>
      <c r="K29" s="16"/>
      <c r="L29" s="16"/>
      <c r="M29" s="16"/>
      <c r="N29" s="16"/>
      <c r="O29" s="16"/>
      <c r="P29" s="17"/>
      <c r="Q29" s="49"/>
      <c r="R29" s="49"/>
      <c r="S29" s="49"/>
      <c r="T29" s="49"/>
      <c r="U29" s="49"/>
      <c r="V29" s="16"/>
      <c r="W29" s="16"/>
      <c r="X29" s="16"/>
      <c r="Y29" s="16"/>
      <c r="Z29" s="16"/>
      <c r="AA29" s="16"/>
    </row>
    <row r="30" spans="1:27" ht="13.3" x14ac:dyDescent="0.4">
      <c r="A30" s="16"/>
      <c r="B30" s="64"/>
      <c r="C30" s="28"/>
      <c r="D30" s="58"/>
      <c r="E30" s="16"/>
      <c r="F30" s="16"/>
      <c r="G30" s="16"/>
      <c r="H30" s="49"/>
      <c r="I30" s="16"/>
      <c r="J30" s="16"/>
      <c r="K30" s="16"/>
      <c r="L30" s="16"/>
      <c r="M30" s="16"/>
      <c r="N30" s="16"/>
      <c r="O30" s="16"/>
      <c r="P30" s="17"/>
      <c r="Q30" s="49"/>
      <c r="R30" s="49"/>
      <c r="S30" s="49"/>
      <c r="T30" s="49"/>
      <c r="U30" s="49"/>
      <c r="V30" s="16"/>
      <c r="W30" s="16"/>
      <c r="X30" s="16"/>
      <c r="Y30" s="16"/>
      <c r="Z30" s="16"/>
      <c r="AA30" s="16"/>
    </row>
    <row r="31" spans="1:27" ht="13.3" x14ac:dyDescent="0.4">
      <c r="A31" s="16"/>
      <c r="B31" s="64"/>
      <c r="C31" s="28"/>
      <c r="D31" s="58"/>
      <c r="E31" s="16"/>
      <c r="F31" s="16"/>
      <c r="G31" s="16"/>
      <c r="H31" s="49"/>
      <c r="I31" s="16"/>
      <c r="J31" s="16"/>
      <c r="K31" s="16"/>
      <c r="L31" s="16"/>
      <c r="M31" s="16"/>
      <c r="N31" s="16"/>
      <c r="O31" s="16"/>
      <c r="P31" s="17"/>
      <c r="Q31" s="49"/>
      <c r="R31" s="49"/>
      <c r="S31" s="49"/>
      <c r="T31" s="49"/>
      <c r="U31" s="49"/>
      <c r="V31" s="16"/>
      <c r="W31" s="16"/>
      <c r="X31" s="16"/>
      <c r="Y31" s="16"/>
      <c r="Z31" s="16"/>
      <c r="AA31" s="16"/>
    </row>
    <row r="32" spans="1:27" ht="13.3" x14ac:dyDescent="0.4">
      <c r="A32" s="16"/>
      <c r="B32" s="64"/>
      <c r="C32" s="28"/>
      <c r="D32" s="58"/>
      <c r="E32" s="16"/>
      <c r="F32" s="16"/>
      <c r="G32" s="16"/>
      <c r="H32" s="49"/>
      <c r="I32" s="16"/>
      <c r="J32" s="16"/>
      <c r="K32" s="16"/>
      <c r="L32" s="16"/>
      <c r="M32" s="16"/>
      <c r="N32" s="16"/>
      <c r="O32" s="16"/>
      <c r="P32" s="17"/>
      <c r="Q32" s="49"/>
      <c r="R32" s="49"/>
      <c r="S32" s="49"/>
      <c r="T32" s="49"/>
      <c r="U32" s="49"/>
      <c r="V32" s="16"/>
      <c r="W32" s="16"/>
      <c r="X32" s="16"/>
      <c r="Y32" s="16"/>
      <c r="Z32" s="16"/>
      <c r="AA32" s="16"/>
    </row>
  </sheetData>
  <sheetProtection password="CA1B" sheet="1" formatCells="0" formatColumns="0" formatRows="0"/>
  <phoneticPr fontId="0" type="noConversion"/>
  <conditionalFormatting sqref="D4 D8 H6 H12">
    <cfRule type="expression" dxfId="13" priority="1" stopIfTrue="1">
      <formula>IF(N(E4)&gt;N(E5),TRUE,FALSE)</formula>
    </cfRule>
  </conditionalFormatting>
  <conditionalFormatting sqref="C4 C8 G6 G12">
    <cfRule type="expression" dxfId="12" priority="2" stopIfTrue="1">
      <formula>IF(N(E4)&gt;N(E5),TRUE,FALSE)</formula>
    </cfRule>
  </conditionalFormatting>
  <conditionalFormatting sqref="E8 I6 E4 I12">
    <cfRule type="expression" dxfId="11" priority="3" stopIfTrue="1">
      <formula>IF(N(E4)&gt;N(E5),TRUE,FALSE)</formula>
    </cfRule>
  </conditionalFormatting>
  <conditionalFormatting sqref="C5 C9 G7 G13">
    <cfRule type="expression" dxfId="10" priority="4" stopIfTrue="1">
      <formula>IF(N(E5)&gt;N(E4),TRUE,FALSE)</formula>
    </cfRule>
  </conditionalFormatting>
  <conditionalFormatting sqref="D5 D9 H7 H13">
    <cfRule type="expression" dxfId="9" priority="5" stopIfTrue="1">
      <formula>IF(N(E5)&gt;N(E4),TRUE,FALSE)</formula>
    </cfRule>
  </conditionalFormatting>
  <conditionalFormatting sqref="E9 I7 E5 I13">
    <cfRule type="expression" dxfId="8" priority="6" stopIfTrue="1">
      <formula>IF(N(E5)&gt;N(E4),TRUE,FALSE)</formula>
    </cfRule>
  </conditionalFormatting>
  <pageMargins left="0.78740157499999996" right="0.78740157499999996" top="0.984251969" bottom="0.984251969" header="0.4921259845" footer="0.4921259845"/>
  <pageSetup paperSize="9"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9697" r:id="rId4" name="Button 1">
              <controlPr defaultSize="0" print="0" autoFill="0" autoPict="0" macro="[0]!BezHrist">
                <anchor moveWithCells="1">
                  <from>
                    <xdr:col>11</xdr:col>
                    <xdr:colOff>353786</xdr:colOff>
                    <xdr:row>1</xdr:row>
                    <xdr:rowOff>125186</xdr:rowOff>
                  </from>
                  <to>
                    <xdr:col>11</xdr:col>
                    <xdr:colOff>1551214</xdr:colOff>
                    <xdr:row>2</xdr:row>
                    <xdr:rowOff>250371</xdr:rowOff>
                  </to>
                </anchor>
              </controlPr>
            </control>
          </mc:Choice>
        </mc:AlternateContent>
      </controls>
    </mc:Choice>
  </mc:AlternateConten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List64">
    <pageSetUpPr fitToPage="1"/>
  </sheetPr>
  <dimension ref="A1:AB43"/>
  <sheetViews>
    <sheetView workbookViewId="0">
      <pane xSplit="4" ySplit="3" topLeftCell="E4" activePane="bottomRight" state="frozen"/>
      <selection pane="topRight" activeCell="G8" sqref="G8"/>
      <selection pane="bottomLeft" activeCell="G8" sqref="G8"/>
      <selection pane="bottomRight" activeCell="E4" sqref="E4"/>
    </sheetView>
  </sheetViews>
  <sheetFormatPr defaultRowHeight="12" x14ac:dyDescent="0.4"/>
  <cols>
    <col min="1" max="1" width="6.4140625" customWidth="1"/>
    <col min="2" max="2" width="1.75" customWidth="1"/>
    <col min="3" max="3" width="5.4140625" customWidth="1"/>
    <col min="4" max="4" width="28.4140625" customWidth="1"/>
    <col min="5" max="5" width="5" customWidth="1"/>
    <col min="6" max="6" width="2.4140625" customWidth="1"/>
    <col min="7" max="7" width="5.4140625" customWidth="1"/>
    <col min="8" max="8" width="28.4140625" customWidth="1"/>
    <col min="9" max="9" width="5" customWidth="1"/>
    <col min="10" max="10" width="2.4140625" customWidth="1"/>
    <col min="11" max="11" width="5.4140625" customWidth="1"/>
    <col min="12" max="12" width="22.83203125" customWidth="1"/>
    <col min="13" max="13" width="5" customWidth="1"/>
  </cols>
  <sheetData>
    <row r="1" spans="1:28" ht="12.45" thickBot="1" x14ac:dyDescent="0.45">
      <c r="B1" s="27"/>
      <c r="C1" s="54"/>
      <c r="D1" s="54"/>
      <c r="E1" s="54"/>
      <c r="F1" s="54"/>
      <c r="G1" s="54"/>
      <c r="H1" s="54"/>
      <c r="I1" s="54"/>
      <c r="J1" s="54"/>
      <c r="K1" s="54"/>
      <c r="L1" s="54"/>
      <c r="M1" s="54"/>
      <c r="N1" s="54"/>
      <c r="O1" s="54"/>
      <c r="P1" s="54"/>
      <c r="Q1" s="54"/>
      <c r="S1" s="16"/>
      <c r="T1" s="16"/>
      <c r="U1" s="16"/>
      <c r="V1" s="16"/>
      <c r="W1" s="15"/>
      <c r="X1" s="16"/>
      <c r="Y1" s="16"/>
      <c r="Z1" s="16"/>
      <c r="AA1" s="15"/>
      <c r="AB1" s="16"/>
    </row>
    <row r="2" spans="1:28" ht="32.15" thickBot="1" x14ac:dyDescent="1.1000000000000001">
      <c r="A2" s="50"/>
      <c r="B2" s="251"/>
      <c r="C2" s="252">
        <v>4</v>
      </c>
      <c r="D2" s="131" t="s">
        <v>1677</v>
      </c>
      <c r="E2" s="16"/>
      <c r="F2" s="16"/>
      <c r="G2" s="187">
        <v>2</v>
      </c>
      <c r="H2" s="131" t="s">
        <v>1678</v>
      </c>
      <c r="I2" s="16"/>
      <c r="J2" s="16"/>
      <c r="K2" s="187">
        <v>1</v>
      </c>
      <c r="L2" s="146" t="s">
        <v>1679</v>
      </c>
      <c r="M2" s="16"/>
      <c r="N2" s="16"/>
      <c r="O2" s="16"/>
      <c r="P2" s="17"/>
    </row>
    <row r="3" spans="1:28" ht="28.95" customHeight="1" thickBot="1" x14ac:dyDescent="0.5">
      <c r="A3" s="16"/>
      <c r="B3" s="16"/>
      <c r="C3" s="27"/>
      <c r="D3" s="296" t="s">
        <v>1680</v>
      </c>
      <c r="E3" s="297" t="str">
        <f ca="1">IF(OR(TRIM(D4)="-",TRIM(D5)="-"),"",VLOOKUP(MIN(C4,C5),Hřiště!$B$11:$E$42,4,0))</f>
        <v/>
      </c>
      <c r="F3" s="53"/>
      <c r="G3" s="51"/>
      <c r="H3" s="51"/>
      <c r="I3" s="93"/>
      <c r="J3" s="53"/>
      <c r="K3" s="51"/>
      <c r="L3" s="51"/>
      <c r="M3" s="93"/>
      <c r="N3" s="16"/>
      <c r="O3" s="16"/>
      <c r="P3" s="17"/>
      <c r="Q3" s="93"/>
      <c r="R3" s="53"/>
      <c r="S3" s="51"/>
      <c r="T3" s="51"/>
      <c r="U3" s="57"/>
      <c r="V3" s="216"/>
      <c r="W3" s="15"/>
      <c r="X3" s="16"/>
      <c r="Y3" s="16"/>
      <c r="Z3" s="16"/>
      <c r="AA3" s="15"/>
      <c r="AB3" s="16"/>
    </row>
    <row r="4" spans="1:28" ht="18.45" thickBot="1" x14ac:dyDescent="0.5">
      <c r="A4" s="86">
        <f ca="1">VLOOKUP(C4,Postupy!$A$3:$C$9,3,0)</f>
        <v>4</v>
      </c>
      <c r="B4" s="16"/>
      <c r="C4" s="78">
        <v>1</v>
      </c>
      <c r="D4" s="253" t="str">
        <f ca="1">VLOOKUP(C4,Postupy!$A$3:$W$6,23,0)</f>
        <v>4 1. KPK Vrchlabí - Srnský Lubomír</v>
      </c>
      <c r="E4" s="129">
        <f>VLOOKUP(C4,Postupy!$A$3:$X$6,24,0)</f>
        <v>1</v>
      </c>
      <c r="F4" s="19"/>
      <c r="G4" s="15"/>
      <c r="H4" s="212" t="s">
        <v>1678</v>
      </c>
      <c r="I4" s="15"/>
      <c r="J4" s="16"/>
      <c r="K4" s="16"/>
      <c r="L4" s="16"/>
      <c r="M4" s="16"/>
      <c r="N4" s="16"/>
      <c r="O4" s="16"/>
      <c r="P4" s="17"/>
    </row>
    <row r="5" spans="1:28" ht="18.899999999999999" thickTop="1" thickBot="1" x14ac:dyDescent="0.5">
      <c r="A5" s="86">
        <f ca="1">VLOOKUP(C5,Postupy!$A$3:$C$18,3,0)</f>
        <v>7</v>
      </c>
      <c r="B5" s="16"/>
      <c r="C5" s="80">
        <v>4</v>
      </c>
      <c r="D5" s="253" t="str">
        <f ca="1">VLOOKUP(C5,Postupy!$A$3:$W$6,23,0)</f>
        <v>5 CdP Loděnice - Dlouhá Ivana</v>
      </c>
      <c r="E5" s="130" t="str">
        <f>VLOOKUP(C5,Postupy!$A$3:$X$6,24,0)</f>
        <v/>
      </c>
      <c r="F5" s="20"/>
      <c r="G5" s="25"/>
      <c r="H5" s="296" t="s">
        <v>1680</v>
      </c>
      <c r="I5" s="297" t="str">
        <f ca="1">IF(OR(TRIM(H6)="-",TRIM(H7)="-"),"",VLOOKUP(MIN(G6,G7),Hřiště!$B$11:$E$42,4,0))</f>
        <v/>
      </c>
      <c r="J5" s="16"/>
      <c r="K5" s="17"/>
      <c r="L5" s="215"/>
      <c r="M5" s="16"/>
      <c r="N5" s="16"/>
      <c r="O5" s="16"/>
      <c r="P5" s="17"/>
    </row>
    <row r="6" spans="1:28" ht="18.45" thickTop="1" thickBot="1" x14ac:dyDescent="0.45">
      <c r="A6" s="76"/>
      <c r="B6" s="21"/>
      <c r="C6" s="16"/>
      <c r="D6" s="47"/>
      <c r="E6" s="17"/>
      <c r="F6" s="17"/>
      <c r="G6" s="78">
        <v>1</v>
      </c>
      <c r="H6" s="79" t="str">
        <f ca="1">IF(OR(TRIM(D4)="-",TRIM(D5)="-"), IF(TRIM(D4)="-",D5,D4),IF(AND(E4="",E5="")," ",IF(N(E4)=N(E5)," ",IF(N(E4)&gt;N(E5),D4,D5))))</f>
        <v>4 1. KPK Vrchlabí - Srnský Lubomír</v>
      </c>
      <c r="I6" s="129">
        <f>VLOOKUP(G6,Postupy!$A$3:$Z$6,26,0)</f>
        <v>1</v>
      </c>
      <c r="J6" s="26"/>
      <c r="K6" s="37">
        <v>1</v>
      </c>
      <c r="L6" s="100" t="str">
        <f ca="1">IF(AND(I6="",I7="")," ",IF(N(I6)=N(I7)," ",IF(N(I6)&gt;N(I7),H6,H7)))</f>
        <v>4 1. KPK Vrchlabí - Srnský Lubomír</v>
      </c>
      <c r="M6" s="38">
        <v>1</v>
      </c>
      <c r="N6" s="16"/>
      <c r="O6" s="17"/>
      <c r="P6" s="16"/>
    </row>
    <row r="7" spans="1:28" ht="18.899999999999999" thickTop="1" thickBot="1" x14ac:dyDescent="0.5">
      <c r="A7" s="75"/>
      <c r="B7" s="31"/>
      <c r="C7" s="16"/>
      <c r="D7" s="296" t="s">
        <v>1680</v>
      </c>
      <c r="E7" s="297" t="str">
        <f ca="1">IF(OR(TRIM(D8)="-",TRIM(D9)="-"),"",VLOOKUP(MIN(C8,C9),Hřiště!$B$11:$E$42,4,0))</f>
        <v/>
      </c>
      <c r="F7" s="17"/>
      <c r="G7" s="80">
        <v>2</v>
      </c>
      <c r="H7" s="81" t="str">
        <f ca="1">IF(OR(TRIM(D8)="-",TRIM(D9)="-"), IF(TRIM(D8)="-",D9,D8),IF(AND(E8="",E9="")," ",IF(N(E8)=N(E9)," ",IF(N(E8)&gt;N(E9),D8,D9))))</f>
        <v>14 PC Sokol Lipník - Morávek Petr</v>
      </c>
      <c r="I7" s="130" t="str">
        <f>VLOOKUP(G7,Postupy!$A$3:$Z$6,26,0)</f>
        <v/>
      </c>
      <c r="J7" s="16"/>
      <c r="K7" s="37">
        <v>2</v>
      </c>
      <c r="L7" s="98" t="str">
        <f ca="1">IF(AND(I6="",I7="")," ",IF(N(I7)=N(I6)," ",IF(N(I7)&gt;N(I6),H6,H7)))</f>
        <v>14 PC Sokol Lipník - Morávek Petr</v>
      </c>
      <c r="M7" s="97">
        <v>2</v>
      </c>
      <c r="N7" s="16"/>
      <c r="O7" s="16"/>
      <c r="P7" s="16"/>
    </row>
    <row r="8" spans="1:28" ht="18" thickBot="1" x14ac:dyDescent="0.45">
      <c r="A8" s="86">
        <f ca="1">VLOOKUP(C8,Postupy!$A$3:$C$9,3,0)</f>
        <v>2</v>
      </c>
      <c r="B8" s="16"/>
      <c r="C8" s="78">
        <v>3</v>
      </c>
      <c r="D8" s="253" t="str">
        <f ca="1">VLOOKUP(C8,Postupy!$A$3:$W$6,23,0)</f>
        <v>2 PLUK Jablonec - Lukáš Vojtěch</v>
      </c>
      <c r="E8" s="129" t="str">
        <f>VLOOKUP(C8,Postupy!$A$3:$X$6,24,0)</f>
        <v/>
      </c>
      <c r="F8" s="26"/>
      <c r="G8" s="16"/>
      <c r="H8" s="48"/>
      <c r="I8" s="17"/>
      <c r="J8" s="16"/>
      <c r="K8" s="16"/>
      <c r="L8" s="16"/>
      <c r="M8" s="16"/>
      <c r="N8" s="16"/>
      <c r="O8" s="17"/>
      <c r="P8" s="16"/>
    </row>
    <row r="9" spans="1:28" ht="18.45" thickTop="1" thickBot="1" x14ac:dyDescent="0.45">
      <c r="A9" s="86">
        <f ca="1">VLOOKUP(C9,Postupy!$A$3:$C$18,3,0)</f>
        <v>1</v>
      </c>
      <c r="B9" s="16"/>
      <c r="C9" s="80">
        <v>2</v>
      </c>
      <c r="D9" s="253" t="str">
        <f ca="1">VLOOKUP(C9,Postupy!$A$3:$W$6,23,0)</f>
        <v>14 PC Sokol Lipník - Morávek Petr</v>
      </c>
      <c r="E9" s="130">
        <f>VLOOKUP(C9,Postupy!$A$3:$X$6,24,0)</f>
        <v>1</v>
      </c>
      <c r="F9" s="27"/>
      <c r="G9" s="16"/>
      <c r="H9" s="45"/>
      <c r="I9" s="17"/>
      <c r="J9" s="45"/>
      <c r="K9" s="45"/>
      <c r="L9" s="17"/>
      <c r="M9" s="17"/>
      <c r="N9" s="16"/>
      <c r="O9" s="16"/>
      <c r="P9" s="17"/>
    </row>
    <row r="10" spans="1:28" x14ac:dyDescent="0.4">
      <c r="A10" s="76"/>
      <c r="B10" s="55"/>
      <c r="C10" s="16"/>
      <c r="D10" s="46"/>
      <c r="E10" s="15"/>
      <c r="F10" s="16"/>
      <c r="G10" s="16"/>
      <c r="H10" s="45"/>
      <c r="I10" s="17"/>
      <c r="J10" s="45"/>
      <c r="K10" s="45"/>
      <c r="L10" s="17"/>
      <c r="M10" s="17"/>
      <c r="N10" s="16"/>
      <c r="O10" s="16"/>
      <c r="P10" s="17"/>
    </row>
    <row r="11" spans="1:28" x14ac:dyDescent="0.4">
      <c r="A11" s="75"/>
      <c r="B11" s="21"/>
      <c r="C11" s="16"/>
      <c r="D11" s="46"/>
      <c r="E11" s="16"/>
      <c r="F11" s="16"/>
      <c r="G11" s="16"/>
      <c r="H11" s="45"/>
      <c r="I11" s="17"/>
      <c r="J11" s="45"/>
      <c r="K11" s="45"/>
      <c r="L11" s="17"/>
      <c r="M11" s="17"/>
      <c r="N11" s="16"/>
      <c r="O11" s="16"/>
      <c r="P11" s="17"/>
    </row>
    <row r="12" spans="1:28" ht="13.3" x14ac:dyDescent="0.4">
      <c r="A12" s="76"/>
      <c r="B12" s="16"/>
      <c r="C12" s="16"/>
      <c r="D12" s="49"/>
      <c r="E12" s="16"/>
      <c r="F12" s="16"/>
      <c r="G12" s="16"/>
      <c r="H12" s="45"/>
      <c r="I12" s="17"/>
      <c r="J12" s="45"/>
      <c r="K12" s="45"/>
      <c r="L12" s="17"/>
      <c r="M12" s="17"/>
      <c r="N12" s="16"/>
      <c r="O12" s="16"/>
      <c r="P12" s="17"/>
    </row>
    <row r="13" spans="1:28" ht="15" x14ac:dyDescent="0.4">
      <c r="A13" s="75"/>
      <c r="B13" s="16"/>
      <c r="C13" s="16"/>
      <c r="D13" s="49"/>
      <c r="E13" s="16"/>
      <c r="F13" s="16"/>
      <c r="G13" s="45"/>
      <c r="H13" s="210" t="s">
        <v>1682</v>
      </c>
      <c r="I13" s="17"/>
      <c r="J13" s="45"/>
      <c r="K13" s="45"/>
      <c r="L13" s="17"/>
      <c r="M13" s="17"/>
      <c r="N13" s="16"/>
      <c r="O13" s="16"/>
      <c r="P13" s="17"/>
    </row>
    <row r="14" spans="1:28" ht="15.45" thickBot="1" x14ac:dyDescent="0.45">
      <c r="A14" s="76"/>
      <c r="B14" s="21"/>
      <c r="C14" s="16"/>
      <c r="D14" s="49"/>
      <c r="E14" s="16"/>
      <c r="F14" s="16"/>
      <c r="G14" s="45"/>
      <c r="H14" s="211" t="s">
        <v>1683</v>
      </c>
      <c r="I14" s="17"/>
      <c r="J14" s="45"/>
      <c r="K14" s="45"/>
      <c r="L14" s="17"/>
      <c r="M14" s="17"/>
      <c r="N14" s="16"/>
      <c r="O14" s="16"/>
      <c r="P14" s="17"/>
    </row>
    <row r="15" spans="1:28" ht="14.15" thickBot="1" x14ac:dyDescent="0.5">
      <c r="A15" s="75"/>
      <c r="B15" s="31"/>
      <c r="C15" s="16"/>
      <c r="D15" s="46"/>
      <c r="E15" s="16"/>
      <c r="F15" s="16"/>
      <c r="G15" s="149"/>
      <c r="H15" s="296" t="s">
        <v>1680</v>
      </c>
      <c r="I15" s="297" t="str">
        <f ca="1">IF(OR(TRIM(H16)="-",TRIM(H17)="-"),"",VLOOKUP(MIN(G16,G17),Hřiště!$B$11:$E$42,4,0))</f>
        <v/>
      </c>
      <c r="J15" s="16"/>
      <c r="K15" s="16"/>
      <c r="L15" s="16"/>
      <c r="M15" s="16"/>
      <c r="N15" s="16"/>
      <c r="O15" s="17"/>
      <c r="P15" s="16"/>
    </row>
    <row r="16" spans="1:28" ht="18.45" thickTop="1" thickBot="1" x14ac:dyDescent="0.45">
      <c r="A16" s="75"/>
      <c r="B16" s="16"/>
      <c r="C16" s="16"/>
      <c r="D16" s="46"/>
      <c r="E16" s="16"/>
      <c r="F16" s="16"/>
      <c r="G16" s="78">
        <v>4</v>
      </c>
      <c r="H16" s="79" t="str">
        <f ca="1">IF(OR(TRIM(D4)="-",TRIM(D5)="-"), IF(TRIM(D4)="-",D5,D4),IF(AND(E4="",E5="")," ",IF(N(E5)=N(E4)," ",IF(N(E5)&gt;N(E4),D4,D5))))</f>
        <v>5 CdP Loděnice - Dlouhá Ivana</v>
      </c>
      <c r="I16" s="129" t="str">
        <f>VLOOKUP(G16,Postupy!$A$3:$Z$6,26,0)</f>
        <v/>
      </c>
      <c r="J16" s="163"/>
      <c r="K16" s="37">
        <v>3</v>
      </c>
      <c r="L16" s="98" t="str">
        <f>IF(AND(I16="",I17="")," ",IF(N(I16)=N(I17)," ",IF(N(I16)&gt;N(I17),H16,H17)))</f>
        <v xml:space="preserve"> </v>
      </c>
      <c r="M16" s="97">
        <v>3</v>
      </c>
      <c r="N16" s="16"/>
      <c r="O16" s="17"/>
      <c r="P16" s="16"/>
    </row>
    <row r="17" spans="1:16" ht="18.45" thickTop="1" thickBot="1" x14ac:dyDescent="0.45">
      <c r="A17" s="75"/>
      <c r="B17" s="16"/>
      <c r="C17" s="16"/>
      <c r="D17" s="46"/>
      <c r="E17" s="16"/>
      <c r="F17" s="16"/>
      <c r="G17" s="80">
        <v>3</v>
      </c>
      <c r="H17" s="81" t="str">
        <f ca="1">IF(OR(TRIM(D8)="-",TRIM(D9)="-"), IF(TRIM(D8)="-",D9,D8),IF(AND(E8="",E9="")," ",IF(N(E9)=N(E8)," ",IF(N(E9)&gt;N(E8),D8,D9))))</f>
        <v>2 PLUK Jablonec - Lukáš Vojtěch</v>
      </c>
      <c r="I17" s="130" t="str">
        <f>VLOOKUP(G17,Postupy!$A$3:$Z$6,26,0)</f>
        <v/>
      </c>
      <c r="J17" s="151"/>
      <c r="K17" s="37">
        <v>4</v>
      </c>
      <c r="L17" s="98" t="str">
        <f>IF(AND(I16="",I17="")," ",IF(N(I17)=N(I16)," ",IF(N(I17)&gt;N(I16),H16,H17)))</f>
        <v xml:space="preserve"> </v>
      </c>
      <c r="M17" s="97">
        <v>4</v>
      </c>
      <c r="N17" s="16"/>
      <c r="O17" s="17"/>
      <c r="P17" s="16"/>
    </row>
    <row r="18" spans="1:16" x14ac:dyDescent="0.4">
      <c r="A18" s="75"/>
      <c r="B18" s="55"/>
      <c r="C18" s="16"/>
      <c r="D18" s="46"/>
      <c r="E18" s="16"/>
      <c r="F18" s="16"/>
      <c r="G18" s="16"/>
      <c r="H18" s="45"/>
      <c r="I18" s="17"/>
      <c r="J18" s="16"/>
      <c r="K18" s="16"/>
      <c r="L18" s="16"/>
      <c r="M18" s="16"/>
      <c r="N18" s="16"/>
      <c r="O18" s="17"/>
      <c r="P18" s="16"/>
    </row>
    <row r="19" spans="1:16" x14ac:dyDescent="0.4">
      <c r="A19" s="75"/>
      <c r="B19" s="21"/>
      <c r="C19" s="16"/>
      <c r="D19" s="46"/>
      <c r="E19" s="16"/>
      <c r="F19" s="16"/>
      <c r="G19" s="16"/>
      <c r="H19" s="45"/>
      <c r="I19" s="17"/>
      <c r="J19" s="45"/>
      <c r="K19" s="45"/>
      <c r="L19" s="17"/>
      <c r="M19" s="17"/>
      <c r="N19" s="16"/>
      <c r="O19" s="16"/>
      <c r="P19" s="17"/>
    </row>
    <row r="20" spans="1:16" x14ac:dyDescent="0.4">
      <c r="A20" s="75"/>
      <c r="B20" s="21"/>
      <c r="C20" s="16"/>
      <c r="D20" s="46"/>
      <c r="E20" s="16"/>
      <c r="F20" s="16"/>
      <c r="G20" s="16"/>
      <c r="H20" s="45"/>
      <c r="I20" s="17"/>
      <c r="J20" s="45"/>
      <c r="K20" s="45"/>
      <c r="L20" s="17"/>
      <c r="M20" s="17"/>
      <c r="N20" s="16"/>
      <c r="O20" s="16"/>
      <c r="P20" s="17"/>
    </row>
    <row r="21" spans="1:16" x14ac:dyDescent="0.4">
      <c r="A21" s="75"/>
      <c r="B21" s="21"/>
      <c r="C21" s="16"/>
      <c r="D21" s="46"/>
      <c r="E21" s="16"/>
      <c r="F21" s="16"/>
      <c r="G21" s="16"/>
      <c r="H21" s="45"/>
      <c r="I21" s="17"/>
      <c r="J21" s="45"/>
      <c r="K21" s="45"/>
      <c r="L21" s="17"/>
      <c r="M21" s="17"/>
      <c r="N21" s="16"/>
      <c r="O21" s="16"/>
      <c r="P21" s="17"/>
    </row>
    <row r="22" spans="1:16" x14ac:dyDescent="0.4">
      <c r="A22" s="75"/>
      <c r="B22" s="21"/>
      <c r="C22" s="16"/>
      <c r="D22" s="46"/>
      <c r="E22" s="16"/>
      <c r="F22" s="16"/>
      <c r="G22" s="16"/>
      <c r="H22" s="45"/>
      <c r="I22" s="17"/>
      <c r="J22" s="45"/>
      <c r="K22" s="45"/>
      <c r="L22" s="17"/>
      <c r="M22" s="17"/>
      <c r="N22" s="16"/>
      <c r="O22" s="16"/>
      <c r="P22" s="17"/>
    </row>
    <row r="23" spans="1:16" x14ac:dyDescent="0.4">
      <c r="A23" s="75"/>
      <c r="B23" s="21"/>
      <c r="C23" s="16"/>
      <c r="D23" s="46"/>
      <c r="E23" s="16"/>
      <c r="F23" s="16"/>
      <c r="G23" s="16"/>
      <c r="H23" s="45"/>
      <c r="I23" s="17"/>
      <c r="J23" s="45"/>
      <c r="K23" s="45"/>
      <c r="L23" s="17"/>
      <c r="M23" s="17"/>
      <c r="N23" s="16"/>
      <c r="O23" s="16"/>
      <c r="P23" s="17"/>
    </row>
    <row r="24" spans="1:16" x14ac:dyDescent="0.4">
      <c r="A24" s="75"/>
      <c r="B24" s="21"/>
      <c r="C24" s="16"/>
      <c r="D24" s="46"/>
      <c r="E24" s="16"/>
      <c r="F24" s="16"/>
      <c r="G24" s="16"/>
      <c r="H24" s="45"/>
      <c r="I24" s="17"/>
      <c r="J24" s="45"/>
      <c r="K24" s="45"/>
      <c r="L24" s="17"/>
      <c r="M24" s="17"/>
      <c r="N24" s="16"/>
      <c r="O24" s="16"/>
      <c r="P24" s="17"/>
    </row>
    <row r="25" spans="1:16" x14ac:dyDescent="0.4">
      <c r="A25" s="75"/>
      <c r="B25" s="21"/>
      <c r="C25" s="16"/>
      <c r="D25" s="46"/>
      <c r="E25" s="16"/>
      <c r="F25" s="16"/>
      <c r="G25" s="16"/>
      <c r="H25" s="45"/>
      <c r="I25" s="17"/>
      <c r="J25" s="45"/>
      <c r="K25" s="45"/>
      <c r="L25" s="17"/>
      <c r="M25" s="17"/>
      <c r="N25" s="16"/>
      <c r="O25" s="16"/>
      <c r="P25" s="17"/>
    </row>
    <row r="26" spans="1:16" x14ac:dyDescent="0.4">
      <c r="A26" s="75"/>
      <c r="B26" s="21"/>
      <c r="C26" s="16"/>
      <c r="D26" s="46"/>
      <c r="E26" s="16"/>
      <c r="F26" s="16"/>
      <c r="G26" s="16"/>
      <c r="H26" s="45"/>
      <c r="I26" s="17"/>
      <c r="J26" s="45"/>
      <c r="K26" s="45"/>
      <c r="L26" s="17"/>
      <c r="M26" s="17"/>
      <c r="N26" s="16"/>
      <c r="O26" s="16"/>
      <c r="P26" s="17"/>
    </row>
    <row r="27" spans="1:16" x14ac:dyDescent="0.4">
      <c r="A27" s="75"/>
      <c r="B27" s="21"/>
      <c r="C27" s="16"/>
      <c r="D27" s="46"/>
      <c r="E27" s="16"/>
      <c r="F27" s="16"/>
      <c r="G27" s="16"/>
      <c r="H27" s="45"/>
      <c r="I27" s="17"/>
      <c r="J27" s="45"/>
      <c r="K27" s="45"/>
      <c r="L27" s="17"/>
      <c r="M27" s="17"/>
      <c r="N27" s="16"/>
      <c r="O27" s="16"/>
      <c r="P27" s="17"/>
    </row>
    <row r="28" spans="1:16" x14ac:dyDescent="0.4">
      <c r="A28" s="76"/>
      <c r="B28" s="21"/>
    </row>
    <row r="29" spans="1:16" x14ac:dyDescent="0.4">
      <c r="A29" s="75"/>
      <c r="B29" s="21"/>
    </row>
    <row r="30" spans="1:16" x14ac:dyDescent="0.4">
      <c r="A30" s="76"/>
      <c r="B30" s="21"/>
    </row>
    <row r="31" spans="1:16" x14ac:dyDescent="0.4">
      <c r="A31" s="75"/>
      <c r="B31" s="21"/>
    </row>
    <row r="32" spans="1:16" x14ac:dyDescent="0.4">
      <c r="A32" s="16"/>
      <c r="B32" s="21"/>
    </row>
    <row r="33" spans="1:2" x14ac:dyDescent="0.4">
      <c r="A33" s="16"/>
      <c r="B33" s="21"/>
    </row>
    <row r="34" spans="1:2" x14ac:dyDescent="0.4">
      <c r="A34" s="16"/>
      <c r="B34" s="21"/>
    </row>
    <row r="35" spans="1:2" x14ac:dyDescent="0.4">
      <c r="A35" s="16"/>
      <c r="B35" s="21"/>
    </row>
    <row r="36" spans="1:2" x14ac:dyDescent="0.4">
      <c r="A36" s="16"/>
      <c r="B36" s="21"/>
    </row>
    <row r="37" spans="1:2" x14ac:dyDescent="0.4">
      <c r="A37" s="16"/>
      <c r="B37" s="21"/>
    </row>
    <row r="38" spans="1:2" x14ac:dyDescent="0.4">
      <c r="B38" s="21"/>
    </row>
    <row r="39" spans="1:2" x14ac:dyDescent="0.4">
      <c r="B39" s="21"/>
    </row>
    <row r="40" spans="1:2" x14ac:dyDescent="0.4">
      <c r="B40" s="21"/>
    </row>
    <row r="41" spans="1:2" x14ac:dyDescent="0.4">
      <c r="B41" s="21"/>
    </row>
    <row r="42" spans="1:2" x14ac:dyDescent="0.4">
      <c r="B42" s="21"/>
    </row>
    <row r="43" spans="1:2" x14ac:dyDescent="0.4">
      <c r="B43" s="21"/>
    </row>
  </sheetData>
  <sheetProtection password="CA1B" sheet="1" formatCells="0" formatColumns="0" formatRows="0"/>
  <phoneticPr fontId="0" type="noConversion"/>
  <conditionalFormatting sqref="H16 D8 D4 H6">
    <cfRule type="expression" dxfId="7" priority="1" stopIfTrue="1">
      <formula>IF(N(E4)&gt;N(E5),TRUE,FALSE)</formula>
    </cfRule>
  </conditionalFormatting>
  <conditionalFormatting sqref="G6 C4 C8 G16">
    <cfRule type="expression" dxfId="6" priority="2" stopIfTrue="1">
      <formula>IF(N(E4)&gt;N(E5),TRUE,FALSE)</formula>
    </cfRule>
  </conditionalFormatting>
  <conditionalFormatting sqref="E8 I6 I16 E4">
    <cfRule type="expression" dxfId="5" priority="3" stopIfTrue="1">
      <formula>IF(N(E4)&gt;N(E5),TRUE,FALSE)</formula>
    </cfRule>
  </conditionalFormatting>
  <conditionalFormatting sqref="G7 C5 C9 G17">
    <cfRule type="expression" dxfId="4" priority="4" stopIfTrue="1">
      <formula>IF(N(E5)&gt;N(E4),TRUE,FALSE)</formula>
    </cfRule>
  </conditionalFormatting>
  <conditionalFormatting sqref="D9 H17 D5 H7">
    <cfRule type="expression" dxfId="3" priority="5" stopIfTrue="1">
      <formula>IF(N(E5)&gt;N(E4),TRUE,FALSE)</formula>
    </cfRule>
  </conditionalFormatting>
  <conditionalFormatting sqref="E9 I7 I17 E5">
    <cfRule type="expression" dxfId="2" priority="6" stopIfTrue="1">
      <formula>IF(N(E5)&gt;N(E4),TRUE,FALSE)</formula>
    </cfRule>
  </conditionalFormatting>
  <pageMargins left="0.78740157499999996" right="0.78740157499999996" top="0.984251969" bottom="0.984251969" header="0.4921259845" footer="0.4921259845"/>
  <pageSetup paperSize="9" orientation="landscape" horizontalDpi="300" verticalDpi="300"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List65">
    <pageSetUpPr fitToPage="1"/>
  </sheetPr>
  <dimension ref="A1:F38"/>
  <sheetViews>
    <sheetView zoomScaleNormal="100" workbookViewId="0"/>
  </sheetViews>
  <sheetFormatPr defaultRowHeight="12" x14ac:dyDescent="0.4"/>
  <cols>
    <col min="1" max="1" width="10.58203125" customWidth="1"/>
    <col min="2" max="2" width="77.25" customWidth="1"/>
    <col min="3" max="3" width="104.83203125" customWidth="1"/>
    <col min="4" max="4" width="0" hidden="1" customWidth="1"/>
    <col min="5" max="5" width="43.58203125" customWidth="1"/>
    <col min="6" max="6" width="10.83203125" customWidth="1"/>
  </cols>
  <sheetData>
    <row r="1" spans="1:6" ht="42.65" customHeight="1" thickBot="1" x14ac:dyDescent="0.45">
      <c r="A1" s="102"/>
      <c r="B1" s="141" t="s">
        <v>1545</v>
      </c>
      <c r="C1" s="437" t="s">
        <v>1693</v>
      </c>
      <c r="D1" s="16"/>
    </row>
    <row r="2" spans="1:6" ht="24.65" customHeight="1" x14ac:dyDescent="0.7">
      <c r="A2" s="103">
        <v>1</v>
      </c>
      <c r="B2" s="142" t="str">
        <f ca="1">VLOOKUP($A2,Postupy!$A$3:$I$18,9,0)</f>
        <v>4 1. KPK Vrchlabí - Srnský Lubomír</v>
      </c>
      <c r="C2" s="101" t="str">
        <f ca="1">IF(F2="","",CONCATENATE(VLOOKUP($F2,Start.listina!$H$11:$AC$138,3,0)," ",VLOOKUP($F2,Start.listina!$H$11:$AC$138,4,0)," ",VLOOKUP($F2,Start.listina!$H$11:$AC$138,5,0),", ",VLOOKUP($F2,Start.listina!$H$11:$AC$138,9,0)," ",VLOOKUP($F2,Start.listina!$H$11:$AC$138,10,0)," ",VLOOKUP($F2,Start.listina!$H$11:$AC$138,11,0),", ",VLOOKUP($F2,Start.listina!$H$11:$AC$138,15,0)," ",VLOOKUP($F2,Start.listina!$H$11:$AC$138,16,0)," ",VLOOKUP($F2,Start.listina!$H$11:$AC$138,17,0),"  ",VLOOKUP($F2,Start.listina!$H$11:$AC$138,21,0)," ",VLOOKUP($F2,Start.listina!$H$11:$AC$138,22,0)," ",VLOOKUP($F2,Start.listina!$H$11:$AD$138,23,0)))</f>
        <v xml:space="preserve">Srnský Lubomír 1. KPK Vrchlabí,      ,             </v>
      </c>
      <c r="D2" s="103">
        <v>1</v>
      </c>
      <c r="F2">
        <f ca="1">IF(TYPE(VLOOKUP($B2,Start.listina!$AL$11:$BF$138,21,0))=16,"",VLOOKUP($B2,Start.listina!$AL$11:$BF$138,21,0))</f>
        <v>4</v>
      </c>
    </row>
    <row r="3" spans="1:6" ht="22.95" customHeight="1" x14ac:dyDescent="0.7">
      <c r="A3" s="104">
        <v>2</v>
      </c>
      <c r="B3" s="143" t="str">
        <f ca="1">VLOOKUP($A3,Postupy!$A$3:$I$18,9,0)</f>
        <v>14 PC Sokol Lipník - Morávek Petr</v>
      </c>
      <c r="C3" s="101" t="str">
        <f ca="1">IF(F3="","",CONCATENATE(VLOOKUP($F3,Start.listina!$H$11:$AC$138,3,0)," ",VLOOKUP($F3,Start.listina!$H$11:$AC$138,4,0)," ",VLOOKUP($F3,Start.listina!$H$11:$AC$138,5,0),", ",VLOOKUP($F3,Start.listina!$H$11:$AC$138,9,0)," ",VLOOKUP($F3,Start.listina!$H$11:$AC$138,10,0)," ",VLOOKUP($F3,Start.listina!$H$11:$AC$138,11,0),", ",VLOOKUP($F3,Start.listina!$H$11:$AC$138,15,0)," ",VLOOKUP($F3,Start.listina!$H$11:$AC$138,16,0)," ",VLOOKUP($F3,Start.listina!$H$11:$AC$138,17,0),"  ",VLOOKUP($F3,Start.listina!$H$11:$AC$138,21,0)," ",VLOOKUP($F3,Start.listina!$H$11:$AC$138,22,0)," ",VLOOKUP($F3,Start.listina!$H$11:$AD$138,23,0)))</f>
        <v xml:space="preserve">Morávek Petr PC Sokol Lipník,      ,             </v>
      </c>
      <c r="D3" s="104">
        <v>2</v>
      </c>
      <c r="F3">
        <f ca="1">IF(TYPE(VLOOKUP($B3,Start.listina!$AL$11:$BF$138,21,0))=16,"",VLOOKUP($B3,Start.listina!$AL$11:$BF$138,21,0))</f>
        <v>14</v>
      </c>
    </row>
    <row r="4" spans="1:6" ht="22.95" customHeight="1" x14ac:dyDescent="0.7">
      <c r="A4" s="104">
        <v>3</v>
      </c>
      <c r="B4" s="143" t="str">
        <f>VLOOKUP($A4,Postupy!$A$3:$I$18,9,0)</f>
        <v xml:space="preserve"> </v>
      </c>
      <c r="C4" s="101" t="str">
        <f ca="1">IF(F4="","",CONCATENATE(VLOOKUP($F4,Start.listina!$H$11:$AC$138,3,0)," ",VLOOKUP($F4,Start.listina!$H$11:$AC$138,4,0)," ",VLOOKUP($F4,Start.listina!$H$11:$AC$138,5,0),", ",VLOOKUP($F4,Start.listina!$H$11:$AC$138,9,0)," ",VLOOKUP($F4,Start.listina!$H$11:$AC$138,10,0)," ",VLOOKUP($F4,Start.listina!$H$11:$AC$138,11,0),", ",VLOOKUP($F4,Start.listina!$H$11:$AC$138,15,0)," ",VLOOKUP($F4,Start.listina!$H$11:$AC$138,16,0)," ",VLOOKUP($F4,Start.listina!$H$11:$AC$138,17,0),"  ",VLOOKUP($F4,Start.listina!$H$11:$AC$138,21,0)," ",VLOOKUP($F4,Start.listina!$H$11:$AC$138,22,0)," ",VLOOKUP($F4,Start.listina!$H$11:$AD$138,23,0)))</f>
        <v/>
      </c>
      <c r="D4" s="104">
        <v>3</v>
      </c>
      <c r="F4" t="str">
        <f ca="1">IF(TYPE(VLOOKUP($B4,Start.listina!$AL$11:$BF$138,21,0))=16,"",VLOOKUP($B4,Start.listina!$AL$11:$BF$138,21,0))</f>
        <v/>
      </c>
    </row>
    <row r="5" spans="1:6" ht="22.95" customHeight="1" x14ac:dyDescent="0.7">
      <c r="A5" s="104">
        <v>4</v>
      </c>
      <c r="B5" s="143" t="str">
        <f>VLOOKUP($A5,Postupy!$A$3:$I$18,9,0)</f>
        <v xml:space="preserve"> </v>
      </c>
      <c r="C5" s="101" t="str">
        <f ca="1">IF(F5="","",CONCATENATE(VLOOKUP($F5,Start.listina!$H$11:$AC$138,3,0)," ",VLOOKUP($F5,Start.listina!$H$11:$AC$138,4,0)," ",VLOOKUP($F5,Start.listina!$H$11:$AC$138,5,0),", ",VLOOKUP($F5,Start.listina!$H$11:$AC$138,9,0)," ",VLOOKUP($F5,Start.listina!$H$11:$AC$138,10,0)," ",VLOOKUP($F5,Start.listina!$H$11:$AC$138,11,0),", ",VLOOKUP($F5,Start.listina!$H$11:$AC$138,15,0)," ",VLOOKUP($F5,Start.listina!$H$11:$AC$138,16,0)," ",VLOOKUP($F5,Start.listina!$H$11:$AC$138,17,0),"  ",VLOOKUP($F5,Start.listina!$H$11:$AC$138,21,0)," ",VLOOKUP($F5,Start.listina!$H$11:$AC$138,22,0)," ",VLOOKUP($F5,Start.listina!$H$11:$AD$138,23,0)))</f>
        <v/>
      </c>
      <c r="D5" s="104">
        <v>4</v>
      </c>
      <c r="F5" t="str">
        <f ca="1">IF(TYPE(VLOOKUP($B5,Start.listina!$AL$11:$BF$138,21,0))=16,"",VLOOKUP($B5,Start.listina!$AL$11:$BF$138,21,0))</f>
        <v/>
      </c>
    </row>
    <row r="6" spans="1:6" ht="22.95" customHeight="1" x14ac:dyDescent="0.7">
      <c r="A6" s="104">
        <v>5</v>
      </c>
      <c r="B6" s="143" t="str">
        <f>VLOOKUP($A6,Postupy!$A$3:$I$18,9,0)</f>
        <v xml:space="preserve"> </v>
      </c>
      <c r="C6" s="101" t="str">
        <f ca="1">IF(F6="","",CONCATENATE(VLOOKUP($F6,Start.listina!$H$11:$AC$138,3,0)," ",VLOOKUP($F6,Start.listina!$H$11:$AC$138,4,0)," ",VLOOKUP($F6,Start.listina!$H$11:$AC$138,5,0),", ",VLOOKUP($F6,Start.listina!$H$11:$AC$138,9,0)," ",VLOOKUP($F6,Start.listina!$H$11:$AC$138,10,0)," ",VLOOKUP($F6,Start.listina!$H$11:$AC$138,11,0),", ",VLOOKUP($F6,Start.listina!$H$11:$AC$138,15,0)," ",VLOOKUP($F6,Start.listina!$H$11:$AC$138,16,0)," ",VLOOKUP($F6,Start.listina!$H$11:$AC$138,17,0),"  ",VLOOKUP($F6,Start.listina!$H$11:$AC$138,21,0)," ",VLOOKUP($F6,Start.listina!$H$11:$AC$138,22,0)," ",VLOOKUP($F6,Start.listina!$H$11:$AD$138,23,0)))</f>
        <v/>
      </c>
      <c r="D6" s="104">
        <v>5</v>
      </c>
      <c r="F6" t="str">
        <f ca="1">IF(TYPE(VLOOKUP($B6,Start.listina!$AL$11:$BF$138,21,0))=16,"",VLOOKUP($B6,Start.listina!$AL$11:$BF$138,21,0))</f>
        <v/>
      </c>
    </row>
    <row r="7" spans="1:6" ht="22.95" customHeight="1" x14ac:dyDescent="0.7">
      <c r="A7" s="104">
        <v>6</v>
      </c>
      <c r="B7" s="143" t="str">
        <f>VLOOKUP($A7,Postupy!$A$3:$I$18,9,0)</f>
        <v xml:space="preserve"> </v>
      </c>
      <c r="C7" s="101" t="str">
        <f ca="1">IF(F7="","",CONCATENATE(VLOOKUP($F7,Start.listina!$H$11:$AC$138,3,0)," ",VLOOKUP($F7,Start.listina!$H$11:$AC$138,4,0)," ",VLOOKUP($F7,Start.listina!$H$11:$AC$138,5,0),", ",VLOOKUP($F7,Start.listina!$H$11:$AC$138,9,0)," ",VLOOKUP($F7,Start.listina!$H$11:$AC$138,10,0)," ",VLOOKUP($F7,Start.listina!$H$11:$AC$138,11,0),", ",VLOOKUP($F7,Start.listina!$H$11:$AC$138,15,0)," ",VLOOKUP($F7,Start.listina!$H$11:$AC$138,16,0)," ",VLOOKUP($F7,Start.listina!$H$11:$AC$138,17,0),"  ",VLOOKUP($F7,Start.listina!$H$11:$AC$138,21,0)," ",VLOOKUP($F7,Start.listina!$H$11:$AC$138,22,0)," ",VLOOKUP($F7,Start.listina!$H$11:$AD$138,23,0)))</f>
        <v/>
      </c>
      <c r="D7" s="104">
        <v>6</v>
      </c>
      <c r="F7" t="str">
        <f ca="1">IF(TYPE(VLOOKUP($B7,Start.listina!$AL$11:$BF$138,21,0))=16,"",VLOOKUP($B7,Start.listina!$AL$11:$BF$138,21,0))</f>
        <v/>
      </c>
    </row>
    <row r="8" spans="1:6" ht="22.95" customHeight="1" x14ac:dyDescent="0.7">
      <c r="A8" s="104">
        <v>7</v>
      </c>
      <c r="B8" s="143" t="str">
        <f>VLOOKUP($A8,Postupy!$A$3:$I$18,9,0)</f>
        <v xml:space="preserve"> </v>
      </c>
      <c r="C8" s="101" t="str">
        <f ca="1">IF(F8="","",CONCATENATE(VLOOKUP($F8,Start.listina!$H$11:$AC$138,3,0)," ",VLOOKUP($F8,Start.listina!$H$11:$AC$138,4,0)," ",VLOOKUP($F8,Start.listina!$H$11:$AC$138,5,0),", ",VLOOKUP($F8,Start.listina!$H$11:$AC$138,9,0)," ",VLOOKUP($F8,Start.listina!$H$11:$AC$138,10,0)," ",VLOOKUP($F8,Start.listina!$H$11:$AC$138,11,0),", ",VLOOKUP($F8,Start.listina!$H$11:$AC$138,15,0)," ",VLOOKUP($F8,Start.listina!$H$11:$AC$138,16,0)," ",VLOOKUP($F8,Start.listina!$H$11:$AC$138,17,0),"  ",VLOOKUP($F8,Start.listina!$H$11:$AC$138,21,0)," ",VLOOKUP($F8,Start.listina!$H$11:$AC$138,22,0)," ",VLOOKUP($F8,Start.listina!$H$11:$AD$138,23,0)))</f>
        <v/>
      </c>
      <c r="D8" s="104">
        <v>7</v>
      </c>
      <c r="F8" t="str">
        <f ca="1">IF(TYPE(VLOOKUP($B8,Start.listina!$AL$11:$BF$138,21,0))=16,"",VLOOKUP($B8,Start.listina!$AL$11:$BF$138,21,0))</f>
        <v/>
      </c>
    </row>
    <row r="9" spans="1:6" ht="22.95" customHeight="1" x14ac:dyDescent="0.7">
      <c r="A9" s="104">
        <v>8</v>
      </c>
      <c r="B9" s="143" t="str">
        <f>VLOOKUP($A9,Postupy!$A$3:$I$18,9,0)</f>
        <v xml:space="preserve"> </v>
      </c>
      <c r="C9" s="101" t="str">
        <f ca="1">IF(F9="","",CONCATENATE(VLOOKUP($F9,Start.listina!$H$11:$AC$138,3,0)," ",VLOOKUP($F9,Start.listina!$H$11:$AC$138,4,0)," ",VLOOKUP($F9,Start.listina!$H$11:$AC$138,5,0),", ",VLOOKUP($F9,Start.listina!$H$11:$AC$138,9,0)," ",VLOOKUP($F9,Start.listina!$H$11:$AC$138,10,0)," ",VLOOKUP($F9,Start.listina!$H$11:$AC$138,11,0),", ",VLOOKUP($F9,Start.listina!$H$11:$AC$138,15,0)," ",VLOOKUP($F9,Start.listina!$H$11:$AC$138,16,0)," ",VLOOKUP($F9,Start.listina!$H$11:$AC$138,17,0),"  ",VLOOKUP($F9,Start.listina!$H$11:$AC$138,21,0)," ",VLOOKUP($F9,Start.listina!$H$11:$AC$138,22,0)," ",VLOOKUP($F9,Start.listina!$H$11:$AD$138,23,0)))</f>
        <v/>
      </c>
      <c r="D9" s="104">
        <v>8</v>
      </c>
      <c r="F9" t="str">
        <f ca="1">IF(TYPE(VLOOKUP($B9,Start.listina!$AL$11:$BF$138,21,0))=16,"",VLOOKUP($B9,Start.listina!$AL$11:$BF$138,21,0))</f>
        <v/>
      </c>
    </row>
    <row r="10" spans="1:6" ht="22.95" customHeight="1" x14ac:dyDescent="0.7">
      <c r="A10" s="104">
        <v>9</v>
      </c>
      <c r="B10" s="143" t="str">
        <f>VLOOKUP($A10,Postupy!$A$3:$I$18,9,0)</f>
        <v xml:space="preserve"> </v>
      </c>
      <c r="C10" s="101" t="str">
        <f ca="1">IF(F10="","",CONCATENATE(VLOOKUP($F10,Start.listina!$H$11:$AC$138,3,0)," ",VLOOKUP($F10,Start.listina!$H$11:$AC$138,4,0)," ",VLOOKUP($F10,Start.listina!$H$11:$AC$138,5,0),", ",VLOOKUP($F10,Start.listina!$H$11:$AC$138,9,0)," ",VLOOKUP($F10,Start.listina!$H$11:$AC$138,10,0)," ",VLOOKUP($F10,Start.listina!$H$11:$AC$138,11,0),", ",VLOOKUP($F10,Start.listina!$H$11:$AC$138,15,0)," ",VLOOKUP($F10,Start.listina!$H$11:$AC$138,16,0)," ",VLOOKUP($F10,Start.listina!$H$11:$AC$138,17,0),"  ",VLOOKUP($F10,Start.listina!$H$11:$AC$138,21,0)," ",VLOOKUP($F10,Start.listina!$H$11:$AC$138,22,0)," ",VLOOKUP($F10,Start.listina!$H$11:$AD$138,23,0)))</f>
        <v/>
      </c>
      <c r="D10" s="104">
        <v>9</v>
      </c>
      <c r="F10" t="str">
        <f ca="1">IF(TYPE(VLOOKUP($B10,Start.listina!$AL$11:$BF$138,21,0))=16,"",VLOOKUP($B10,Start.listina!$AL$11:$BF$138,21,0))</f>
        <v/>
      </c>
    </row>
    <row r="11" spans="1:6" ht="22.95" customHeight="1" x14ac:dyDescent="0.7">
      <c r="A11" s="104">
        <v>10</v>
      </c>
      <c r="B11" s="143" t="str">
        <f>VLOOKUP($A11,Postupy!$A$3:$I$18,9,0)</f>
        <v xml:space="preserve"> </v>
      </c>
      <c r="C11" s="101" t="str">
        <f ca="1">IF(F11="","",CONCATENATE(VLOOKUP($F11,Start.listina!$H$11:$AC$138,3,0)," ",VLOOKUP($F11,Start.listina!$H$11:$AC$138,4,0)," ",VLOOKUP($F11,Start.listina!$H$11:$AC$138,5,0),", ",VLOOKUP($F11,Start.listina!$H$11:$AC$138,9,0)," ",VLOOKUP($F11,Start.listina!$H$11:$AC$138,10,0)," ",VLOOKUP($F11,Start.listina!$H$11:$AC$138,11,0),", ",VLOOKUP($F11,Start.listina!$H$11:$AC$138,15,0)," ",VLOOKUP($F11,Start.listina!$H$11:$AC$138,16,0)," ",VLOOKUP($F11,Start.listina!$H$11:$AC$138,17,0),"  ",VLOOKUP($F11,Start.listina!$H$11:$AC$138,21,0)," ",VLOOKUP($F11,Start.listina!$H$11:$AC$138,22,0)," ",VLOOKUP($F11,Start.listina!$H$11:$AD$138,23,0)))</f>
        <v/>
      </c>
      <c r="D11" s="104">
        <v>10</v>
      </c>
      <c r="F11" t="str">
        <f ca="1">IF(TYPE(VLOOKUP($B11,Start.listina!$AL$11:$BF$138,21,0))=16,"",VLOOKUP($B11,Start.listina!$AL$11:$BF$138,21,0))</f>
        <v/>
      </c>
    </row>
    <row r="12" spans="1:6" ht="22.95" customHeight="1" x14ac:dyDescent="0.7">
      <c r="A12" s="104">
        <v>11</v>
      </c>
      <c r="B12" s="143" t="str">
        <f>VLOOKUP($A12,Postupy!$A$3:$I$18,9,0)</f>
        <v xml:space="preserve"> </v>
      </c>
      <c r="C12" s="101" t="str">
        <f ca="1">IF(F12="","",CONCATENATE(VLOOKUP($F12,Start.listina!$H$11:$AC$138,3,0)," ",VLOOKUP($F12,Start.listina!$H$11:$AC$138,4,0)," ",VLOOKUP($F12,Start.listina!$H$11:$AC$138,5,0),", ",VLOOKUP($F12,Start.listina!$H$11:$AC$138,9,0)," ",VLOOKUP($F12,Start.listina!$H$11:$AC$138,10,0)," ",VLOOKUP($F12,Start.listina!$H$11:$AC$138,11,0),", ",VLOOKUP($F12,Start.listina!$H$11:$AC$138,15,0)," ",VLOOKUP($F12,Start.listina!$H$11:$AC$138,16,0)," ",VLOOKUP($F12,Start.listina!$H$11:$AC$138,17,0),"  ",VLOOKUP($F12,Start.listina!$H$11:$AC$138,21,0)," ",VLOOKUP($F12,Start.listina!$H$11:$AC$138,22,0)," ",VLOOKUP($F12,Start.listina!$H$11:$AD$138,23,0)))</f>
        <v/>
      </c>
      <c r="D12" s="104">
        <v>11</v>
      </c>
      <c r="F12" t="str">
        <f ca="1">IF(TYPE(VLOOKUP($B12,Start.listina!$AL$11:$BF$138,21,0))=16,"",VLOOKUP($B12,Start.listina!$AL$11:$BF$138,21,0))</f>
        <v/>
      </c>
    </row>
    <row r="13" spans="1:6" ht="22.95" customHeight="1" x14ac:dyDescent="0.7">
      <c r="A13" s="104">
        <v>12</v>
      </c>
      <c r="B13" s="143" t="str">
        <f>VLOOKUP($A13,Postupy!$A$3:$I$18,9,0)</f>
        <v xml:space="preserve"> </v>
      </c>
      <c r="C13" s="101" t="str">
        <f ca="1">IF(F13="","",CONCATENATE(VLOOKUP($F13,Start.listina!$H$11:$AC$138,3,0)," ",VLOOKUP($F13,Start.listina!$H$11:$AC$138,4,0)," ",VLOOKUP($F13,Start.listina!$H$11:$AC$138,5,0),", ",VLOOKUP($F13,Start.listina!$H$11:$AC$138,9,0)," ",VLOOKUP($F13,Start.listina!$H$11:$AC$138,10,0)," ",VLOOKUP($F13,Start.listina!$H$11:$AC$138,11,0),", ",VLOOKUP($F13,Start.listina!$H$11:$AC$138,15,0)," ",VLOOKUP($F13,Start.listina!$H$11:$AC$138,16,0)," ",VLOOKUP($F13,Start.listina!$H$11:$AC$138,17,0),"  ",VLOOKUP($F13,Start.listina!$H$11:$AC$138,21,0)," ",VLOOKUP($F13,Start.listina!$H$11:$AC$138,22,0)," ",VLOOKUP($F13,Start.listina!$H$11:$AD$138,23,0)))</f>
        <v/>
      </c>
      <c r="D13" s="104">
        <v>12</v>
      </c>
      <c r="F13" t="str">
        <f ca="1">IF(TYPE(VLOOKUP($B13,Start.listina!$AL$11:$BF$138,21,0))=16,"",VLOOKUP($B13,Start.listina!$AL$11:$BF$138,21,0))</f>
        <v/>
      </c>
    </row>
    <row r="14" spans="1:6" ht="22.95" customHeight="1" x14ac:dyDescent="0.7">
      <c r="A14" s="104">
        <v>13</v>
      </c>
      <c r="B14" s="143" t="str">
        <f>VLOOKUP($A14,Postupy!$A$3:$I$18,9,0)</f>
        <v xml:space="preserve"> </v>
      </c>
      <c r="C14" s="101" t="str">
        <f ca="1">IF(F14="","",CONCATENATE(VLOOKUP($F14,Start.listina!$H$11:$AC$138,3,0)," ",VLOOKUP($F14,Start.listina!$H$11:$AC$138,4,0)," ",VLOOKUP($F14,Start.listina!$H$11:$AC$138,5,0),", ",VLOOKUP($F14,Start.listina!$H$11:$AC$138,9,0)," ",VLOOKUP($F14,Start.listina!$H$11:$AC$138,10,0)," ",VLOOKUP($F14,Start.listina!$H$11:$AC$138,11,0),", ",VLOOKUP($F14,Start.listina!$H$11:$AC$138,15,0)," ",VLOOKUP($F14,Start.listina!$H$11:$AC$138,16,0)," ",VLOOKUP($F14,Start.listina!$H$11:$AC$138,17,0),"  ",VLOOKUP($F14,Start.listina!$H$11:$AC$138,21,0)," ",VLOOKUP($F14,Start.listina!$H$11:$AC$138,22,0)," ",VLOOKUP($F14,Start.listina!$H$11:$AD$138,23,0)))</f>
        <v/>
      </c>
      <c r="D14" s="104">
        <v>13</v>
      </c>
      <c r="F14" t="str">
        <f ca="1">IF(TYPE(VLOOKUP($B14,Start.listina!$AL$11:$BF$138,21,0))=16,"",VLOOKUP($B14,Start.listina!$AL$11:$BF$138,21,0))</f>
        <v/>
      </c>
    </row>
    <row r="15" spans="1:6" ht="22.95" customHeight="1" x14ac:dyDescent="0.7">
      <c r="A15" s="104">
        <v>14</v>
      </c>
      <c r="B15" s="143" t="str">
        <f>VLOOKUP($A15,Postupy!$A$3:$I$18,9,0)</f>
        <v xml:space="preserve"> </v>
      </c>
      <c r="C15" s="101" t="str">
        <f ca="1">IF(F15="","",CONCATENATE(VLOOKUP($F15,Start.listina!$H$11:$AC$138,3,0)," ",VLOOKUP($F15,Start.listina!$H$11:$AC$138,4,0)," ",VLOOKUP($F15,Start.listina!$H$11:$AC$138,5,0),", ",VLOOKUP($F15,Start.listina!$H$11:$AC$138,9,0)," ",VLOOKUP($F15,Start.listina!$H$11:$AC$138,10,0)," ",VLOOKUP($F15,Start.listina!$H$11:$AC$138,11,0),", ",VLOOKUP($F15,Start.listina!$H$11:$AC$138,15,0)," ",VLOOKUP($F15,Start.listina!$H$11:$AC$138,16,0)," ",VLOOKUP($F15,Start.listina!$H$11:$AC$138,17,0),"  ",VLOOKUP($F15,Start.listina!$H$11:$AC$138,21,0)," ",VLOOKUP($F15,Start.listina!$H$11:$AC$138,22,0)," ",VLOOKUP($F15,Start.listina!$H$11:$AD$138,23,0)))</f>
        <v/>
      </c>
      <c r="D15" s="104">
        <v>14</v>
      </c>
      <c r="F15" t="str">
        <f ca="1">IF(TYPE(VLOOKUP($B15,Start.listina!$AL$11:$BF$138,21,0))=16,"",VLOOKUP($B15,Start.listina!$AL$11:$BF$138,21,0))</f>
        <v/>
      </c>
    </row>
    <row r="16" spans="1:6" ht="22.95" customHeight="1" x14ac:dyDescent="0.7">
      <c r="A16" s="104">
        <v>15</v>
      </c>
      <c r="B16" s="143" t="str">
        <f>VLOOKUP($A16,Postupy!$A$3:$I$18,9,0)</f>
        <v xml:space="preserve"> </v>
      </c>
      <c r="C16" s="101" t="str">
        <f ca="1">IF(F16="","",CONCATENATE(VLOOKUP($F16,Start.listina!$H$11:$AC$138,3,0)," ",VLOOKUP($F16,Start.listina!$H$11:$AC$138,4,0)," ",VLOOKUP($F16,Start.listina!$H$11:$AC$138,5,0),", ",VLOOKUP($F16,Start.listina!$H$11:$AC$138,9,0)," ",VLOOKUP($F16,Start.listina!$H$11:$AC$138,10,0)," ",VLOOKUP($F16,Start.listina!$H$11:$AC$138,11,0),", ",VLOOKUP($F16,Start.listina!$H$11:$AC$138,15,0)," ",VLOOKUP($F16,Start.listina!$H$11:$AC$138,16,0)," ",VLOOKUP($F16,Start.listina!$H$11:$AC$138,17,0),"  ",VLOOKUP($F16,Start.listina!$H$11:$AC$138,21,0)," ",VLOOKUP($F16,Start.listina!$H$11:$AC$138,22,0)," ",VLOOKUP($F16,Start.listina!$H$11:$AD$138,23,0)))</f>
        <v/>
      </c>
      <c r="D16" s="104">
        <v>15</v>
      </c>
      <c r="F16" t="str">
        <f ca="1">IF(TYPE(VLOOKUP($B16,Start.listina!$AL$11:$BF$138,21,0))=16,"",VLOOKUP($B16,Start.listina!$AL$11:$BF$138,21,0))</f>
        <v/>
      </c>
    </row>
    <row r="17" spans="1:6" ht="22.95" customHeight="1" thickBot="1" x14ac:dyDescent="0.75">
      <c r="A17" s="105">
        <v>16</v>
      </c>
      <c r="B17" s="144" t="str">
        <f>VLOOKUP($A17,Postupy!$A$3:$I$18,9,0)</f>
        <v xml:space="preserve"> </v>
      </c>
      <c r="C17" s="101" t="str">
        <f ca="1">IF(F17="","",CONCATENATE(VLOOKUP($F17,Start.listina!$H$11:$AC$138,3,0)," ",VLOOKUP($F17,Start.listina!$H$11:$AC$138,4,0)," ",VLOOKUP($F17,Start.listina!$H$11:$AC$138,5,0),", ",VLOOKUP($F17,Start.listina!$H$11:$AC$138,9,0)," ",VLOOKUP($F17,Start.listina!$H$11:$AC$138,10,0)," ",VLOOKUP($F17,Start.listina!$H$11:$AC$138,11,0),", ",VLOOKUP($F17,Start.listina!$H$11:$AC$138,15,0)," ",VLOOKUP($F17,Start.listina!$H$11:$AC$138,16,0)," ",VLOOKUP($F17,Start.listina!$H$11:$AC$138,17,0),"  ",VLOOKUP($F17,Start.listina!$H$11:$AC$138,21,0)," ",VLOOKUP($F17,Start.listina!$H$11:$AC$138,22,0)," ",VLOOKUP($F17,Start.listina!$H$11:$AD$138,23,0)))</f>
        <v/>
      </c>
      <c r="D17" s="105">
        <v>16</v>
      </c>
      <c r="F17" t="str">
        <f ca="1">IF(TYPE(VLOOKUP($B17,Start.listina!$AL$11:$BF$138,21,0))=16,"",VLOOKUP($B17,Start.listina!$AL$11:$BF$138,21,0))</f>
        <v/>
      </c>
    </row>
    <row r="18" spans="1:6" x14ac:dyDescent="0.4">
      <c r="A18" s="41"/>
      <c r="B18" s="27"/>
      <c r="C18" s="101" t="str">
        <f>IF(F18="","",CONCATENATE(VLOOKUP($F18,Start.listina!$H$11:$AC$138,3,0)," ",VLOOKUP($F18,Start.listina!$H$11:$AC$138,4,0)," ",VLOOKUP($F18,Start.listina!$H$11:$AC$138,5,0),", ",VLOOKUP($F18,Start.listina!$H$11:$AC$138,9,0)," ",VLOOKUP($F18,Start.listina!$H$11:$AC$138,10,0)," ",VLOOKUP($F18,Start.listina!$H$11:$AC$138,11,0),", ",VLOOKUP($F18,Start.listina!$H$11:$AC$138,15,0)," ",VLOOKUP($F18,Start.listina!$H$11:$AC$138,16,0)," ",VLOOKUP($F18,Start.listina!$H$11:$AC$138,17,0),"  ",VLOOKUP($F18,Start.listina!$H$11:$AC$138,21,0)," ",VLOOKUP($F18,Start.listina!$H$11:$AC$138,22,0)," ",VLOOKUP($F18,Start.listina!$H$11:$AD$138,23,0)))</f>
        <v/>
      </c>
      <c r="D18" s="16"/>
    </row>
    <row r="19" spans="1:6" ht="14.15" x14ac:dyDescent="0.5">
      <c r="A19" s="450" t="s">
        <v>1694</v>
      </c>
      <c r="B19" s="450"/>
      <c r="C19" s="101" t="str">
        <f>IF(F19="","",CONCATENATE(VLOOKUP($F19,Start.listina!$H$11:$AC$138,3,0)," ",VLOOKUP($F19,Start.listina!$H$11:$AC$138,4,0)," ",VLOOKUP($F19,Start.listina!$H$11:$AC$138,5,0),", ",VLOOKUP($F19,Start.listina!$H$11:$AC$138,9,0)," ",VLOOKUP($F19,Start.listina!$H$11:$AC$138,10,0)," ",VLOOKUP($F19,Start.listina!$H$11:$AC$138,11,0),", ",VLOOKUP($F19,Start.listina!$H$11:$AC$138,15,0)," ",VLOOKUP($F19,Start.listina!$H$11:$AC$138,16,0)," ",VLOOKUP($F19,Start.listina!$H$11:$AC$138,17,0),"  ",VLOOKUP($F19,Start.listina!$H$11:$AC$138,21,0)," ",VLOOKUP($F19,Start.listina!$H$11:$AC$138,22,0)," ",VLOOKUP($F19,Start.listina!$H$11:$AD$138,23,0)))</f>
        <v/>
      </c>
      <c r="D19" s="16"/>
    </row>
    <row r="20" spans="1:6" ht="13.75" x14ac:dyDescent="0.45">
      <c r="A20" s="451" t="s">
        <v>38</v>
      </c>
      <c r="B20" s="452" t="s">
        <v>119</v>
      </c>
      <c r="C20" s="16"/>
      <c r="D20" s="16"/>
    </row>
    <row r="21" spans="1:6" ht="13.75" x14ac:dyDescent="0.45">
      <c r="A21" s="451"/>
      <c r="B21" s="452" t="s">
        <v>1695</v>
      </c>
      <c r="C21" s="16"/>
      <c r="D21" s="16"/>
    </row>
    <row r="22" spans="1:6" ht="13.75" x14ac:dyDescent="0.45">
      <c r="A22" s="451"/>
      <c r="B22" s="452" t="s">
        <v>1696</v>
      </c>
      <c r="C22" s="16"/>
      <c r="D22" s="16"/>
    </row>
    <row r="23" spans="1:6" ht="13.75" x14ac:dyDescent="0.45">
      <c r="A23" s="451"/>
      <c r="B23" s="452" t="s">
        <v>121</v>
      </c>
      <c r="C23" s="16"/>
      <c r="D23" s="16"/>
    </row>
    <row r="24" spans="1:6" ht="13.75" x14ac:dyDescent="0.45">
      <c r="A24" s="39"/>
      <c r="B24" s="452" t="s">
        <v>122</v>
      </c>
      <c r="C24" s="16"/>
      <c r="D24" s="16"/>
    </row>
    <row r="25" spans="1:6" x14ac:dyDescent="0.4">
      <c r="A25" s="39"/>
      <c r="B25" s="16"/>
      <c r="C25" s="16"/>
      <c r="D25" s="16"/>
    </row>
    <row r="26" spans="1:6" x14ac:dyDescent="0.4">
      <c r="A26" s="39"/>
      <c r="B26" s="16"/>
      <c r="C26" s="16"/>
      <c r="D26" s="16"/>
    </row>
    <row r="27" spans="1:6" x14ac:dyDescent="0.4">
      <c r="A27" s="39"/>
      <c r="B27" s="16"/>
      <c r="C27" s="16"/>
      <c r="D27" s="16"/>
    </row>
    <row r="28" spans="1:6" x14ac:dyDescent="0.4">
      <c r="A28" s="39"/>
      <c r="B28" s="16"/>
      <c r="C28" s="16"/>
      <c r="D28" s="16"/>
    </row>
    <row r="29" spans="1:6" x14ac:dyDescent="0.4">
      <c r="A29" s="39"/>
      <c r="B29" s="16"/>
      <c r="C29" s="16"/>
      <c r="D29" s="16"/>
    </row>
    <row r="30" spans="1:6" x14ac:dyDescent="0.4">
      <c r="A30" s="39"/>
      <c r="B30" s="16"/>
      <c r="C30" s="16"/>
      <c r="D30" s="16"/>
    </row>
    <row r="31" spans="1:6" x14ac:dyDescent="0.4">
      <c r="A31" s="39"/>
      <c r="B31" s="16"/>
      <c r="C31" s="16"/>
      <c r="D31" s="16"/>
    </row>
    <row r="32" spans="1:6" x14ac:dyDescent="0.4">
      <c r="A32" s="39"/>
      <c r="B32" s="16"/>
      <c r="C32" s="16"/>
      <c r="D32" s="16"/>
    </row>
    <row r="33" spans="1:4" x14ac:dyDescent="0.4">
      <c r="A33" s="39"/>
      <c r="B33" s="16"/>
      <c r="C33" s="16"/>
      <c r="D33" s="16"/>
    </row>
    <row r="34" spans="1:4" x14ac:dyDescent="0.4">
      <c r="A34" s="39"/>
      <c r="B34" s="16"/>
      <c r="C34" s="16"/>
      <c r="D34" s="16"/>
    </row>
    <row r="35" spans="1:4" x14ac:dyDescent="0.4">
      <c r="A35" s="39"/>
      <c r="B35" s="16"/>
      <c r="C35" s="16"/>
      <c r="D35" s="16"/>
    </row>
    <row r="36" spans="1:4" x14ac:dyDescent="0.4">
      <c r="A36" s="39"/>
      <c r="B36" s="16"/>
      <c r="C36" s="16"/>
      <c r="D36" s="16"/>
    </row>
    <row r="37" spans="1:4" x14ac:dyDescent="0.4">
      <c r="A37" s="39"/>
      <c r="B37" s="16"/>
      <c r="C37" s="16"/>
      <c r="D37" s="16"/>
    </row>
    <row r="38" spans="1:4" x14ac:dyDescent="0.4">
      <c r="A38" s="39"/>
      <c r="B38" s="16"/>
      <c r="C38" s="16"/>
      <c r="D38" s="16"/>
    </row>
  </sheetData>
  <sheetProtection password="CA1B" sheet="1" formatCells="0" formatColumns="0" formatRows="0"/>
  <protectedRanges>
    <protectedRange sqref="A1:B24" name="Oblast1"/>
  </protectedRanges>
  <phoneticPr fontId="0" type="noConversion"/>
  <printOptions horizontalCentered="1"/>
  <pageMargins left="0.78740157480314965" right="0.78740157480314965" top="0.98425196850393704" bottom="0.98425196850393704" header="0.51181102362204722" footer="0.51181102362204722"/>
  <pageSetup paperSize="9" scale="88" orientation="landscape" horizontalDpi="300" verticalDpi="300" r:id="rId1"/>
  <headerFooter alignWithMargins="0"/>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List32"/>
  <dimension ref="A1:L259"/>
  <sheetViews>
    <sheetView workbookViewId="0">
      <pane ySplit="3" topLeftCell="A4" activePane="bottomLeft" state="frozen"/>
      <selection pane="bottomLeft"/>
    </sheetView>
  </sheetViews>
  <sheetFormatPr defaultRowHeight="12" x14ac:dyDescent="0.4"/>
  <cols>
    <col min="3" max="3" width="9" hidden="1" customWidth="1"/>
    <col min="4" max="4" width="9.4140625" hidden="1" customWidth="1"/>
    <col min="5" max="6" width="9.4140625" customWidth="1"/>
    <col min="9" max="9" width="10.25" customWidth="1"/>
    <col min="10" max="10" width="0" hidden="1" customWidth="1"/>
    <col min="11" max="11" width="18.75" customWidth="1"/>
    <col min="12" max="12" width="8.75" customWidth="1"/>
  </cols>
  <sheetData>
    <row r="1" spans="1:12" ht="12.45" thickBot="1" x14ac:dyDescent="0.45">
      <c r="A1" s="87" t="s">
        <v>1697</v>
      </c>
      <c r="B1" s="88"/>
      <c r="C1" s="88"/>
      <c r="E1" s="88"/>
      <c r="K1" s="91" t="s">
        <v>1488</v>
      </c>
      <c r="L1" s="237">
        <f ca="1">'Kvalita turnaje'!$F$1</f>
        <v>38.328187499999999</v>
      </c>
    </row>
    <row r="2" spans="1:12" ht="12.45" thickBot="1" x14ac:dyDescent="0.45">
      <c r="A2" s="243">
        <v>1</v>
      </c>
      <c r="B2" s="243">
        <v>2</v>
      </c>
      <c r="C2" s="243">
        <v>3</v>
      </c>
      <c r="D2" s="243">
        <v>4</v>
      </c>
      <c r="E2" s="243">
        <v>5</v>
      </c>
      <c r="F2" s="243">
        <v>6</v>
      </c>
      <c r="G2" t="s">
        <v>1698</v>
      </c>
      <c r="I2" s="92" t="s">
        <v>1699</v>
      </c>
      <c r="K2" s="91" t="s">
        <v>1493</v>
      </c>
      <c r="L2" s="92">
        <f ca="1">IF(TYPE(VLOOKUP(Start.listina!N2,Bonusy!A4:B8,2,0))&gt;3,0,VLOOKUP(Start.listina!N2,Bonusy!A4:B8,2,0))</f>
        <v>0</v>
      </c>
    </row>
    <row r="3" spans="1:12" ht="35.5" customHeight="1" thickBot="1" x14ac:dyDescent="0.45">
      <c r="A3" s="239" t="s">
        <v>1700</v>
      </c>
      <c r="B3" s="229" t="s">
        <v>1701</v>
      </c>
      <c r="C3" s="236" t="s">
        <v>1702</v>
      </c>
      <c r="D3" s="236" t="s">
        <v>1703</v>
      </c>
      <c r="E3" s="236" t="s">
        <v>1704</v>
      </c>
      <c r="F3" s="238" t="s">
        <v>1547</v>
      </c>
      <c r="G3" s="234" t="s">
        <v>1705</v>
      </c>
      <c r="H3" s="235">
        <f ca="1">'Počet kol'!$D$3</f>
        <v>6</v>
      </c>
      <c r="I3" s="241">
        <f ca="1">Start.listina!$K$7</f>
        <v>57</v>
      </c>
      <c r="K3" s="91" t="s">
        <v>1496</v>
      </c>
      <c r="L3" s="92">
        <f ca="1">IF(TYPE(VLOOKUP(Start.listina!N2,Paušál!A4:B7,2,0))&gt;3,0,VLOOKUP(Start.listina!N2,Paušál!A4:B7,2,0))</f>
        <v>1</v>
      </c>
    </row>
    <row r="4" spans="1:12" x14ac:dyDescent="0.4">
      <c r="A4" s="240">
        <v>1</v>
      </c>
      <c r="B4" s="89">
        <f ca="1">J4*($H$3-C4+D4)</f>
        <v>6</v>
      </c>
      <c r="C4" s="1">
        <v>0</v>
      </c>
      <c r="D4">
        <v>0</v>
      </c>
      <c r="E4">
        <f t="shared" ref="E4:E24" ca="1" si="0">J4*(B4*$L$1+F4)-(J4-1)*$L$3</f>
        <v>229.96912499999999</v>
      </c>
      <c r="F4">
        <f ca="1">IF(A4&lt;$I$3,$L$2,0)</f>
        <v>0</v>
      </c>
      <c r="J4">
        <f t="shared" ref="J4:J25" ca="1" si="1">IF($I$3&lt;=A4,0,1)</f>
        <v>1</v>
      </c>
    </row>
    <row r="5" spans="1:12" x14ac:dyDescent="0.4">
      <c r="A5" s="240">
        <v>2</v>
      </c>
      <c r="B5" s="89">
        <f ca="1">J5*($H$3-C5+D5)</f>
        <v>5</v>
      </c>
      <c r="C5" s="1">
        <v>1</v>
      </c>
      <c r="D5">
        <v>0</v>
      </c>
      <c r="E5">
        <f t="shared" ca="1" si="0"/>
        <v>191.64093750000001</v>
      </c>
      <c r="F5">
        <f t="shared" ref="F5:F68" ca="1" si="2">IF(A5&lt;$I$3,$L$2,0)</f>
        <v>0</v>
      </c>
      <c r="J5">
        <f t="shared" ca="1" si="1"/>
        <v>1</v>
      </c>
    </row>
    <row r="6" spans="1:12" x14ac:dyDescent="0.4">
      <c r="A6" s="240">
        <v>3</v>
      </c>
      <c r="B6" s="89">
        <f t="shared" ref="B6:B69" ca="1" si="3">J6*($H$3-C6+D6)</f>
        <v>4.5</v>
      </c>
      <c r="C6" s="1">
        <v>2</v>
      </c>
      <c r="D6" s="89">
        <f>1/2</f>
        <v>0.5</v>
      </c>
      <c r="E6">
        <f t="shared" ca="1" si="0"/>
        <v>172.47684375</v>
      </c>
      <c r="F6">
        <f t="shared" ca="1" si="2"/>
        <v>0</v>
      </c>
      <c r="J6">
        <f t="shared" ca="1" si="1"/>
        <v>1</v>
      </c>
    </row>
    <row r="7" spans="1:12" x14ac:dyDescent="0.4">
      <c r="A7" s="240">
        <v>4</v>
      </c>
      <c r="B7" s="89">
        <f t="shared" ca="1" si="3"/>
        <v>4</v>
      </c>
      <c r="C7" s="1">
        <v>2</v>
      </c>
      <c r="D7">
        <v>0</v>
      </c>
      <c r="E7">
        <f t="shared" ca="1" si="0"/>
        <v>153.31274999999999</v>
      </c>
      <c r="F7">
        <f t="shared" ca="1" si="2"/>
        <v>0</v>
      </c>
      <c r="J7">
        <f t="shared" ca="1" si="1"/>
        <v>1</v>
      </c>
    </row>
    <row r="8" spans="1:12" x14ac:dyDescent="0.4">
      <c r="A8" s="240">
        <v>5</v>
      </c>
      <c r="B8" s="89">
        <f t="shared" ca="1" si="3"/>
        <v>3.75</v>
      </c>
      <c r="C8" s="1">
        <v>3</v>
      </c>
      <c r="D8">
        <f>3/4</f>
        <v>0.75</v>
      </c>
      <c r="E8">
        <f t="shared" ca="1" si="0"/>
        <v>143.73070312499999</v>
      </c>
      <c r="F8">
        <f t="shared" ca="1" si="2"/>
        <v>0</v>
      </c>
      <c r="J8">
        <f t="shared" ca="1" si="1"/>
        <v>1</v>
      </c>
    </row>
    <row r="9" spans="1:12" x14ac:dyDescent="0.4">
      <c r="A9" s="240">
        <v>6</v>
      </c>
      <c r="B9" s="89">
        <f t="shared" ca="1" si="3"/>
        <v>3.5</v>
      </c>
      <c r="C9" s="1">
        <v>3</v>
      </c>
      <c r="D9">
        <f>2/4</f>
        <v>0.5</v>
      </c>
      <c r="E9">
        <f t="shared" ca="1" si="0"/>
        <v>134.14865624999999</v>
      </c>
      <c r="F9">
        <f t="shared" ca="1" si="2"/>
        <v>0</v>
      </c>
      <c r="J9">
        <f t="shared" ca="1" si="1"/>
        <v>1</v>
      </c>
    </row>
    <row r="10" spans="1:12" x14ac:dyDescent="0.4">
      <c r="A10" s="240">
        <v>7</v>
      </c>
      <c r="B10" s="89">
        <f t="shared" ca="1" si="3"/>
        <v>3.25</v>
      </c>
      <c r="C10" s="1">
        <v>3</v>
      </c>
      <c r="D10">
        <f>1/4</f>
        <v>0.25</v>
      </c>
      <c r="E10">
        <f t="shared" ca="1" si="0"/>
        <v>124.566609375</v>
      </c>
      <c r="F10">
        <f t="shared" ca="1" si="2"/>
        <v>0</v>
      </c>
      <c r="J10">
        <f t="shared" ca="1" si="1"/>
        <v>1</v>
      </c>
    </row>
    <row r="11" spans="1:12" x14ac:dyDescent="0.4">
      <c r="A11" s="240">
        <v>8</v>
      </c>
      <c r="B11" s="89">
        <f t="shared" ca="1" si="3"/>
        <v>3</v>
      </c>
      <c r="C11" s="1">
        <v>3</v>
      </c>
      <c r="D11">
        <v>0</v>
      </c>
      <c r="E11">
        <f t="shared" ca="1" si="0"/>
        <v>114.9845625</v>
      </c>
      <c r="F11">
        <f t="shared" ca="1" si="2"/>
        <v>0</v>
      </c>
      <c r="J11">
        <f t="shared" ca="1" si="1"/>
        <v>1</v>
      </c>
    </row>
    <row r="12" spans="1:12" x14ac:dyDescent="0.4">
      <c r="A12" s="240">
        <v>9</v>
      </c>
      <c r="B12" s="89">
        <f t="shared" ca="1" si="3"/>
        <v>2.875</v>
      </c>
      <c r="C12" s="1">
        <v>4</v>
      </c>
      <c r="D12">
        <f>7/8</f>
        <v>0.875</v>
      </c>
      <c r="E12">
        <f t="shared" ca="1" si="0"/>
        <v>110.19353906249999</v>
      </c>
      <c r="F12">
        <f t="shared" ca="1" si="2"/>
        <v>0</v>
      </c>
      <c r="J12">
        <f t="shared" ca="1" si="1"/>
        <v>1</v>
      </c>
    </row>
    <row r="13" spans="1:12" x14ac:dyDescent="0.4">
      <c r="A13" s="240">
        <v>10</v>
      </c>
      <c r="B13" s="89">
        <f t="shared" ca="1" si="3"/>
        <v>2.75</v>
      </c>
      <c r="C13" s="1">
        <v>4</v>
      </c>
      <c r="D13">
        <f>6/8</f>
        <v>0.75</v>
      </c>
      <c r="E13">
        <f t="shared" ca="1" si="0"/>
        <v>105.40251562499999</v>
      </c>
      <c r="F13">
        <f t="shared" ca="1" si="2"/>
        <v>0</v>
      </c>
      <c r="J13">
        <f t="shared" ca="1" si="1"/>
        <v>1</v>
      </c>
    </row>
    <row r="14" spans="1:12" x14ac:dyDescent="0.4">
      <c r="A14" s="240">
        <v>11</v>
      </c>
      <c r="B14" s="89">
        <f t="shared" ca="1" si="3"/>
        <v>2.625</v>
      </c>
      <c r="C14" s="1">
        <v>4</v>
      </c>
      <c r="D14">
        <f>5/8</f>
        <v>0.625</v>
      </c>
      <c r="E14">
        <f t="shared" ca="1" si="0"/>
        <v>100.61149218749999</v>
      </c>
      <c r="F14">
        <f t="shared" ca="1" si="2"/>
        <v>0</v>
      </c>
      <c r="J14">
        <f t="shared" ca="1" si="1"/>
        <v>1</v>
      </c>
    </row>
    <row r="15" spans="1:12" x14ac:dyDescent="0.4">
      <c r="A15" s="240">
        <v>12</v>
      </c>
      <c r="B15" s="89">
        <f t="shared" ca="1" si="3"/>
        <v>2.5</v>
      </c>
      <c r="C15" s="1">
        <v>4</v>
      </c>
      <c r="D15">
        <f>4/8</f>
        <v>0.5</v>
      </c>
      <c r="E15">
        <f t="shared" ca="1" si="0"/>
        <v>95.820468750000003</v>
      </c>
      <c r="F15">
        <f t="shared" ca="1" si="2"/>
        <v>0</v>
      </c>
      <c r="J15">
        <f t="shared" ca="1" si="1"/>
        <v>1</v>
      </c>
    </row>
    <row r="16" spans="1:12" x14ac:dyDescent="0.4">
      <c r="A16" s="240">
        <v>13</v>
      </c>
      <c r="B16" s="89">
        <f t="shared" ca="1" si="3"/>
        <v>2.375</v>
      </c>
      <c r="C16" s="1">
        <v>4</v>
      </c>
      <c r="D16">
        <f>3/8</f>
        <v>0.375</v>
      </c>
      <c r="E16">
        <f t="shared" ca="1" si="0"/>
        <v>91.029445312500002</v>
      </c>
      <c r="F16">
        <f t="shared" ca="1" si="2"/>
        <v>0</v>
      </c>
      <c r="J16">
        <f t="shared" ca="1" si="1"/>
        <v>1</v>
      </c>
    </row>
    <row r="17" spans="1:10" x14ac:dyDescent="0.4">
      <c r="A17" s="240">
        <v>14</v>
      </c>
      <c r="B17" s="89">
        <f t="shared" ca="1" si="3"/>
        <v>2.25</v>
      </c>
      <c r="C17" s="1">
        <v>4</v>
      </c>
      <c r="D17">
        <f>2/8</f>
        <v>0.25</v>
      </c>
      <c r="E17">
        <f t="shared" ca="1" si="0"/>
        <v>86.238421875</v>
      </c>
      <c r="F17">
        <f t="shared" ca="1" si="2"/>
        <v>0</v>
      </c>
      <c r="J17">
        <f t="shared" ca="1" si="1"/>
        <v>1</v>
      </c>
    </row>
    <row r="18" spans="1:10" x14ac:dyDescent="0.4">
      <c r="A18" s="240">
        <v>15</v>
      </c>
      <c r="B18" s="89">
        <f t="shared" ca="1" si="3"/>
        <v>2.125</v>
      </c>
      <c r="C18" s="1">
        <v>4</v>
      </c>
      <c r="D18">
        <f>1/8</f>
        <v>0.125</v>
      </c>
      <c r="E18">
        <f t="shared" ca="1" si="0"/>
        <v>81.447398437499999</v>
      </c>
      <c r="F18">
        <f t="shared" ca="1" si="2"/>
        <v>0</v>
      </c>
      <c r="J18">
        <f t="shared" ca="1" si="1"/>
        <v>1</v>
      </c>
    </row>
    <row r="19" spans="1:10" x14ac:dyDescent="0.4">
      <c r="A19" s="240">
        <v>16</v>
      </c>
      <c r="B19" s="89">
        <f t="shared" ca="1" si="3"/>
        <v>2</v>
      </c>
      <c r="C19" s="1">
        <v>4</v>
      </c>
      <c r="D19">
        <v>0</v>
      </c>
      <c r="E19">
        <f t="shared" ca="1" si="0"/>
        <v>76.656374999999997</v>
      </c>
      <c r="F19">
        <f t="shared" ca="1" si="2"/>
        <v>0</v>
      </c>
      <c r="J19">
        <f t="shared" ca="1" si="1"/>
        <v>1</v>
      </c>
    </row>
    <row r="20" spans="1:10" x14ac:dyDescent="0.4">
      <c r="A20" s="240">
        <v>17</v>
      </c>
      <c r="B20" s="89">
        <f t="shared" ca="1" si="3"/>
        <v>1.9375</v>
      </c>
      <c r="C20" s="1">
        <v>5</v>
      </c>
      <c r="D20">
        <f>15/16</f>
        <v>0.9375</v>
      </c>
      <c r="E20">
        <f t="shared" ca="1" si="0"/>
        <v>74.260863281249996</v>
      </c>
      <c r="F20">
        <f t="shared" ca="1" si="2"/>
        <v>0</v>
      </c>
      <c r="J20">
        <f t="shared" ca="1" si="1"/>
        <v>1</v>
      </c>
    </row>
    <row r="21" spans="1:10" x14ac:dyDescent="0.4">
      <c r="A21" s="240">
        <v>18</v>
      </c>
      <c r="B21" s="89">
        <f t="shared" ca="1" si="3"/>
        <v>1.875</v>
      </c>
      <c r="C21" s="1">
        <v>5</v>
      </c>
      <c r="D21">
        <f>14/16</f>
        <v>0.875</v>
      </c>
      <c r="E21">
        <f t="shared" ca="1" si="0"/>
        <v>71.865351562499995</v>
      </c>
      <c r="F21">
        <f t="shared" ca="1" si="2"/>
        <v>0</v>
      </c>
      <c r="J21">
        <f t="shared" ca="1" si="1"/>
        <v>1</v>
      </c>
    </row>
    <row r="22" spans="1:10" x14ac:dyDescent="0.4">
      <c r="A22" s="240">
        <v>19</v>
      </c>
      <c r="B22" s="89">
        <f t="shared" ca="1" si="3"/>
        <v>1.8125</v>
      </c>
      <c r="C22" s="1">
        <v>5</v>
      </c>
      <c r="D22">
        <f>13/16</f>
        <v>0.8125</v>
      </c>
      <c r="E22">
        <f t="shared" ca="1" si="0"/>
        <v>69.469839843749995</v>
      </c>
      <c r="F22">
        <f t="shared" ca="1" si="2"/>
        <v>0</v>
      </c>
      <c r="J22">
        <f t="shared" ca="1" si="1"/>
        <v>1</v>
      </c>
    </row>
    <row r="23" spans="1:10" x14ac:dyDescent="0.4">
      <c r="A23" s="240">
        <v>20</v>
      </c>
      <c r="B23" s="89">
        <f t="shared" ca="1" si="3"/>
        <v>1.75</v>
      </c>
      <c r="C23" s="1">
        <v>5</v>
      </c>
      <c r="D23">
        <f>12/16</f>
        <v>0.75</v>
      </c>
      <c r="E23">
        <f t="shared" ca="1" si="0"/>
        <v>67.074328124999994</v>
      </c>
      <c r="F23">
        <f t="shared" ca="1" si="2"/>
        <v>0</v>
      </c>
      <c r="J23">
        <f t="shared" ca="1" si="1"/>
        <v>1</v>
      </c>
    </row>
    <row r="24" spans="1:10" x14ac:dyDescent="0.4">
      <c r="A24" s="240">
        <v>21</v>
      </c>
      <c r="B24" s="89">
        <f t="shared" ca="1" si="3"/>
        <v>1.6875</v>
      </c>
      <c r="C24" s="1">
        <v>5</v>
      </c>
      <c r="D24">
        <f>11/16</f>
        <v>0.6875</v>
      </c>
      <c r="E24">
        <f t="shared" ca="1" si="0"/>
        <v>64.678816406249993</v>
      </c>
      <c r="F24">
        <f t="shared" ca="1" si="2"/>
        <v>0</v>
      </c>
      <c r="J24">
        <f t="shared" ca="1" si="1"/>
        <v>1</v>
      </c>
    </row>
    <row r="25" spans="1:10" x14ac:dyDescent="0.4">
      <c r="A25" s="240">
        <v>22</v>
      </c>
      <c r="B25" s="89">
        <f t="shared" ca="1" si="3"/>
        <v>1.625</v>
      </c>
      <c r="C25" s="1">
        <v>5</v>
      </c>
      <c r="D25">
        <f>10/16</f>
        <v>0.625</v>
      </c>
      <c r="E25">
        <f ca="1">J25*(B25*$L$1+F25)-(J25-1)*$L$3</f>
        <v>62.283304687499999</v>
      </c>
      <c r="F25">
        <f t="shared" ca="1" si="2"/>
        <v>0</v>
      </c>
      <c r="J25">
        <f t="shared" ca="1" si="1"/>
        <v>1</v>
      </c>
    </row>
    <row r="26" spans="1:10" x14ac:dyDescent="0.4">
      <c r="A26" s="240">
        <v>23</v>
      </c>
      <c r="B26" s="89">
        <f t="shared" ca="1" si="3"/>
        <v>1.5625</v>
      </c>
      <c r="C26" s="1">
        <v>5</v>
      </c>
      <c r="D26">
        <f>9/16</f>
        <v>0.5625</v>
      </c>
      <c r="E26">
        <f t="shared" ref="E26:E89" ca="1" si="4">J26*(B26*$L$1+F26)-(J26-1)*$L$3</f>
        <v>59.887792968749999</v>
      </c>
      <c r="F26">
        <f t="shared" ca="1" si="2"/>
        <v>0</v>
      </c>
      <c r="J26">
        <f ca="1">IF($I$3&lt;=A26,0,1)</f>
        <v>1</v>
      </c>
    </row>
    <row r="27" spans="1:10" x14ac:dyDescent="0.4">
      <c r="A27" s="240">
        <v>24</v>
      </c>
      <c r="B27" s="89">
        <f t="shared" ca="1" si="3"/>
        <v>1.5</v>
      </c>
      <c r="C27" s="1">
        <v>5</v>
      </c>
      <c r="D27">
        <f>8/16</f>
        <v>0.5</v>
      </c>
      <c r="E27">
        <f t="shared" ca="1" si="4"/>
        <v>57.492281249999998</v>
      </c>
      <c r="F27">
        <f t="shared" ca="1" si="2"/>
        <v>0</v>
      </c>
      <c r="J27">
        <f t="shared" ref="J27:J90" ca="1" si="5">IF($I$3&lt;=A27,0,1)</f>
        <v>1</v>
      </c>
    </row>
    <row r="28" spans="1:10" x14ac:dyDescent="0.4">
      <c r="A28" s="240">
        <v>25</v>
      </c>
      <c r="B28" s="89">
        <f t="shared" ca="1" si="3"/>
        <v>1.4375</v>
      </c>
      <c r="C28" s="1">
        <v>5</v>
      </c>
      <c r="D28">
        <f>7/16</f>
        <v>0.4375</v>
      </c>
      <c r="E28">
        <f t="shared" ca="1" si="4"/>
        <v>55.096769531249997</v>
      </c>
      <c r="F28">
        <f t="shared" ca="1" si="2"/>
        <v>0</v>
      </c>
      <c r="J28">
        <f t="shared" ca="1" si="5"/>
        <v>1</v>
      </c>
    </row>
    <row r="29" spans="1:10" x14ac:dyDescent="0.4">
      <c r="A29" s="240">
        <v>26</v>
      </c>
      <c r="B29" s="89">
        <f t="shared" ca="1" si="3"/>
        <v>1.375</v>
      </c>
      <c r="C29" s="1">
        <v>5</v>
      </c>
      <c r="D29">
        <f>6/16</f>
        <v>0.375</v>
      </c>
      <c r="E29">
        <f t="shared" ca="1" si="4"/>
        <v>52.701257812499996</v>
      </c>
      <c r="F29">
        <f t="shared" ca="1" si="2"/>
        <v>0</v>
      </c>
      <c r="J29">
        <f t="shared" ca="1" si="5"/>
        <v>1</v>
      </c>
    </row>
    <row r="30" spans="1:10" x14ac:dyDescent="0.4">
      <c r="A30" s="240">
        <v>27</v>
      </c>
      <c r="B30" s="89">
        <f t="shared" ca="1" si="3"/>
        <v>1.3125</v>
      </c>
      <c r="C30" s="1">
        <v>5</v>
      </c>
      <c r="D30">
        <f>5/16</f>
        <v>0.3125</v>
      </c>
      <c r="E30">
        <f t="shared" ca="1" si="4"/>
        <v>50.305746093749995</v>
      </c>
      <c r="F30">
        <f t="shared" ca="1" si="2"/>
        <v>0</v>
      </c>
      <c r="J30">
        <f t="shared" ca="1" si="5"/>
        <v>1</v>
      </c>
    </row>
    <row r="31" spans="1:10" x14ac:dyDescent="0.4">
      <c r="A31" s="240">
        <v>28</v>
      </c>
      <c r="B31" s="89">
        <f t="shared" ca="1" si="3"/>
        <v>1.25</v>
      </c>
      <c r="C31" s="1">
        <v>5</v>
      </c>
      <c r="D31">
        <f>4/16</f>
        <v>0.25</v>
      </c>
      <c r="E31">
        <f t="shared" ca="1" si="4"/>
        <v>47.910234375000002</v>
      </c>
      <c r="F31">
        <f t="shared" ca="1" si="2"/>
        <v>0</v>
      </c>
      <c r="J31">
        <f t="shared" ca="1" si="5"/>
        <v>1</v>
      </c>
    </row>
    <row r="32" spans="1:10" x14ac:dyDescent="0.4">
      <c r="A32" s="240">
        <v>29</v>
      </c>
      <c r="B32" s="89">
        <f t="shared" ca="1" si="3"/>
        <v>1.1875</v>
      </c>
      <c r="C32" s="1">
        <v>5</v>
      </c>
      <c r="D32">
        <f>3/16</f>
        <v>0.1875</v>
      </c>
      <c r="E32">
        <f t="shared" ca="1" si="4"/>
        <v>45.514722656250001</v>
      </c>
      <c r="F32">
        <f t="shared" ca="1" si="2"/>
        <v>0</v>
      </c>
      <c r="J32">
        <f t="shared" ca="1" si="5"/>
        <v>1</v>
      </c>
    </row>
    <row r="33" spans="1:10" x14ac:dyDescent="0.4">
      <c r="A33" s="240">
        <v>30</v>
      </c>
      <c r="B33" s="89">
        <f t="shared" ca="1" si="3"/>
        <v>1.125</v>
      </c>
      <c r="C33" s="1">
        <v>5</v>
      </c>
      <c r="D33">
        <f>2/16</f>
        <v>0.125</v>
      </c>
      <c r="E33">
        <f t="shared" ca="1" si="4"/>
        <v>43.1192109375</v>
      </c>
      <c r="F33">
        <f t="shared" ca="1" si="2"/>
        <v>0</v>
      </c>
      <c r="J33">
        <f t="shared" ca="1" si="5"/>
        <v>1</v>
      </c>
    </row>
    <row r="34" spans="1:10" x14ac:dyDescent="0.4">
      <c r="A34" s="240">
        <v>31</v>
      </c>
      <c r="B34" s="89">
        <f t="shared" ca="1" si="3"/>
        <v>1.0625</v>
      </c>
      <c r="C34" s="1">
        <v>5</v>
      </c>
      <c r="D34">
        <f>1/16</f>
        <v>6.25E-2</v>
      </c>
      <c r="E34">
        <f t="shared" ca="1" si="4"/>
        <v>40.723699218749999</v>
      </c>
      <c r="F34">
        <f t="shared" ca="1" si="2"/>
        <v>0</v>
      </c>
      <c r="J34">
        <f t="shared" ca="1" si="5"/>
        <v>1</v>
      </c>
    </row>
    <row r="35" spans="1:10" x14ac:dyDescent="0.4">
      <c r="A35" s="240">
        <v>32</v>
      </c>
      <c r="B35" s="89">
        <f t="shared" ca="1" si="3"/>
        <v>1</v>
      </c>
      <c r="C35" s="1">
        <v>5</v>
      </c>
      <c r="D35">
        <v>0</v>
      </c>
      <c r="E35">
        <f t="shared" ca="1" si="4"/>
        <v>38.328187499999999</v>
      </c>
      <c r="F35">
        <f t="shared" ca="1" si="2"/>
        <v>0</v>
      </c>
      <c r="J35">
        <f t="shared" ca="1" si="5"/>
        <v>1</v>
      </c>
    </row>
    <row r="36" spans="1:10" x14ac:dyDescent="0.4">
      <c r="A36" s="240">
        <v>33</v>
      </c>
      <c r="B36" s="89">
        <f t="shared" ca="1" si="3"/>
        <v>0.96875</v>
      </c>
      <c r="C36" s="1">
        <v>6</v>
      </c>
      <c r="D36">
        <f>31/32</f>
        <v>0.96875</v>
      </c>
      <c r="E36">
        <f t="shared" ca="1" si="4"/>
        <v>37.130431640624998</v>
      </c>
      <c r="F36">
        <f t="shared" ca="1" si="2"/>
        <v>0</v>
      </c>
      <c r="J36">
        <f t="shared" ca="1" si="5"/>
        <v>1</v>
      </c>
    </row>
    <row r="37" spans="1:10" x14ac:dyDescent="0.4">
      <c r="A37" s="240">
        <v>34</v>
      </c>
      <c r="B37" s="89">
        <f t="shared" ca="1" si="3"/>
        <v>0.9375</v>
      </c>
      <c r="C37" s="1">
        <v>6</v>
      </c>
      <c r="D37">
        <f>30/32</f>
        <v>0.9375</v>
      </c>
      <c r="E37">
        <f t="shared" ca="1" si="4"/>
        <v>35.932675781249998</v>
      </c>
      <c r="F37">
        <f t="shared" ca="1" si="2"/>
        <v>0</v>
      </c>
      <c r="J37">
        <f t="shared" ca="1" si="5"/>
        <v>1</v>
      </c>
    </row>
    <row r="38" spans="1:10" x14ac:dyDescent="0.4">
      <c r="A38" s="240">
        <v>35</v>
      </c>
      <c r="B38" s="89">
        <f t="shared" ca="1" si="3"/>
        <v>0.90625</v>
      </c>
      <c r="C38" s="1">
        <v>6</v>
      </c>
      <c r="D38">
        <f>29/32</f>
        <v>0.90625</v>
      </c>
      <c r="E38">
        <f t="shared" ca="1" si="4"/>
        <v>34.734919921874997</v>
      </c>
      <c r="F38">
        <f t="shared" ca="1" si="2"/>
        <v>0</v>
      </c>
      <c r="J38">
        <f t="shared" ca="1" si="5"/>
        <v>1</v>
      </c>
    </row>
    <row r="39" spans="1:10" x14ac:dyDescent="0.4">
      <c r="A39" s="240">
        <v>36</v>
      </c>
      <c r="B39" s="89">
        <f t="shared" ca="1" si="3"/>
        <v>0.875</v>
      </c>
      <c r="C39" s="1">
        <v>6</v>
      </c>
      <c r="D39">
        <f>28/32</f>
        <v>0.875</v>
      </c>
      <c r="E39">
        <f t="shared" ca="1" si="4"/>
        <v>33.537164062499997</v>
      </c>
      <c r="F39">
        <f t="shared" ca="1" si="2"/>
        <v>0</v>
      </c>
      <c r="J39">
        <f t="shared" ca="1" si="5"/>
        <v>1</v>
      </c>
    </row>
    <row r="40" spans="1:10" x14ac:dyDescent="0.4">
      <c r="A40" s="240">
        <v>37</v>
      </c>
      <c r="B40" s="89">
        <f t="shared" ca="1" si="3"/>
        <v>0.84375</v>
      </c>
      <c r="C40" s="1">
        <v>6</v>
      </c>
      <c r="D40">
        <f>27/32</f>
        <v>0.84375</v>
      </c>
      <c r="E40">
        <f t="shared" ca="1" si="4"/>
        <v>32.339408203124997</v>
      </c>
      <c r="F40">
        <f t="shared" ca="1" si="2"/>
        <v>0</v>
      </c>
      <c r="J40">
        <f t="shared" ca="1" si="5"/>
        <v>1</v>
      </c>
    </row>
    <row r="41" spans="1:10" x14ac:dyDescent="0.4">
      <c r="A41" s="240">
        <v>38</v>
      </c>
      <c r="B41" s="89">
        <f t="shared" ca="1" si="3"/>
        <v>0.8125</v>
      </c>
      <c r="C41" s="1">
        <v>6</v>
      </c>
      <c r="D41">
        <f>26/32</f>
        <v>0.8125</v>
      </c>
      <c r="E41">
        <f t="shared" ca="1" si="4"/>
        <v>31.14165234375</v>
      </c>
      <c r="F41">
        <f t="shared" ca="1" si="2"/>
        <v>0</v>
      </c>
      <c r="J41">
        <f t="shared" ca="1" si="5"/>
        <v>1</v>
      </c>
    </row>
    <row r="42" spans="1:10" x14ac:dyDescent="0.4">
      <c r="A42" s="240">
        <v>39</v>
      </c>
      <c r="B42" s="89">
        <f t="shared" ca="1" si="3"/>
        <v>0.78125</v>
      </c>
      <c r="C42" s="1">
        <v>6</v>
      </c>
      <c r="D42">
        <f>25/32</f>
        <v>0.78125</v>
      </c>
      <c r="E42">
        <f t="shared" ca="1" si="4"/>
        <v>29.943896484374999</v>
      </c>
      <c r="F42">
        <f t="shared" ca="1" si="2"/>
        <v>0</v>
      </c>
      <c r="J42">
        <f t="shared" ca="1" si="5"/>
        <v>1</v>
      </c>
    </row>
    <row r="43" spans="1:10" x14ac:dyDescent="0.4">
      <c r="A43" s="240">
        <v>40</v>
      </c>
      <c r="B43" s="89">
        <f t="shared" ca="1" si="3"/>
        <v>0.75</v>
      </c>
      <c r="C43" s="1">
        <v>6</v>
      </c>
      <c r="D43">
        <f>24/32</f>
        <v>0.75</v>
      </c>
      <c r="E43">
        <f t="shared" ca="1" si="4"/>
        <v>28.746140624999999</v>
      </c>
      <c r="F43">
        <f t="shared" ca="1" si="2"/>
        <v>0</v>
      </c>
      <c r="J43">
        <f t="shared" ca="1" si="5"/>
        <v>1</v>
      </c>
    </row>
    <row r="44" spans="1:10" x14ac:dyDescent="0.4">
      <c r="A44" s="240">
        <v>41</v>
      </c>
      <c r="B44" s="89">
        <f t="shared" ca="1" si="3"/>
        <v>0.71875</v>
      </c>
      <c r="C44" s="1">
        <v>6</v>
      </c>
      <c r="D44">
        <f>23/32</f>
        <v>0.71875</v>
      </c>
      <c r="E44">
        <f t="shared" ca="1" si="4"/>
        <v>27.548384765624998</v>
      </c>
      <c r="F44">
        <f t="shared" ca="1" si="2"/>
        <v>0</v>
      </c>
      <c r="J44">
        <f t="shared" ca="1" si="5"/>
        <v>1</v>
      </c>
    </row>
    <row r="45" spans="1:10" x14ac:dyDescent="0.4">
      <c r="A45" s="240">
        <v>42</v>
      </c>
      <c r="B45" s="89">
        <f t="shared" ca="1" si="3"/>
        <v>0.6875</v>
      </c>
      <c r="C45" s="1">
        <v>6</v>
      </c>
      <c r="D45">
        <f>22/32</f>
        <v>0.6875</v>
      </c>
      <c r="E45">
        <f t="shared" ca="1" si="4"/>
        <v>26.350628906249998</v>
      </c>
      <c r="F45">
        <f t="shared" ca="1" si="2"/>
        <v>0</v>
      </c>
      <c r="J45">
        <f t="shared" ca="1" si="5"/>
        <v>1</v>
      </c>
    </row>
    <row r="46" spans="1:10" x14ac:dyDescent="0.4">
      <c r="A46" s="240">
        <v>43</v>
      </c>
      <c r="B46" s="89">
        <f t="shared" ca="1" si="3"/>
        <v>0.65625</v>
      </c>
      <c r="C46" s="1">
        <v>6</v>
      </c>
      <c r="D46">
        <f>21/32</f>
        <v>0.65625</v>
      </c>
      <c r="E46">
        <f t="shared" ca="1" si="4"/>
        <v>25.152873046874998</v>
      </c>
      <c r="F46">
        <f t="shared" ca="1" si="2"/>
        <v>0</v>
      </c>
      <c r="J46">
        <f t="shared" ca="1" si="5"/>
        <v>1</v>
      </c>
    </row>
    <row r="47" spans="1:10" x14ac:dyDescent="0.4">
      <c r="A47" s="240">
        <v>44</v>
      </c>
      <c r="B47" s="89">
        <f t="shared" ca="1" si="3"/>
        <v>0.625</v>
      </c>
      <c r="C47" s="1">
        <v>6</v>
      </c>
      <c r="D47">
        <f>20/32</f>
        <v>0.625</v>
      </c>
      <c r="E47">
        <f t="shared" ca="1" si="4"/>
        <v>23.955117187500001</v>
      </c>
      <c r="F47">
        <f t="shared" ca="1" si="2"/>
        <v>0</v>
      </c>
      <c r="J47">
        <f t="shared" ca="1" si="5"/>
        <v>1</v>
      </c>
    </row>
    <row r="48" spans="1:10" x14ac:dyDescent="0.4">
      <c r="A48" s="240">
        <v>45</v>
      </c>
      <c r="B48" s="89">
        <f t="shared" ca="1" si="3"/>
        <v>0.59375</v>
      </c>
      <c r="C48" s="1">
        <v>6</v>
      </c>
      <c r="D48">
        <f>19/32</f>
        <v>0.59375</v>
      </c>
      <c r="E48">
        <f t="shared" ca="1" si="4"/>
        <v>22.757361328125</v>
      </c>
      <c r="F48">
        <f t="shared" ca="1" si="2"/>
        <v>0</v>
      </c>
      <c r="J48">
        <f t="shared" ca="1" si="5"/>
        <v>1</v>
      </c>
    </row>
    <row r="49" spans="1:10" x14ac:dyDescent="0.4">
      <c r="A49" s="240">
        <v>46</v>
      </c>
      <c r="B49" s="89">
        <f t="shared" ca="1" si="3"/>
        <v>0.5625</v>
      </c>
      <c r="C49" s="1">
        <v>6</v>
      </c>
      <c r="D49">
        <f>18/32</f>
        <v>0.5625</v>
      </c>
      <c r="E49">
        <f t="shared" ca="1" si="4"/>
        <v>21.55960546875</v>
      </c>
      <c r="F49">
        <f t="shared" ca="1" si="2"/>
        <v>0</v>
      </c>
      <c r="J49">
        <f t="shared" ca="1" si="5"/>
        <v>1</v>
      </c>
    </row>
    <row r="50" spans="1:10" x14ac:dyDescent="0.4">
      <c r="A50" s="240">
        <v>47</v>
      </c>
      <c r="B50" s="89">
        <f t="shared" ca="1" si="3"/>
        <v>0.53125</v>
      </c>
      <c r="C50" s="1">
        <v>6</v>
      </c>
      <c r="D50">
        <f>17/32</f>
        <v>0.53125</v>
      </c>
      <c r="E50">
        <f t="shared" ca="1" si="4"/>
        <v>20.361849609375</v>
      </c>
      <c r="F50">
        <f t="shared" ca="1" si="2"/>
        <v>0</v>
      </c>
      <c r="J50">
        <f t="shared" ca="1" si="5"/>
        <v>1</v>
      </c>
    </row>
    <row r="51" spans="1:10" x14ac:dyDescent="0.4">
      <c r="A51" s="240">
        <v>48</v>
      </c>
      <c r="B51" s="89">
        <f t="shared" ca="1" si="3"/>
        <v>0.5</v>
      </c>
      <c r="C51" s="1">
        <v>6</v>
      </c>
      <c r="D51">
        <f>16/32</f>
        <v>0.5</v>
      </c>
      <c r="E51">
        <f t="shared" ca="1" si="4"/>
        <v>19.164093749999999</v>
      </c>
      <c r="F51">
        <f t="shared" ca="1" si="2"/>
        <v>0</v>
      </c>
      <c r="J51">
        <f t="shared" ca="1" si="5"/>
        <v>1</v>
      </c>
    </row>
    <row r="52" spans="1:10" x14ac:dyDescent="0.4">
      <c r="A52" s="240">
        <v>49</v>
      </c>
      <c r="B52" s="89">
        <f t="shared" ca="1" si="3"/>
        <v>0.46875</v>
      </c>
      <c r="C52" s="1">
        <v>6</v>
      </c>
      <c r="D52">
        <f>15/32</f>
        <v>0.46875</v>
      </c>
      <c r="E52">
        <f t="shared" ca="1" si="4"/>
        <v>17.966337890624999</v>
      </c>
      <c r="F52">
        <f t="shared" ca="1" si="2"/>
        <v>0</v>
      </c>
      <c r="J52">
        <f t="shared" ca="1" si="5"/>
        <v>1</v>
      </c>
    </row>
    <row r="53" spans="1:10" x14ac:dyDescent="0.4">
      <c r="A53" s="240">
        <v>50</v>
      </c>
      <c r="B53" s="89">
        <f t="shared" ca="1" si="3"/>
        <v>0.4375</v>
      </c>
      <c r="C53" s="1">
        <v>6</v>
      </c>
      <c r="D53">
        <f>14/32</f>
        <v>0.4375</v>
      </c>
      <c r="E53">
        <f t="shared" ca="1" si="4"/>
        <v>16.768582031249998</v>
      </c>
      <c r="F53">
        <f t="shared" ca="1" si="2"/>
        <v>0</v>
      </c>
      <c r="J53">
        <f t="shared" ca="1" si="5"/>
        <v>1</v>
      </c>
    </row>
    <row r="54" spans="1:10" x14ac:dyDescent="0.4">
      <c r="A54" s="240">
        <v>51</v>
      </c>
      <c r="B54" s="89">
        <f t="shared" ca="1" si="3"/>
        <v>0.40625</v>
      </c>
      <c r="C54" s="1">
        <v>6</v>
      </c>
      <c r="D54">
        <f>13/32</f>
        <v>0.40625</v>
      </c>
      <c r="E54">
        <f t="shared" ca="1" si="4"/>
        <v>15.570826171875</v>
      </c>
      <c r="F54">
        <f t="shared" ca="1" si="2"/>
        <v>0</v>
      </c>
      <c r="J54">
        <f t="shared" ca="1" si="5"/>
        <v>1</v>
      </c>
    </row>
    <row r="55" spans="1:10" x14ac:dyDescent="0.4">
      <c r="A55" s="240">
        <v>52</v>
      </c>
      <c r="B55" s="89">
        <f t="shared" ca="1" si="3"/>
        <v>0.375</v>
      </c>
      <c r="C55" s="1">
        <v>6</v>
      </c>
      <c r="D55">
        <f>12/32</f>
        <v>0.375</v>
      </c>
      <c r="E55">
        <f t="shared" ca="1" si="4"/>
        <v>14.373070312499999</v>
      </c>
      <c r="F55">
        <f t="shared" ca="1" si="2"/>
        <v>0</v>
      </c>
      <c r="J55">
        <f t="shared" ca="1" si="5"/>
        <v>1</v>
      </c>
    </row>
    <row r="56" spans="1:10" x14ac:dyDescent="0.4">
      <c r="A56" s="240">
        <v>53</v>
      </c>
      <c r="B56" s="89">
        <f t="shared" ca="1" si="3"/>
        <v>0.34375</v>
      </c>
      <c r="C56" s="1">
        <v>6</v>
      </c>
      <c r="D56">
        <f>11/32</f>
        <v>0.34375</v>
      </c>
      <c r="E56">
        <f t="shared" ca="1" si="4"/>
        <v>13.175314453124999</v>
      </c>
      <c r="F56">
        <f t="shared" ca="1" si="2"/>
        <v>0</v>
      </c>
      <c r="J56">
        <f t="shared" ca="1" si="5"/>
        <v>1</v>
      </c>
    </row>
    <row r="57" spans="1:10" x14ac:dyDescent="0.4">
      <c r="A57" s="240">
        <v>54</v>
      </c>
      <c r="B57" s="89">
        <f t="shared" ca="1" si="3"/>
        <v>0.3125</v>
      </c>
      <c r="C57" s="1">
        <v>6</v>
      </c>
      <c r="D57">
        <f>10/32</f>
        <v>0.3125</v>
      </c>
      <c r="E57">
        <f t="shared" ca="1" si="4"/>
        <v>11.97755859375</v>
      </c>
      <c r="F57">
        <f t="shared" ca="1" si="2"/>
        <v>0</v>
      </c>
      <c r="J57">
        <f t="shared" ca="1" si="5"/>
        <v>1</v>
      </c>
    </row>
    <row r="58" spans="1:10" x14ac:dyDescent="0.4">
      <c r="A58" s="240">
        <v>55</v>
      </c>
      <c r="B58" s="89">
        <f t="shared" ca="1" si="3"/>
        <v>0.28125</v>
      </c>
      <c r="C58" s="1">
        <v>6</v>
      </c>
      <c r="D58">
        <f>9/32</f>
        <v>0.28125</v>
      </c>
      <c r="E58">
        <f t="shared" ca="1" si="4"/>
        <v>10.779802734375</v>
      </c>
      <c r="F58">
        <f t="shared" ca="1" si="2"/>
        <v>0</v>
      </c>
      <c r="J58">
        <f t="shared" ca="1" si="5"/>
        <v>1</v>
      </c>
    </row>
    <row r="59" spans="1:10" x14ac:dyDescent="0.4">
      <c r="A59" s="240">
        <v>56</v>
      </c>
      <c r="B59" s="89">
        <f t="shared" ca="1" si="3"/>
        <v>0.25</v>
      </c>
      <c r="C59" s="1">
        <v>6</v>
      </c>
      <c r="D59">
        <f>8/32</f>
        <v>0.25</v>
      </c>
      <c r="E59">
        <f t="shared" ca="1" si="4"/>
        <v>9.5820468749999996</v>
      </c>
      <c r="F59">
        <f t="shared" ca="1" si="2"/>
        <v>0</v>
      </c>
      <c r="J59">
        <f t="shared" ca="1" si="5"/>
        <v>1</v>
      </c>
    </row>
    <row r="60" spans="1:10" x14ac:dyDescent="0.4">
      <c r="A60" s="240">
        <v>57</v>
      </c>
      <c r="B60" s="89">
        <f t="shared" ca="1" si="3"/>
        <v>0</v>
      </c>
      <c r="C60" s="1">
        <v>6</v>
      </c>
      <c r="D60">
        <f>7/32</f>
        <v>0.21875</v>
      </c>
      <c r="E60">
        <f t="shared" ca="1" si="4"/>
        <v>1</v>
      </c>
      <c r="F60">
        <f t="shared" ca="1" si="2"/>
        <v>0</v>
      </c>
      <c r="J60">
        <f t="shared" ca="1" si="5"/>
        <v>0</v>
      </c>
    </row>
    <row r="61" spans="1:10" x14ac:dyDescent="0.4">
      <c r="A61" s="240">
        <v>58</v>
      </c>
      <c r="B61" s="89">
        <f t="shared" ca="1" si="3"/>
        <v>0</v>
      </c>
      <c r="C61" s="1">
        <v>6</v>
      </c>
      <c r="D61">
        <f>6/32</f>
        <v>0.1875</v>
      </c>
      <c r="E61">
        <f t="shared" ca="1" si="4"/>
        <v>1</v>
      </c>
      <c r="F61">
        <f t="shared" ca="1" si="2"/>
        <v>0</v>
      </c>
      <c r="J61">
        <f t="shared" ca="1" si="5"/>
        <v>0</v>
      </c>
    </row>
    <row r="62" spans="1:10" x14ac:dyDescent="0.4">
      <c r="A62" s="240">
        <v>59</v>
      </c>
      <c r="B62" s="89">
        <f t="shared" ca="1" si="3"/>
        <v>0</v>
      </c>
      <c r="C62" s="1">
        <v>6</v>
      </c>
      <c r="D62">
        <f>5/32</f>
        <v>0.15625</v>
      </c>
      <c r="E62">
        <f t="shared" ca="1" si="4"/>
        <v>1</v>
      </c>
      <c r="F62">
        <f t="shared" ca="1" si="2"/>
        <v>0</v>
      </c>
      <c r="J62">
        <f t="shared" ca="1" si="5"/>
        <v>0</v>
      </c>
    </row>
    <row r="63" spans="1:10" x14ac:dyDescent="0.4">
      <c r="A63" s="240">
        <v>60</v>
      </c>
      <c r="B63" s="89">
        <f t="shared" ca="1" si="3"/>
        <v>0</v>
      </c>
      <c r="C63" s="1">
        <v>6</v>
      </c>
      <c r="D63">
        <f>4/32</f>
        <v>0.125</v>
      </c>
      <c r="E63">
        <f t="shared" ca="1" si="4"/>
        <v>1</v>
      </c>
      <c r="F63">
        <f t="shared" ca="1" si="2"/>
        <v>0</v>
      </c>
      <c r="J63">
        <f t="shared" ca="1" si="5"/>
        <v>0</v>
      </c>
    </row>
    <row r="64" spans="1:10" x14ac:dyDescent="0.4">
      <c r="A64" s="240">
        <v>61</v>
      </c>
      <c r="B64" s="89">
        <f t="shared" ca="1" si="3"/>
        <v>0</v>
      </c>
      <c r="C64" s="1">
        <v>6</v>
      </c>
      <c r="D64">
        <f>3/32</f>
        <v>9.375E-2</v>
      </c>
      <c r="E64">
        <f t="shared" ca="1" si="4"/>
        <v>1</v>
      </c>
      <c r="F64">
        <f t="shared" ca="1" si="2"/>
        <v>0</v>
      </c>
      <c r="J64">
        <f t="shared" ca="1" si="5"/>
        <v>0</v>
      </c>
    </row>
    <row r="65" spans="1:10" x14ac:dyDescent="0.4">
      <c r="A65" s="240">
        <v>62</v>
      </c>
      <c r="B65" s="89">
        <f t="shared" ca="1" si="3"/>
        <v>0</v>
      </c>
      <c r="C65" s="1">
        <v>6</v>
      </c>
      <c r="D65">
        <f>2/32</f>
        <v>6.25E-2</v>
      </c>
      <c r="E65">
        <f t="shared" ca="1" si="4"/>
        <v>1</v>
      </c>
      <c r="F65">
        <f t="shared" ca="1" si="2"/>
        <v>0</v>
      </c>
      <c r="J65">
        <f t="shared" ca="1" si="5"/>
        <v>0</v>
      </c>
    </row>
    <row r="66" spans="1:10" x14ac:dyDescent="0.4">
      <c r="A66" s="240">
        <v>63</v>
      </c>
      <c r="B66" s="89">
        <f t="shared" ca="1" si="3"/>
        <v>0</v>
      </c>
      <c r="C66" s="1">
        <v>6</v>
      </c>
      <c r="D66">
        <f>1/32</f>
        <v>3.125E-2</v>
      </c>
      <c r="E66">
        <f t="shared" ca="1" si="4"/>
        <v>1</v>
      </c>
      <c r="F66">
        <f t="shared" ca="1" si="2"/>
        <v>0</v>
      </c>
      <c r="J66">
        <f t="shared" ca="1" si="5"/>
        <v>0</v>
      </c>
    </row>
    <row r="67" spans="1:10" x14ac:dyDescent="0.4">
      <c r="A67" s="240">
        <v>64</v>
      </c>
      <c r="B67" s="89">
        <f t="shared" ca="1" si="3"/>
        <v>0</v>
      </c>
      <c r="C67" s="1">
        <v>6</v>
      </c>
      <c r="D67">
        <v>0</v>
      </c>
      <c r="E67">
        <f t="shared" ca="1" si="4"/>
        <v>1</v>
      </c>
      <c r="F67">
        <f t="shared" ca="1" si="2"/>
        <v>0</v>
      </c>
      <c r="J67">
        <f t="shared" ca="1" si="5"/>
        <v>0</v>
      </c>
    </row>
    <row r="68" spans="1:10" x14ac:dyDescent="0.4">
      <c r="A68" s="240">
        <v>65</v>
      </c>
      <c r="B68" s="89">
        <f t="shared" ca="1" si="3"/>
        <v>0</v>
      </c>
      <c r="E68">
        <f t="shared" ca="1" si="4"/>
        <v>1</v>
      </c>
      <c r="F68">
        <f t="shared" ca="1" si="2"/>
        <v>0</v>
      </c>
      <c r="J68">
        <f t="shared" ca="1" si="5"/>
        <v>0</v>
      </c>
    </row>
    <row r="69" spans="1:10" x14ac:dyDescent="0.4">
      <c r="A69" s="240">
        <v>66</v>
      </c>
      <c r="B69" s="89">
        <f t="shared" ca="1" si="3"/>
        <v>0</v>
      </c>
      <c r="E69">
        <f t="shared" ca="1" si="4"/>
        <v>1</v>
      </c>
      <c r="F69">
        <f t="shared" ref="F69:F132" ca="1" si="6">IF(A69&lt;$I$3,$L$2,0)</f>
        <v>0</v>
      </c>
      <c r="J69">
        <f t="shared" ca="1" si="5"/>
        <v>0</v>
      </c>
    </row>
    <row r="70" spans="1:10" x14ac:dyDescent="0.4">
      <c r="A70" s="240">
        <v>67</v>
      </c>
      <c r="B70" s="89">
        <f t="shared" ref="B70:B133" ca="1" si="7">J70*($H$3-C70+D70)</f>
        <v>0</v>
      </c>
      <c r="E70">
        <f t="shared" ca="1" si="4"/>
        <v>1</v>
      </c>
      <c r="F70">
        <f t="shared" ca="1" si="6"/>
        <v>0</v>
      </c>
      <c r="J70">
        <f t="shared" ca="1" si="5"/>
        <v>0</v>
      </c>
    </row>
    <row r="71" spans="1:10" x14ac:dyDescent="0.4">
      <c r="A71" s="240">
        <v>68</v>
      </c>
      <c r="B71" s="89">
        <f t="shared" ca="1" si="7"/>
        <v>0</v>
      </c>
      <c r="E71">
        <f t="shared" ca="1" si="4"/>
        <v>1</v>
      </c>
      <c r="F71">
        <f t="shared" ca="1" si="6"/>
        <v>0</v>
      </c>
      <c r="J71">
        <f t="shared" ca="1" si="5"/>
        <v>0</v>
      </c>
    </row>
    <row r="72" spans="1:10" x14ac:dyDescent="0.4">
      <c r="A72" s="240">
        <v>69</v>
      </c>
      <c r="B72" s="89">
        <f t="shared" ca="1" si="7"/>
        <v>0</v>
      </c>
      <c r="E72">
        <f t="shared" ca="1" si="4"/>
        <v>1</v>
      </c>
      <c r="F72">
        <f t="shared" ca="1" si="6"/>
        <v>0</v>
      </c>
      <c r="J72">
        <f t="shared" ca="1" si="5"/>
        <v>0</v>
      </c>
    </row>
    <row r="73" spans="1:10" x14ac:dyDescent="0.4">
      <c r="A73" s="240">
        <v>70</v>
      </c>
      <c r="B73" s="89">
        <f t="shared" ca="1" si="7"/>
        <v>0</v>
      </c>
      <c r="E73">
        <f t="shared" ca="1" si="4"/>
        <v>1</v>
      </c>
      <c r="F73">
        <f t="shared" ca="1" si="6"/>
        <v>0</v>
      </c>
      <c r="J73">
        <f t="shared" ca="1" si="5"/>
        <v>0</v>
      </c>
    </row>
    <row r="74" spans="1:10" x14ac:dyDescent="0.4">
      <c r="A74" s="240">
        <v>71</v>
      </c>
      <c r="B74" s="89">
        <f t="shared" ca="1" si="7"/>
        <v>0</v>
      </c>
      <c r="E74">
        <f t="shared" ca="1" si="4"/>
        <v>1</v>
      </c>
      <c r="F74">
        <f t="shared" ca="1" si="6"/>
        <v>0</v>
      </c>
      <c r="J74">
        <f t="shared" ca="1" si="5"/>
        <v>0</v>
      </c>
    </row>
    <row r="75" spans="1:10" x14ac:dyDescent="0.4">
      <c r="A75" s="240">
        <v>72</v>
      </c>
      <c r="B75" s="89">
        <f t="shared" ca="1" si="7"/>
        <v>0</v>
      </c>
      <c r="E75">
        <f t="shared" ca="1" si="4"/>
        <v>1</v>
      </c>
      <c r="F75">
        <f t="shared" ca="1" si="6"/>
        <v>0</v>
      </c>
      <c r="J75">
        <f t="shared" ca="1" si="5"/>
        <v>0</v>
      </c>
    </row>
    <row r="76" spans="1:10" x14ac:dyDescent="0.4">
      <c r="A76" s="240">
        <v>73</v>
      </c>
      <c r="B76" s="89">
        <f t="shared" ca="1" si="7"/>
        <v>0</v>
      </c>
      <c r="E76">
        <f t="shared" ca="1" si="4"/>
        <v>1</v>
      </c>
      <c r="F76">
        <f t="shared" ca="1" si="6"/>
        <v>0</v>
      </c>
      <c r="J76">
        <f t="shared" ca="1" si="5"/>
        <v>0</v>
      </c>
    </row>
    <row r="77" spans="1:10" x14ac:dyDescent="0.4">
      <c r="A77" s="240">
        <v>74</v>
      </c>
      <c r="B77" s="89">
        <f t="shared" ca="1" si="7"/>
        <v>0</v>
      </c>
      <c r="E77">
        <f t="shared" ca="1" si="4"/>
        <v>1</v>
      </c>
      <c r="F77">
        <f t="shared" ca="1" si="6"/>
        <v>0</v>
      </c>
      <c r="J77">
        <f t="shared" ca="1" si="5"/>
        <v>0</v>
      </c>
    </row>
    <row r="78" spans="1:10" x14ac:dyDescent="0.4">
      <c r="A78" s="240">
        <v>75</v>
      </c>
      <c r="B78" s="89">
        <f t="shared" ca="1" si="7"/>
        <v>0</v>
      </c>
      <c r="E78">
        <f t="shared" ca="1" si="4"/>
        <v>1</v>
      </c>
      <c r="F78">
        <f t="shared" ca="1" si="6"/>
        <v>0</v>
      </c>
      <c r="J78">
        <f t="shared" ca="1" si="5"/>
        <v>0</v>
      </c>
    </row>
    <row r="79" spans="1:10" x14ac:dyDescent="0.4">
      <c r="A79" s="240">
        <v>76</v>
      </c>
      <c r="B79" s="89">
        <f t="shared" ca="1" si="7"/>
        <v>0</v>
      </c>
      <c r="E79">
        <f t="shared" ca="1" si="4"/>
        <v>1</v>
      </c>
      <c r="F79">
        <f t="shared" ca="1" si="6"/>
        <v>0</v>
      </c>
      <c r="J79">
        <f t="shared" ca="1" si="5"/>
        <v>0</v>
      </c>
    </row>
    <row r="80" spans="1:10" x14ac:dyDescent="0.4">
      <c r="A80" s="240">
        <v>77</v>
      </c>
      <c r="B80" s="89">
        <f t="shared" ca="1" si="7"/>
        <v>0</v>
      </c>
      <c r="E80">
        <f t="shared" ca="1" si="4"/>
        <v>1</v>
      </c>
      <c r="F80">
        <f t="shared" ca="1" si="6"/>
        <v>0</v>
      </c>
      <c r="J80">
        <f t="shared" ca="1" si="5"/>
        <v>0</v>
      </c>
    </row>
    <row r="81" spans="1:10" x14ac:dyDescent="0.4">
      <c r="A81" s="240">
        <v>78</v>
      </c>
      <c r="B81" s="89">
        <f t="shared" ca="1" si="7"/>
        <v>0</v>
      </c>
      <c r="E81">
        <f t="shared" ca="1" si="4"/>
        <v>1</v>
      </c>
      <c r="F81">
        <f t="shared" ca="1" si="6"/>
        <v>0</v>
      </c>
      <c r="J81">
        <f t="shared" ca="1" si="5"/>
        <v>0</v>
      </c>
    </row>
    <row r="82" spans="1:10" x14ac:dyDescent="0.4">
      <c r="A82" s="240">
        <v>79</v>
      </c>
      <c r="B82" s="89">
        <f t="shared" ca="1" si="7"/>
        <v>0</v>
      </c>
      <c r="E82">
        <f t="shared" ca="1" si="4"/>
        <v>1</v>
      </c>
      <c r="F82">
        <f t="shared" ca="1" si="6"/>
        <v>0</v>
      </c>
      <c r="J82">
        <f t="shared" ca="1" si="5"/>
        <v>0</v>
      </c>
    </row>
    <row r="83" spans="1:10" x14ac:dyDescent="0.4">
      <c r="A83" s="240">
        <v>80</v>
      </c>
      <c r="B83" s="89">
        <f t="shared" ca="1" si="7"/>
        <v>0</v>
      </c>
      <c r="E83">
        <f t="shared" ca="1" si="4"/>
        <v>1</v>
      </c>
      <c r="F83">
        <f t="shared" ca="1" si="6"/>
        <v>0</v>
      </c>
      <c r="J83">
        <f t="shared" ca="1" si="5"/>
        <v>0</v>
      </c>
    </row>
    <row r="84" spans="1:10" x14ac:dyDescent="0.4">
      <c r="A84" s="240">
        <v>81</v>
      </c>
      <c r="B84" s="89">
        <f t="shared" ca="1" si="7"/>
        <v>0</v>
      </c>
      <c r="E84">
        <f t="shared" ca="1" si="4"/>
        <v>1</v>
      </c>
      <c r="F84">
        <f t="shared" ca="1" si="6"/>
        <v>0</v>
      </c>
      <c r="J84">
        <f t="shared" ca="1" si="5"/>
        <v>0</v>
      </c>
    </row>
    <row r="85" spans="1:10" x14ac:dyDescent="0.4">
      <c r="A85" s="240">
        <v>82</v>
      </c>
      <c r="B85" s="89">
        <f t="shared" ca="1" si="7"/>
        <v>0</v>
      </c>
      <c r="E85">
        <f t="shared" ca="1" si="4"/>
        <v>1</v>
      </c>
      <c r="F85">
        <f t="shared" ca="1" si="6"/>
        <v>0</v>
      </c>
      <c r="J85">
        <f t="shared" ca="1" si="5"/>
        <v>0</v>
      </c>
    </row>
    <row r="86" spans="1:10" x14ac:dyDescent="0.4">
      <c r="A86" s="240">
        <v>83</v>
      </c>
      <c r="B86" s="89">
        <f t="shared" ca="1" si="7"/>
        <v>0</v>
      </c>
      <c r="E86">
        <f t="shared" ca="1" si="4"/>
        <v>1</v>
      </c>
      <c r="F86">
        <f t="shared" ca="1" si="6"/>
        <v>0</v>
      </c>
      <c r="J86">
        <f t="shared" ca="1" si="5"/>
        <v>0</v>
      </c>
    </row>
    <row r="87" spans="1:10" x14ac:dyDescent="0.4">
      <c r="A87" s="240">
        <v>84</v>
      </c>
      <c r="B87" s="89">
        <f t="shared" ca="1" si="7"/>
        <v>0</v>
      </c>
      <c r="E87">
        <f t="shared" ca="1" si="4"/>
        <v>1</v>
      </c>
      <c r="F87">
        <f t="shared" ca="1" si="6"/>
        <v>0</v>
      </c>
      <c r="J87">
        <f t="shared" ca="1" si="5"/>
        <v>0</v>
      </c>
    </row>
    <row r="88" spans="1:10" x14ac:dyDescent="0.4">
      <c r="A88" s="240">
        <v>85</v>
      </c>
      <c r="B88" s="89">
        <f t="shared" ca="1" si="7"/>
        <v>0</v>
      </c>
      <c r="E88">
        <f t="shared" ca="1" si="4"/>
        <v>1</v>
      </c>
      <c r="F88">
        <f t="shared" ca="1" si="6"/>
        <v>0</v>
      </c>
      <c r="J88">
        <f t="shared" ca="1" si="5"/>
        <v>0</v>
      </c>
    </row>
    <row r="89" spans="1:10" x14ac:dyDescent="0.4">
      <c r="A89" s="240">
        <v>86</v>
      </c>
      <c r="B89" s="89">
        <f t="shared" ca="1" si="7"/>
        <v>0</v>
      </c>
      <c r="E89">
        <f t="shared" ca="1" si="4"/>
        <v>1</v>
      </c>
      <c r="F89">
        <f t="shared" ca="1" si="6"/>
        <v>0</v>
      </c>
      <c r="J89">
        <f t="shared" ca="1" si="5"/>
        <v>0</v>
      </c>
    </row>
    <row r="90" spans="1:10" x14ac:dyDescent="0.4">
      <c r="A90" s="240">
        <v>87</v>
      </c>
      <c r="B90" s="89">
        <f t="shared" ca="1" si="7"/>
        <v>0</v>
      </c>
      <c r="E90">
        <f t="shared" ref="E90:E153" ca="1" si="8">J90*(B90*$L$1+F90)-(J90-1)*$L$3</f>
        <v>1</v>
      </c>
      <c r="F90">
        <f t="shared" ca="1" si="6"/>
        <v>0</v>
      </c>
      <c r="J90">
        <f t="shared" ca="1" si="5"/>
        <v>0</v>
      </c>
    </row>
    <row r="91" spans="1:10" x14ac:dyDescent="0.4">
      <c r="A91" s="240">
        <v>88</v>
      </c>
      <c r="B91" s="89">
        <f t="shared" ca="1" si="7"/>
        <v>0</v>
      </c>
      <c r="E91">
        <f t="shared" ca="1" si="8"/>
        <v>1</v>
      </c>
      <c r="F91">
        <f t="shared" ca="1" si="6"/>
        <v>0</v>
      </c>
      <c r="J91">
        <f t="shared" ref="J91:J154" ca="1" si="9">IF($I$3&lt;=A91,0,1)</f>
        <v>0</v>
      </c>
    </row>
    <row r="92" spans="1:10" x14ac:dyDescent="0.4">
      <c r="A92" s="240">
        <v>89</v>
      </c>
      <c r="B92" s="89">
        <f t="shared" ca="1" si="7"/>
        <v>0</v>
      </c>
      <c r="E92">
        <f t="shared" ca="1" si="8"/>
        <v>1</v>
      </c>
      <c r="F92">
        <f t="shared" ca="1" si="6"/>
        <v>0</v>
      </c>
      <c r="J92">
        <f t="shared" ca="1" si="9"/>
        <v>0</v>
      </c>
    </row>
    <row r="93" spans="1:10" x14ac:dyDescent="0.4">
      <c r="A93" s="240">
        <v>90</v>
      </c>
      <c r="B93" s="89">
        <f t="shared" ca="1" si="7"/>
        <v>0</v>
      </c>
      <c r="E93">
        <f t="shared" ca="1" si="8"/>
        <v>1</v>
      </c>
      <c r="F93">
        <f t="shared" ca="1" si="6"/>
        <v>0</v>
      </c>
      <c r="J93">
        <f t="shared" ca="1" si="9"/>
        <v>0</v>
      </c>
    </row>
    <row r="94" spans="1:10" x14ac:dyDescent="0.4">
      <c r="A94" s="240">
        <v>91</v>
      </c>
      <c r="B94" s="89">
        <f t="shared" ca="1" si="7"/>
        <v>0</v>
      </c>
      <c r="E94">
        <f t="shared" ca="1" si="8"/>
        <v>1</v>
      </c>
      <c r="F94">
        <f t="shared" ca="1" si="6"/>
        <v>0</v>
      </c>
      <c r="J94">
        <f t="shared" ca="1" si="9"/>
        <v>0</v>
      </c>
    </row>
    <row r="95" spans="1:10" x14ac:dyDescent="0.4">
      <c r="A95" s="240">
        <v>92</v>
      </c>
      <c r="B95" s="89">
        <f t="shared" ca="1" si="7"/>
        <v>0</v>
      </c>
      <c r="E95">
        <f t="shared" ca="1" si="8"/>
        <v>1</v>
      </c>
      <c r="F95">
        <f t="shared" ca="1" si="6"/>
        <v>0</v>
      </c>
      <c r="J95">
        <f t="shared" ca="1" si="9"/>
        <v>0</v>
      </c>
    </row>
    <row r="96" spans="1:10" x14ac:dyDescent="0.4">
      <c r="A96" s="240">
        <v>93</v>
      </c>
      <c r="B96" s="89">
        <f t="shared" ca="1" si="7"/>
        <v>0</v>
      </c>
      <c r="E96">
        <f t="shared" ca="1" si="8"/>
        <v>1</v>
      </c>
      <c r="F96">
        <f t="shared" ca="1" si="6"/>
        <v>0</v>
      </c>
      <c r="J96">
        <f t="shared" ca="1" si="9"/>
        <v>0</v>
      </c>
    </row>
    <row r="97" spans="1:10" x14ac:dyDescent="0.4">
      <c r="A97" s="240">
        <v>94</v>
      </c>
      <c r="B97" s="89">
        <f t="shared" ca="1" si="7"/>
        <v>0</v>
      </c>
      <c r="E97">
        <f t="shared" ca="1" si="8"/>
        <v>1</v>
      </c>
      <c r="F97">
        <f t="shared" ca="1" si="6"/>
        <v>0</v>
      </c>
      <c r="J97">
        <f t="shared" ca="1" si="9"/>
        <v>0</v>
      </c>
    </row>
    <row r="98" spans="1:10" x14ac:dyDescent="0.4">
      <c r="A98" s="240">
        <v>95</v>
      </c>
      <c r="B98" s="89">
        <f t="shared" ca="1" si="7"/>
        <v>0</v>
      </c>
      <c r="E98">
        <f t="shared" ca="1" si="8"/>
        <v>1</v>
      </c>
      <c r="F98">
        <f t="shared" ca="1" si="6"/>
        <v>0</v>
      </c>
      <c r="J98">
        <f t="shared" ca="1" si="9"/>
        <v>0</v>
      </c>
    </row>
    <row r="99" spans="1:10" x14ac:dyDescent="0.4">
      <c r="A99" s="240">
        <v>96</v>
      </c>
      <c r="B99" s="89">
        <f t="shared" ca="1" si="7"/>
        <v>0</v>
      </c>
      <c r="E99">
        <f t="shared" ca="1" si="8"/>
        <v>1</v>
      </c>
      <c r="F99">
        <f t="shared" ca="1" si="6"/>
        <v>0</v>
      </c>
      <c r="J99">
        <f t="shared" ca="1" si="9"/>
        <v>0</v>
      </c>
    </row>
    <row r="100" spans="1:10" x14ac:dyDescent="0.4">
      <c r="A100" s="240">
        <v>97</v>
      </c>
      <c r="B100" s="89">
        <f t="shared" ca="1" si="7"/>
        <v>0</v>
      </c>
      <c r="E100">
        <f t="shared" ca="1" si="8"/>
        <v>1</v>
      </c>
      <c r="F100">
        <f t="shared" ca="1" si="6"/>
        <v>0</v>
      </c>
      <c r="J100">
        <f t="shared" ca="1" si="9"/>
        <v>0</v>
      </c>
    </row>
    <row r="101" spans="1:10" x14ac:dyDescent="0.4">
      <c r="A101" s="240">
        <v>98</v>
      </c>
      <c r="B101" s="89">
        <f t="shared" ca="1" si="7"/>
        <v>0</v>
      </c>
      <c r="E101">
        <f t="shared" ca="1" si="8"/>
        <v>1</v>
      </c>
      <c r="F101">
        <f t="shared" ca="1" si="6"/>
        <v>0</v>
      </c>
      <c r="J101">
        <f t="shared" ca="1" si="9"/>
        <v>0</v>
      </c>
    </row>
    <row r="102" spans="1:10" x14ac:dyDescent="0.4">
      <c r="A102" s="240">
        <v>99</v>
      </c>
      <c r="B102" s="89">
        <f t="shared" ca="1" si="7"/>
        <v>0</v>
      </c>
      <c r="E102">
        <f t="shared" ca="1" si="8"/>
        <v>1</v>
      </c>
      <c r="F102">
        <f t="shared" ca="1" si="6"/>
        <v>0</v>
      </c>
      <c r="J102">
        <f t="shared" ca="1" si="9"/>
        <v>0</v>
      </c>
    </row>
    <row r="103" spans="1:10" x14ac:dyDescent="0.4">
      <c r="A103" s="240">
        <v>100</v>
      </c>
      <c r="B103" s="89">
        <f t="shared" ca="1" si="7"/>
        <v>0</v>
      </c>
      <c r="E103">
        <f t="shared" ca="1" si="8"/>
        <v>1</v>
      </c>
      <c r="F103">
        <f t="shared" ca="1" si="6"/>
        <v>0</v>
      </c>
      <c r="J103">
        <f t="shared" ca="1" si="9"/>
        <v>0</v>
      </c>
    </row>
    <row r="104" spans="1:10" x14ac:dyDescent="0.4">
      <c r="A104" s="240">
        <v>101</v>
      </c>
      <c r="B104" s="89">
        <f t="shared" ca="1" si="7"/>
        <v>0</v>
      </c>
      <c r="E104">
        <f t="shared" ca="1" si="8"/>
        <v>1</v>
      </c>
      <c r="F104">
        <f t="shared" ca="1" si="6"/>
        <v>0</v>
      </c>
      <c r="J104">
        <f t="shared" ca="1" si="9"/>
        <v>0</v>
      </c>
    </row>
    <row r="105" spans="1:10" x14ac:dyDescent="0.4">
      <c r="A105" s="240">
        <v>102</v>
      </c>
      <c r="B105" s="89">
        <f t="shared" ca="1" si="7"/>
        <v>0</v>
      </c>
      <c r="E105">
        <f t="shared" ca="1" si="8"/>
        <v>1</v>
      </c>
      <c r="F105">
        <f t="shared" ca="1" si="6"/>
        <v>0</v>
      </c>
      <c r="J105">
        <f t="shared" ca="1" si="9"/>
        <v>0</v>
      </c>
    </row>
    <row r="106" spans="1:10" x14ac:dyDescent="0.4">
      <c r="A106" s="240">
        <v>103</v>
      </c>
      <c r="B106" s="89">
        <f t="shared" ca="1" si="7"/>
        <v>0</v>
      </c>
      <c r="E106">
        <f t="shared" ca="1" si="8"/>
        <v>1</v>
      </c>
      <c r="F106">
        <f t="shared" ca="1" si="6"/>
        <v>0</v>
      </c>
      <c r="J106">
        <f t="shared" ca="1" si="9"/>
        <v>0</v>
      </c>
    </row>
    <row r="107" spans="1:10" x14ac:dyDescent="0.4">
      <c r="A107" s="240">
        <v>104</v>
      </c>
      <c r="B107" s="89">
        <f t="shared" ca="1" si="7"/>
        <v>0</v>
      </c>
      <c r="E107">
        <f t="shared" ca="1" si="8"/>
        <v>1</v>
      </c>
      <c r="F107">
        <f t="shared" ca="1" si="6"/>
        <v>0</v>
      </c>
      <c r="J107">
        <f t="shared" ca="1" si="9"/>
        <v>0</v>
      </c>
    </row>
    <row r="108" spans="1:10" x14ac:dyDescent="0.4">
      <c r="A108" s="240">
        <v>105</v>
      </c>
      <c r="B108" s="89">
        <f t="shared" ca="1" si="7"/>
        <v>0</v>
      </c>
      <c r="E108">
        <f t="shared" ca="1" si="8"/>
        <v>1</v>
      </c>
      <c r="F108">
        <f t="shared" ca="1" si="6"/>
        <v>0</v>
      </c>
      <c r="J108">
        <f t="shared" ca="1" si="9"/>
        <v>0</v>
      </c>
    </row>
    <row r="109" spans="1:10" x14ac:dyDescent="0.4">
      <c r="A109" s="240">
        <v>106</v>
      </c>
      <c r="B109" s="89">
        <f t="shared" ca="1" si="7"/>
        <v>0</v>
      </c>
      <c r="E109">
        <f t="shared" ca="1" si="8"/>
        <v>1</v>
      </c>
      <c r="F109">
        <f t="shared" ca="1" si="6"/>
        <v>0</v>
      </c>
      <c r="J109">
        <f t="shared" ca="1" si="9"/>
        <v>0</v>
      </c>
    </row>
    <row r="110" spans="1:10" x14ac:dyDescent="0.4">
      <c r="A110" s="240">
        <v>107</v>
      </c>
      <c r="B110" s="89">
        <f t="shared" ca="1" si="7"/>
        <v>0</v>
      </c>
      <c r="E110">
        <f t="shared" ca="1" si="8"/>
        <v>1</v>
      </c>
      <c r="F110">
        <f t="shared" ca="1" si="6"/>
        <v>0</v>
      </c>
      <c r="J110">
        <f t="shared" ca="1" si="9"/>
        <v>0</v>
      </c>
    </row>
    <row r="111" spans="1:10" x14ac:dyDescent="0.4">
      <c r="A111" s="240">
        <v>108</v>
      </c>
      <c r="B111" s="89">
        <f t="shared" ca="1" si="7"/>
        <v>0</v>
      </c>
      <c r="E111">
        <f t="shared" ca="1" si="8"/>
        <v>1</v>
      </c>
      <c r="F111">
        <f t="shared" ca="1" si="6"/>
        <v>0</v>
      </c>
      <c r="J111">
        <f t="shared" ca="1" si="9"/>
        <v>0</v>
      </c>
    </row>
    <row r="112" spans="1:10" x14ac:dyDescent="0.4">
      <c r="A112" s="240">
        <v>109</v>
      </c>
      <c r="B112" s="89">
        <f t="shared" ca="1" si="7"/>
        <v>0</v>
      </c>
      <c r="E112">
        <f t="shared" ca="1" si="8"/>
        <v>1</v>
      </c>
      <c r="F112">
        <f t="shared" ca="1" si="6"/>
        <v>0</v>
      </c>
      <c r="J112">
        <f t="shared" ca="1" si="9"/>
        <v>0</v>
      </c>
    </row>
    <row r="113" spans="1:10" x14ac:dyDescent="0.4">
      <c r="A113" s="240">
        <v>110</v>
      </c>
      <c r="B113" s="89">
        <f t="shared" ca="1" si="7"/>
        <v>0</v>
      </c>
      <c r="E113">
        <f t="shared" ca="1" si="8"/>
        <v>1</v>
      </c>
      <c r="F113">
        <f t="shared" ca="1" si="6"/>
        <v>0</v>
      </c>
      <c r="J113">
        <f t="shared" ca="1" si="9"/>
        <v>0</v>
      </c>
    </row>
    <row r="114" spans="1:10" x14ac:dyDescent="0.4">
      <c r="A114" s="240">
        <v>111</v>
      </c>
      <c r="B114" s="89">
        <f t="shared" ca="1" si="7"/>
        <v>0</v>
      </c>
      <c r="E114">
        <f t="shared" ca="1" si="8"/>
        <v>1</v>
      </c>
      <c r="F114">
        <f t="shared" ca="1" si="6"/>
        <v>0</v>
      </c>
      <c r="J114">
        <f t="shared" ca="1" si="9"/>
        <v>0</v>
      </c>
    </row>
    <row r="115" spans="1:10" x14ac:dyDescent="0.4">
      <c r="A115" s="240">
        <v>112</v>
      </c>
      <c r="B115" s="89">
        <f t="shared" ca="1" si="7"/>
        <v>0</v>
      </c>
      <c r="E115">
        <f t="shared" ca="1" si="8"/>
        <v>1</v>
      </c>
      <c r="F115">
        <f t="shared" ca="1" si="6"/>
        <v>0</v>
      </c>
      <c r="J115">
        <f t="shared" ca="1" si="9"/>
        <v>0</v>
      </c>
    </row>
    <row r="116" spans="1:10" x14ac:dyDescent="0.4">
      <c r="A116" s="240">
        <v>113</v>
      </c>
      <c r="B116" s="89">
        <f t="shared" ca="1" si="7"/>
        <v>0</v>
      </c>
      <c r="E116">
        <f t="shared" ca="1" si="8"/>
        <v>1</v>
      </c>
      <c r="F116">
        <f t="shared" ca="1" si="6"/>
        <v>0</v>
      </c>
      <c r="J116">
        <f t="shared" ca="1" si="9"/>
        <v>0</v>
      </c>
    </row>
    <row r="117" spans="1:10" x14ac:dyDescent="0.4">
      <c r="A117" s="240">
        <v>114</v>
      </c>
      <c r="B117" s="89">
        <f t="shared" ca="1" si="7"/>
        <v>0</v>
      </c>
      <c r="E117">
        <f t="shared" ca="1" si="8"/>
        <v>1</v>
      </c>
      <c r="F117">
        <f t="shared" ca="1" si="6"/>
        <v>0</v>
      </c>
      <c r="J117">
        <f t="shared" ca="1" si="9"/>
        <v>0</v>
      </c>
    </row>
    <row r="118" spans="1:10" x14ac:dyDescent="0.4">
      <c r="A118" s="240">
        <v>115</v>
      </c>
      <c r="B118" s="89">
        <f t="shared" ca="1" si="7"/>
        <v>0</v>
      </c>
      <c r="E118">
        <f t="shared" ca="1" si="8"/>
        <v>1</v>
      </c>
      <c r="F118">
        <f t="shared" ca="1" si="6"/>
        <v>0</v>
      </c>
      <c r="J118">
        <f t="shared" ca="1" si="9"/>
        <v>0</v>
      </c>
    </row>
    <row r="119" spans="1:10" x14ac:dyDescent="0.4">
      <c r="A119" s="240">
        <v>116</v>
      </c>
      <c r="B119" s="89">
        <f t="shared" ca="1" si="7"/>
        <v>0</v>
      </c>
      <c r="E119">
        <f t="shared" ca="1" si="8"/>
        <v>1</v>
      </c>
      <c r="F119">
        <f t="shared" ca="1" si="6"/>
        <v>0</v>
      </c>
      <c r="J119">
        <f t="shared" ca="1" si="9"/>
        <v>0</v>
      </c>
    </row>
    <row r="120" spans="1:10" x14ac:dyDescent="0.4">
      <c r="A120" s="240">
        <v>117</v>
      </c>
      <c r="B120" s="89">
        <f t="shared" ca="1" si="7"/>
        <v>0</v>
      </c>
      <c r="E120">
        <f t="shared" ca="1" si="8"/>
        <v>1</v>
      </c>
      <c r="F120">
        <f t="shared" ca="1" si="6"/>
        <v>0</v>
      </c>
      <c r="J120">
        <f t="shared" ca="1" si="9"/>
        <v>0</v>
      </c>
    </row>
    <row r="121" spans="1:10" x14ac:dyDescent="0.4">
      <c r="A121" s="240">
        <v>118</v>
      </c>
      <c r="B121" s="89">
        <f t="shared" ca="1" si="7"/>
        <v>0</v>
      </c>
      <c r="E121">
        <f t="shared" ca="1" si="8"/>
        <v>1</v>
      </c>
      <c r="F121">
        <f t="shared" ca="1" si="6"/>
        <v>0</v>
      </c>
      <c r="J121">
        <f t="shared" ca="1" si="9"/>
        <v>0</v>
      </c>
    </row>
    <row r="122" spans="1:10" x14ac:dyDescent="0.4">
      <c r="A122" s="240">
        <v>119</v>
      </c>
      <c r="B122" s="89">
        <f t="shared" ca="1" si="7"/>
        <v>0</v>
      </c>
      <c r="E122">
        <f t="shared" ca="1" si="8"/>
        <v>1</v>
      </c>
      <c r="F122">
        <f t="shared" ca="1" si="6"/>
        <v>0</v>
      </c>
      <c r="J122">
        <f t="shared" ca="1" si="9"/>
        <v>0</v>
      </c>
    </row>
    <row r="123" spans="1:10" x14ac:dyDescent="0.4">
      <c r="A123" s="240">
        <v>120</v>
      </c>
      <c r="B123" s="89">
        <f t="shared" ca="1" si="7"/>
        <v>0</v>
      </c>
      <c r="E123">
        <f t="shared" ca="1" si="8"/>
        <v>1</v>
      </c>
      <c r="F123">
        <f t="shared" ca="1" si="6"/>
        <v>0</v>
      </c>
      <c r="J123">
        <f t="shared" ca="1" si="9"/>
        <v>0</v>
      </c>
    </row>
    <row r="124" spans="1:10" x14ac:dyDescent="0.4">
      <c r="A124" s="240">
        <v>121</v>
      </c>
      <c r="B124" s="89">
        <f t="shared" ca="1" si="7"/>
        <v>0</v>
      </c>
      <c r="E124">
        <f t="shared" ca="1" si="8"/>
        <v>1</v>
      </c>
      <c r="F124">
        <f t="shared" ca="1" si="6"/>
        <v>0</v>
      </c>
      <c r="J124">
        <f t="shared" ca="1" si="9"/>
        <v>0</v>
      </c>
    </row>
    <row r="125" spans="1:10" x14ac:dyDescent="0.4">
      <c r="A125" s="240">
        <v>122</v>
      </c>
      <c r="B125" s="89">
        <f t="shared" ca="1" si="7"/>
        <v>0</v>
      </c>
      <c r="E125">
        <f t="shared" ca="1" si="8"/>
        <v>1</v>
      </c>
      <c r="F125">
        <f t="shared" ca="1" si="6"/>
        <v>0</v>
      </c>
      <c r="J125">
        <f t="shared" ca="1" si="9"/>
        <v>0</v>
      </c>
    </row>
    <row r="126" spans="1:10" x14ac:dyDescent="0.4">
      <c r="A126" s="240">
        <v>123</v>
      </c>
      <c r="B126" s="89">
        <f t="shared" ca="1" si="7"/>
        <v>0</v>
      </c>
      <c r="E126">
        <f t="shared" ca="1" si="8"/>
        <v>1</v>
      </c>
      <c r="F126">
        <f t="shared" ca="1" si="6"/>
        <v>0</v>
      </c>
      <c r="J126">
        <f t="shared" ca="1" si="9"/>
        <v>0</v>
      </c>
    </row>
    <row r="127" spans="1:10" x14ac:dyDescent="0.4">
      <c r="A127" s="240">
        <v>124</v>
      </c>
      <c r="B127" s="89">
        <f t="shared" ca="1" si="7"/>
        <v>0</v>
      </c>
      <c r="E127">
        <f t="shared" ca="1" si="8"/>
        <v>1</v>
      </c>
      <c r="F127">
        <f t="shared" ca="1" si="6"/>
        <v>0</v>
      </c>
      <c r="J127">
        <f t="shared" ca="1" si="9"/>
        <v>0</v>
      </c>
    </row>
    <row r="128" spans="1:10" x14ac:dyDescent="0.4">
      <c r="A128" s="240">
        <v>125</v>
      </c>
      <c r="B128" s="89">
        <f t="shared" ca="1" si="7"/>
        <v>0</v>
      </c>
      <c r="E128">
        <f t="shared" ca="1" si="8"/>
        <v>1</v>
      </c>
      <c r="F128">
        <f t="shared" ca="1" si="6"/>
        <v>0</v>
      </c>
      <c r="J128">
        <f t="shared" ca="1" si="9"/>
        <v>0</v>
      </c>
    </row>
    <row r="129" spans="1:10" x14ac:dyDescent="0.4">
      <c r="A129" s="240">
        <v>126</v>
      </c>
      <c r="B129" s="89">
        <f t="shared" ca="1" si="7"/>
        <v>0</v>
      </c>
      <c r="E129">
        <f t="shared" ca="1" si="8"/>
        <v>1</v>
      </c>
      <c r="F129">
        <f t="shared" ca="1" si="6"/>
        <v>0</v>
      </c>
      <c r="J129">
        <f t="shared" ca="1" si="9"/>
        <v>0</v>
      </c>
    </row>
    <row r="130" spans="1:10" x14ac:dyDescent="0.4">
      <c r="A130" s="240">
        <v>127</v>
      </c>
      <c r="B130" s="89">
        <f t="shared" ca="1" si="7"/>
        <v>0</v>
      </c>
      <c r="E130">
        <f t="shared" ca="1" si="8"/>
        <v>1</v>
      </c>
      <c r="F130">
        <f t="shared" ca="1" si="6"/>
        <v>0</v>
      </c>
      <c r="J130">
        <f t="shared" ca="1" si="9"/>
        <v>0</v>
      </c>
    </row>
    <row r="131" spans="1:10" x14ac:dyDescent="0.4">
      <c r="A131" s="240">
        <v>128</v>
      </c>
      <c r="B131" s="89">
        <f t="shared" ca="1" si="7"/>
        <v>0</v>
      </c>
      <c r="E131">
        <f t="shared" ca="1" si="8"/>
        <v>1</v>
      </c>
      <c r="F131">
        <f t="shared" ca="1" si="6"/>
        <v>0</v>
      </c>
      <c r="J131">
        <f t="shared" ca="1" si="9"/>
        <v>0</v>
      </c>
    </row>
    <row r="132" spans="1:10" x14ac:dyDescent="0.4">
      <c r="A132" s="240">
        <v>129</v>
      </c>
      <c r="B132" s="89">
        <f t="shared" ca="1" si="7"/>
        <v>0</v>
      </c>
      <c r="E132">
        <f t="shared" ca="1" si="8"/>
        <v>1</v>
      </c>
      <c r="F132">
        <f t="shared" ca="1" si="6"/>
        <v>0</v>
      </c>
      <c r="J132">
        <f t="shared" ca="1" si="9"/>
        <v>0</v>
      </c>
    </row>
    <row r="133" spans="1:10" x14ac:dyDescent="0.4">
      <c r="A133" s="240">
        <v>130</v>
      </c>
      <c r="B133" s="89">
        <f t="shared" ca="1" si="7"/>
        <v>0</v>
      </c>
      <c r="E133">
        <f t="shared" ca="1" si="8"/>
        <v>1</v>
      </c>
      <c r="F133">
        <f t="shared" ref="F133:F196" ca="1" si="10">IF(A133&lt;$I$3,$L$2,0)</f>
        <v>0</v>
      </c>
      <c r="J133">
        <f t="shared" ca="1" si="9"/>
        <v>0</v>
      </c>
    </row>
    <row r="134" spans="1:10" x14ac:dyDescent="0.4">
      <c r="A134" s="240">
        <v>131</v>
      </c>
      <c r="B134" s="89">
        <f t="shared" ref="B134:B197" ca="1" si="11">J134*($H$3-C134+D134)</f>
        <v>0</v>
      </c>
      <c r="E134">
        <f t="shared" ca="1" si="8"/>
        <v>1</v>
      </c>
      <c r="F134">
        <f t="shared" ca="1" si="10"/>
        <v>0</v>
      </c>
      <c r="J134">
        <f t="shared" ca="1" si="9"/>
        <v>0</v>
      </c>
    </row>
    <row r="135" spans="1:10" x14ac:dyDescent="0.4">
      <c r="A135" s="240">
        <v>132</v>
      </c>
      <c r="B135" s="89">
        <f t="shared" ca="1" si="11"/>
        <v>0</v>
      </c>
      <c r="E135">
        <f t="shared" ca="1" si="8"/>
        <v>1</v>
      </c>
      <c r="F135">
        <f t="shared" ca="1" si="10"/>
        <v>0</v>
      </c>
      <c r="J135">
        <f t="shared" ca="1" si="9"/>
        <v>0</v>
      </c>
    </row>
    <row r="136" spans="1:10" x14ac:dyDescent="0.4">
      <c r="A136" s="240">
        <v>133</v>
      </c>
      <c r="B136" s="89">
        <f t="shared" ca="1" si="11"/>
        <v>0</v>
      </c>
      <c r="E136">
        <f t="shared" ca="1" si="8"/>
        <v>1</v>
      </c>
      <c r="F136">
        <f t="shared" ca="1" si="10"/>
        <v>0</v>
      </c>
      <c r="J136">
        <f t="shared" ca="1" si="9"/>
        <v>0</v>
      </c>
    </row>
    <row r="137" spans="1:10" x14ac:dyDescent="0.4">
      <c r="A137" s="240">
        <v>134</v>
      </c>
      <c r="B137" s="89">
        <f t="shared" ca="1" si="11"/>
        <v>0</v>
      </c>
      <c r="E137">
        <f t="shared" ca="1" si="8"/>
        <v>1</v>
      </c>
      <c r="F137">
        <f t="shared" ca="1" si="10"/>
        <v>0</v>
      </c>
      <c r="J137">
        <f t="shared" ca="1" si="9"/>
        <v>0</v>
      </c>
    </row>
    <row r="138" spans="1:10" x14ac:dyDescent="0.4">
      <c r="A138" s="240">
        <v>135</v>
      </c>
      <c r="B138" s="89">
        <f t="shared" ca="1" si="11"/>
        <v>0</v>
      </c>
      <c r="E138">
        <f t="shared" ca="1" si="8"/>
        <v>1</v>
      </c>
      <c r="F138">
        <f t="shared" ca="1" si="10"/>
        <v>0</v>
      </c>
      <c r="J138">
        <f t="shared" ca="1" si="9"/>
        <v>0</v>
      </c>
    </row>
    <row r="139" spans="1:10" x14ac:dyDescent="0.4">
      <c r="A139" s="240">
        <v>136</v>
      </c>
      <c r="B139" s="89">
        <f t="shared" ca="1" si="11"/>
        <v>0</v>
      </c>
      <c r="E139">
        <f t="shared" ca="1" si="8"/>
        <v>1</v>
      </c>
      <c r="F139">
        <f t="shared" ca="1" si="10"/>
        <v>0</v>
      </c>
      <c r="J139">
        <f t="shared" ca="1" si="9"/>
        <v>0</v>
      </c>
    </row>
    <row r="140" spans="1:10" x14ac:dyDescent="0.4">
      <c r="A140" s="240">
        <v>137</v>
      </c>
      <c r="B140" s="89">
        <f t="shared" ca="1" si="11"/>
        <v>0</v>
      </c>
      <c r="E140">
        <f t="shared" ca="1" si="8"/>
        <v>1</v>
      </c>
      <c r="F140">
        <f t="shared" ca="1" si="10"/>
        <v>0</v>
      </c>
      <c r="J140">
        <f t="shared" ca="1" si="9"/>
        <v>0</v>
      </c>
    </row>
    <row r="141" spans="1:10" x14ac:dyDescent="0.4">
      <c r="A141" s="240">
        <v>138</v>
      </c>
      <c r="B141" s="89">
        <f t="shared" ca="1" si="11"/>
        <v>0</v>
      </c>
      <c r="E141">
        <f t="shared" ca="1" si="8"/>
        <v>1</v>
      </c>
      <c r="F141">
        <f t="shared" ca="1" si="10"/>
        <v>0</v>
      </c>
      <c r="J141">
        <f t="shared" ca="1" si="9"/>
        <v>0</v>
      </c>
    </row>
    <row r="142" spans="1:10" x14ac:dyDescent="0.4">
      <c r="A142" s="240">
        <v>139</v>
      </c>
      <c r="B142" s="89">
        <f t="shared" ca="1" si="11"/>
        <v>0</v>
      </c>
      <c r="E142">
        <f t="shared" ca="1" si="8"/>
        <v>1</v>
      </c>
      <c r="F142">
        <f t="shared" ca="1" si="10"/>
        <v>0</v>
      </c>
      <c r="J142">
        <f t="shared" ca="1" si="9"/>
        <v>0</v>
      </c>
    </row>
    <row r="143" spans="1:10" x14ac:dyDescent="0.4">
      <c r="A143" s="240">
        <v>140</v>
      </c>
      <c r="B143" s="89">
        <f t="shared" ca="1" si="11"/>
        <v>0</v>
      </c>
      <c r="E143">
        <f t="shared" ca="1" si="8"/>
        <v>1</v>
      </c>
      <c r="F143">
        <f t="shared" ca="1" si="10"/>
        <v>0</v>
      </c>
      <c r="J143">
        <f t="shared" ca="1" si="9"/>
        <v>0</v>
      </c>
    </row>
    <row r="144" spans="1:10" x14ac:dyDescent="0.4">
      <c r="A144" s="240">
        <v>141</v>
      </c>
      <c r="B144" s="89">
        <f t="shared" ca="1" si="11"/>
        <v>0</v>
      </c>
      <c r="E144">
        <f t="shared" ca="1" si="8"/>
        <v>1</v>
      </c>
      <c r="F144">
        <f t="shared" ca="1" si="10"/>
        <v>0</v>
      </c>
      <c r="J144">
        <f t="shared" ca="1" si="9"/>
        <v>0</v>
      </c>
    </row>
    <row r="145" spans="1:10" x14ac:dyDescent="0.4">
      <c r="A145" s="240">
        <v>142</v>
      </c>
      <c r="B145" s="89">
        <f t="shared" ca="1" si="11"/>
        <v>0</v>
      </c>
      <c r="E145">
        <f t="shared" ca="1" si="8"/>
        <v>1</v>
      </c>
      <c r="F145">
        <f t="shared" ca="1" si="10"/>
        <v>0</v>
      </c>
      <c r="J145">
        <f t="shared" ca="1" si="9"/>
        <v>0</v>
      </c>
    </row>
    <row r="146" spans="1:10" x14ac:dyDescent="0.4">
      <c r="A146" s="240">
        <v>143</v>
      </c>
      <c r="B146" s="89">
        <f t="shared" ca="1" si="11"/>
        <v>0</v>
      </c>
      <c r="E146">
        <f t="shared" ca="1" si="8"/>
        <v>1</v>
      </c>
      <c r="F146">
        <f t="shared" ca="1" si="10"/>
        <v>0</v>
      </c>
      <c r="J146">
        <f t="shared" ca="1" si="9"/>
        <v>0</v>
      </c>
    </row>
    <row r="147" spans="1:10" x14ac:dyDescent="0.4">
      <c r="A147" s="240">
        <v>144</v>
      </c>
      <c r="B147" s="89">
        <f t="shared" ca="1" si="11"/>
        <v>0</v>
      </c>
      <c r="E147">
        <f t="shared" ca="1" si="8"/>
        <v>1</v>
      </c>
      <c r="F147">
        <f t="shared" ca="1" si="10"/>
        <v>0</v>
      </c>
      <c r="J147">
        <f t="shared" ca="1" si="9"/>
        <v>0</v>
      </c>
    </row>
    <row r="148" spans="1:10" x14ac:dyDescent="0.4">
      <c r="A148" s="240">
        <v>145</v>
      </c>
      <c r="B148" s="89">
        <f t="shared" ca="1" si="11"/>
        <v>0</v>
      </c>
      <c r="E148">
        <f t="shared" ca="1" si="8"/>
        <v>1</v>
      </c>
      <c r="F148">
        <f t="shared" ca="1" si="10"/>
        <v>0</v>
      </c>
      <c r="J148">
        <f t="shared" ca="1" si="9"/>
        <v>0</v>
      </c>
    </row>
    <row r="149" spans="1:10" x14ac:dyDescent="0.4">
      <c r="A149" s="240">
        <v>146</v>
      </c>
      <c r="B149" s="89">
        <f t="shared" ca="1" si="11"/>
        <v>0</v>
      </c>
      <c r="E149">
        <f t="shared" ca="1" si="8"/>
        <v>1</v>
      </c>
      <c r="F149">
        <f t="shared" ca="1" si="10"/>
        <v>0</v>
      </c>
      <c r="J149">
        <f t="shared" ca="1" si="9"/>
        <v>0</v>
      </c>
    </row>
    <row r="150" spans="1:10" x14ac:dyDescent="0.4">
      <c r="A150" s="240">
        <v>147</v>
      </c>
      <c r="B150" s="89">
        <f t="shared" ca="1" si="11"/>
        <v>0</v>
      </c>
      <c r="E150">
        <f t="shared" ca="1" si="8"/>
        <v>1</v>
      </c>
      <c r="F150">
        <f t="shared" ca="1" si="10"/>
        <v>0</v>
      </c>
      <c r="J150">
        <f t="shared" ca="1" si="9"/>
        <v>0</v>
      </c>
    </row>
    <row r="151" spans="1:10" x14ac:dyDescent="0.4">
      <c r="A151" s="240">
        <v>148</v>
      </c>
      <c r="B151" s="89">
        <f t="shared" ca="1" si="11"/>
        <v>0</v>
      </c>
      <c r="E151">
        <f t="shared" ca="1" si="8"/>
        <v>1</v>
      </c>
      <c r="F151">
        <f t="shared" ca="1" si="10"/>
        <v>0</v>
      </c>
      <c r="J151">
        <f t="shared" ca="1" si="9"/>
        <v>0</v>
      </c>
    </row>
    <row r="152" spans="1:10" x14ac:dyDescent="0.4">
      <c r="A152" s="240">
        <v>149</v>
      </c>
      <c r="B152" s="89">
        <f t="shared" ca="1" si="11"/>
        <v>0</v>
      </c>
      <c r="E152">
        <f t="shared" ca="1" si="8"/>
        <v>1</v>
      </c>
      <c r="F152">
        <f t="shared" ca="1" si="10"/>
        <v>0</v>
      </c>
      <c r="J152">
        <f t="shared" ca="1" si="9"/>
        <v>0</v>
      </c>
    </row>
    <row r="153" spans="1:10" x14ac:dyDescent="0.4">
      <c r="A153" s="240">
        <v>150</v>
      </c>
      <c r="B153" s="89">
        <f t="shared" ca="1" si="11"/>
        <v>0</v>
      </c>
      <c r="E153">
        <f t="shared" ca="1" si="8"/>
        <v>1</v>
      </c>
      <c r="F153">
        <f t="shared" ca="1" si="10"/>
        <v>0</v>
      </c>
      <c r="J153">
        <f t="shared" ca="1" si="9"/>
        <v>0</v>
      </c>
    </row>
    <row r="154" spans="1:10" x14ac:dyDescent="0.4">
      <c r="A154" s="240">
        <v>151</v>
      </c>
      <c r="B154" s="89">
        <f t="shared" ca="1" si="11"/>
        <v>0</v>
      </c>
      <c r="E154">
        <f t="shared" ref="E154:E217" ca="1" si="12">J154*(B154*$L$1+F154)-(J154-1)*$L$3</f>
        <v>1</v>
      </c>
      <c r="F154">
        <f t="shared" ca="1" si="10"/>
        <v>0</v>
      </c>
      <c r="J154">
        <f t="shared" ca="1" si="9"/>
        <v>0</v>
      </c>
    </row>
    <row r="155" spans="1:10" x14ac:dyDescent="0.4">
      <c r="A155" s="240">
        <v>152</v>
      </c>
      <c r="B155" s="89">
        <f t="shared" ca="1" si="11"/>
        <v>0</v>
      </c>
      <c r="E155">
        <f t="shared" ca="1" si="12"/>
        <v>1</v>
      </c>
      <c r="F155">
        <f t="shared" ca="1" si="10"/>
        <v>0</v>
      </c>
      <c r="J155">
        <f t="shared" ref="J155:J218" ca="1" si="13">IF($I$3&lt;=A155,0,1)</f>
        <v>0</v>
      </c>
    </row>
    <row r="156" spans="1:10" x14ac:dyDescent="0.4">
      <c r="A156" s="240">
        <v>153</v>
      </c>
      <c r="B156" s="89">
        <f t="shared" ca="1" si="11"/>
        <v>0</v>
      </c>
      <c r="E156">
        <f t="shared" ca="1" si="12"/>
        <v>1</v>
      </c>
      <c r="F156">
        <f t="shared" ca="1" si="10"/>
        <v>0</v>
      </c>
      <c r="J156">
        <f t="shared" ca="1" si="13"/>
        <v>0</v>
      </c>
    </row>
    <row r="157" spans="1:10" x14ac:dyDescent="0.4">
      <c r="A157" s="240">
        <v>154</v>
      </c>
      <c r="B157" s="89">
        <f t="shared" ca="1" si="11"/>
        <v>0</v>
      </c>
      <c r="E157">
        <f t="shared" ca="1" si="12"/>
        <v>1</v>
      </c>
      <c r="F157">
        <f t="shared" ca="1" si="10"/>
        <v>0</v>
      </c>
      <c r="J157">
        <f t="shared" ca="1" si="13"/>
        <v>0</v>
      </c>
    </row>
    <row r="158" spans="1:10" x14ac:dyDescent="0.4">
      <c r="A158" s="240">
        <v>155</v>
      </c>
      <c r="B158" s="89">
        <f t="shared" ca="1" si="11"/>
        <v>0</v>
      </c>
      <c r="E158">
        <f t="shared" ca="1" si="12"/>
        <v>1</v>
      </c>
      <c r="F158">
        <f t="shared" ca="1" si="10"/>
        <v>0</v>
      </c>
      <c r="J158">
        <f t="shared" ca="1" si="13"/>
        <v>0</v>
      </c>
    </row>
    <row r="159" spans="1:10" x14ac:dyDescent="0.4">
      <c r="A159" s="240">
        <v>156</v>
      </c>
      <c r="B159" s="89">
        <f t="shared" ca="1" si="11"/>
        <v>0</v>
      </c>
      <c r="E159">
        <f t="shared" ca="1" si="12"/>
        <v>1</v>
      </c>
      <c r="F159">
        <f t="shared" ca="1" si="10"/>
        <v>0</v>
      </c>
      <c r="J159">
        <f t="shared" ca="1" si="13"/>
        <v>0</v>
      </c>
    </row>
    <row r="160" spans="1:10" x14ac:dyDescent="0.4">
      <c r="A160" s="240">
        <v>157</v>
      </c>
      <c r="B160" s="89">
        <f t="shared" ca="1" si="11"/>
        <v>0</v>
      </c>
      <c r="E160">
        <f t="shared" ca="1" si="12"/>
        <v>1</v>
      </c>
      <c r="F160">
        <f t="shared" ca="1" si="10"/>
        <v>0</v>
      </c>
      <c r="J160">
        <f t="shared" ca="1" si="13"/>
        <v>0</v>
      </c>
    </row>
    <row r="161" spans="1:10" x14ac:dyDescent="0.4">
      <c r="A161" s="240">
        <v>158</v>
      </c>
      <c r="B161" s="89">
        <f t="shared" ca="1" si="11"/>
        <v>0</v>
      </c>
      <c r="E161">
        <f t="shared" ca="1" si="12"/>
        <v>1</v>
      </c>
      <c r="F161">
        <f t="shared" ca="1" si="10"/>
        <v>0</v>
      </c>
      <c r="J161">
        <f t="shared" ca="1" si="13"/>
        <v>0</v>
      </c>
    </row>
    <row r="162" spans="1:10" x14ac:dyDescent="0.4">
      <c r="A162" s="240">
        <v>159</v>
      </c>
      <c r="B162" s="89">
        <f t="shared" ca="1" si="11"/>
        <v>0</v>
      </c>
      <c r="E162">
        <f t="shared" ca="1" si="12"/>
        <v>1</v>
      </c>
      <c r="F162">
        <f t="shared" ca="1" si="10"/>
        <v>0</v>
      </c>
      <c r="J162">
        <f t="shared" ca="1" si="13"/>
        <v>0</v>
      </c>
    </row>
    <row r="163" spans="1:10" x14ac:dyDescent="0.4">
      <c r="A163" s="240">
        <v>160</v>
      </c>
      <c r="B163" s="89">
        <f t="shared" ca="1" si="11"/>
        <v>0</v>
      </c>
      <c r="E163">
        <f t="shared" ca="1" si="12"/>
        <v>1</v>
      </c>
      <c r="F163">
        <f t="shared" ca="1" si="10"/>
        <v>0</v>
      </c>
      <c r="J163">
        <f t="shared" ca="1" si="13"/>
        <v>0</v>
      </c>
    </row>
    <row r="164" spans="1:10" x14ac:dyDescent="0.4">
      <c r="A164" s="240">
        <v>161</v>
      </c>
      <c r="B164" s="89">
        <f t="shared" ca="1" si="11"/>
        <v>0</v>
      </c>
      <c r="E164">
        <f t="shared" ca="1" si="12"/>
        <v>1</v>
      </c>
      <c r="F164">
        <f t="shared" ca="1" si="10"/>
        <v>0</v>
      </c>
      <c r="J164">
        <f t="shared" ca="1" si="13"/>
        <v>0</v>
      </c>
    </row>
    <row r="165" spans="1:10" x14ac:dyDescent="0.4">
      <c r="A165" s="240">
        <v>162</v>
      </c>
      <c r="B165" s="89">
        <f t="shared" ca="1" si="11"/>
        <v>0</v>
      </c>
      <c r="E165">
        <f t="shared" ca="1" si="12"/>
        <v>1</v>
      </c>
      <c r="F165">
        <f t="shared" ca="1" si="10"/>
        <v>0</v>
      </c>
      <c r="J165">
        <f t="shared" ca="1" si="13"/>
        <v>0</v>
      </c>
    </row>
    <row r="166" spans="1:10" x14ac:dyDescent="0.4">
      <c r="A166" s="240">
        <v>163</v>
      </c>
      <c r="B166" s="89">
        <f t="shared" ca="1" si="11"/>
        <v>0</v>
      </c>
      <c r="E166">
        <f t="shared" ca="1" si="12"/>
        <v>1</v>
      </c>
      <c r="F166">
        <f t="shared" ca="1" si="10"/>
        <v>0</v>
      </c>
      <c r="J166">
        <f t="shared" ca="1" si="13"/>
        <v>0</v>
      </c>
    </row>
    <row r="167" spans="1:10" x14ac:dyDescent="0.4">
      <c r="A167" s="240">
        <v>164</v>
      </c>
      <c r="B167" s="89">
        <f t="shared" ca="1" si="11"/>
        <v>0</v>
      </c>
      <c r="E167">
        <f t="shared" ca="1" si="12"/>
        <v>1</v>
      </c>
      <c r="F167">
        <f t="shared" ca="1" si="10"/>
        <v>0</v>
      </c>
      <c r="J167">
        <f t="shared" ca="1" si="13"/>
        <v>0</v>
      </c>
    </row>
    <row r="168" spans="1:10" x14ac:dyDescent="0.4">
      <c r="A168" s="240">
        <v>165</v>
      </c>
      <c r="B168" s="89">
        <f t="shared" ca="1" si="11"/>
        <v>0</v>
      </c>
      <c r="E168">
        <f t="shared" ca="1" si="12"/>
        <v>1</v>
      </c>
      <c r="F168">
        <f t="shared" ca="1" si="10"/>
        <v>0</v>
      </c>
      <c r="J168">
        <f t="shared" ca="1" si="13"/>
        <v>0</v>
      </c>
    </row>
    <row r="169" spans="1:10" x14ac:dyDescent="0.4">
      <c r="A169" s="240">
        <v>166</v>
      </c>
      <c r="B169" s="89">
        <f t="shared" ca="1" si="11"/>
        <v>0</v>
      </c>
      <c r="E169">
        <f t="shared" ca="1" si="12"/>
        <v>1</v>
      </c>
      <c r="F169">
        <f t="shared" ca="1" si="10"/>
        <v>0</v>
      </c>
      <c r="J169">
        <f t="shared" ca="1" si="13"/>
        <v>0</v>
      </c>
    </row>
    <row r="170" spans="1:10" x14ac:dyDescent="0.4">
      <c r="A170" s="240">
        <v>167</v>
      </c>
      <c r="B170" s="89">
        <f t="shared" ca="1" si="11"/>
        <v>0</v>
      </c>
      <c r="E170">
        <f t="shared" ca="1" si="12"/>
        <v>1</v>
      </c>
      <c r="F170">
        <f t="shared" ca="1" si="10"/>
        <v>0</v>
      </c>
      <c r="J170">
        <f t="shared" ca="1" si="13"/>
        <v>0</v>
      </c>
    </row>
    <row r="171" spans="1:10" x14ac:dyDescent="0.4">
      <c r="A171" s="240">
        <v>168</v>
      </c>
      <c r="B171" s="89">
        <f t="shared" ca="1" si="11"/>
        <v>0</v>
      </c>
      <c r="E171">
        <f t="shared" ca="1" si="12"/>
        <v>1</v>
      </c>
      <c r="F171">
        <f t="shared" ca="1" si="10"/>
        <v>0</v>
      </c>
      <c r="J171">
        <f t="shared" ca="1" si="13"/>
        <v>0</v>
      </c>
    </row>
    <row r="172" spans="1:10" x14ac:dyDescent="0.4">
      <c r="A172" s="240">
        <v>169</v>
      </c>
      <c r="B172" s="89">
        <f t="shared" ca="1" si="11"/>
        <v>0</v>
      </c>
      <c r="E172">
        <f t="shared" ca="1" si="12"/>
        <v>1</v>
      </c>
      <c r="F172">
        <f t="shared" ca="1" si="10"/>
        <v>0</v>
      </c>
      <c r="J172">
        <f t="shared" ca="1" si="13"/>
        <v>0</v>
      </c>
    </row>
    <row r="173" spans="1:10" x14ac:dyDescent="0.4">
      <c r="A173" s="240">
        <v>170</v>
      </c>
      <c r="B173" s="89">
        <f t="shared" ca="1" si="11"/>
        <v>0</v>
      </c>
      <c r="E173">
        <f t="shared" ca="1" si="12"/>
        <v>1</v>
      </c>
      <c r="F173">
        <f t="shared" ca="1" si="10"/>
        <v>0</v>
      </c>
      <c r="J173">
        <f t="shared" ca="1" si="13"/>
        <v>0</v>
      </c>
    </row>
    <row r="174" spans="1:10" x14ac:dyDescent="0.4">
      <c r="A174" s="240">
        <v>171</v>
      </c>
      <c r="B174" s="89">
        <f t="shared" ca="1" si="11"/>
        <v>0</v>
      </c>
      <c r="E174">
        <f t="shared" ca="1" si="12"/>
        <v>1</v>
      </c>
      <c r="F174">
        <f t="shared" ca="1" si="10"/>
        <v>0</v>
      </c>
      <c r="J174">
        <f t="shared" ca="1" si="13"/>
        <v>0</v>
      </c>
    </row>
    <row r="175" spans="1:10" x14ac:dyDescent="0.4">
      <c r="A175" s="240">
        <v>172</v>
      </c>
      <c r="B175" s="89">
        <f t="shared" ca="1" si="11"/>
        <v>0</v>
      </c>
      <c r="E175">
        <f t="shared" ca="1" si="12"/>
        <v>1</v>
      </c>
      <c r="F175">
        <f t="shared" ca="1" si="10"/>
        <v>0</v>
      </c>
      <c r="J175">
        <f t="shared" ca="1" si="13"/>
        <v>0</v>
      </c>
    </row>
    <row r="176" spans="1:10" x14ac:dyDescent="0.4">
      <c r="A176" s="240">
        <v>173</v>
      </c>
      <c r="B176" s="89">
        <f t="shared" ca="1" si="11"/>
        <v>0</v>
      </c>
      <c r="E176">
        <f t="shared" ca="1" si="12"/>
        <v>1</v>
      </c>
      <c r="F176">
        <f t="shared" ca="1" si="10"/>
        <v>0</v>
      </c>
      <c r="J176">
        <f t="shared" ca="1" si="13"/>
        <v>0</v>
      </c>
    </row>
    <row r="177" spans="1:10" x14ac:dyDescent="0.4">
      <c r="A177" s="240">
        <v>174</v>
      </c>
      <c r="B177" s="89">
        <f t="shared" ca="1" si="11"/>
        <v>0</v>
      </c>
      <c r="E177">
        <f t="shared" ca="1" si="12"/>
        <v>1</v>
      </c>
      <c r="F177">
        <f t="shared" ca="1" si="10"/>
        <v>0</v>
      </c>
      <c r="J177">
        <f t="shared" ca="1" si="13"/>
        <v>0</v>
      </c>
    </row>
    <row r="178" spans="1:10" x14ac:dyDescent="0.4">
      <c r="A178" s="240">
        <v>175</v>
      </c>
      <c r="B178" s="89">
        <f t="shared" ca="1" si="11"/>
        <v>0</v>
      </c>
      <c r="E178">
        <f t="shared" ca="1" si="12"/>
        <v>1</v>
      </c>
      <c r="F178">
        <f t="shared" ca="1" si="10"/>
        <v>0</v>
      </c>
      <c r="J178">
        <f t="shared" ca="1" si="13"/>
        <v>0</v>
      </c>
    </row>
    <row r="179" spans="1:10" x14ac:dyDescent="0.4">
      <c r="A179" s="240">
        <v>176</v>
      </c>
      <c r="B179" s="89">
        <f t="shared" ca="1" si="11"/>
        <v>0</v>
      </c>
      <c r="E179">
        <f t="shared" ca="1" si="12"/>
        <v>1</v>
      </c>
      <c r="F179">
        <f t="shared" ca="1" si="10"/>
        <v>0</v>
      </c>
      <c r="J179">
        <f t="shared" ca="1" si="13"/>
        <v>0</v>
      </c>
    </row>
    <row r="180" spans="1:10" x14ac:dyDescent="0.4">
      <c r="A180" s="240">
        <v>177</v>
      </c>
      <c r="B180" s="89">
        <f t="shared" ca="1" si="11"/>
        <v>0</v>
      </c>
      <c r="E180">
        <f t="shared" ca="1" si="12"/>
        <v>1</v>
      </c>
      <c r="F180">
        <f t="shared" ca="1" si="10"/>
        <v>0</v>
      </c>
      <c r="J180">
        <f t="shared" ca="1" si="13"/>
        <v>0</v>
      </c>
    </row>
    <row r="181" spans="1:10" x14ac:dyDescent="0.4">
      <c r="A181" s="240">
        <v>178</v>
      </c>
      <c r="B181" s="89">
        <f t="shared" ca="1" si="11"/>
        <v>0</v>
      </c>
      <c r="E181">
        <f t="shared" ca="1" si="12"/>
        <v>1</v>
      </c>
      <c r="F181">
        <f t="shared" ca="1" si="10"/>
        <v>0</v>
      </c>
      <c r="J181">
        <f t="shared" ca="1" si="13"/>
        <v>0</v>
      </c>
    </row>
    <row r="182" spans="1:10" x14ac:dyDescent="0.4">
      <c r="A182" s="240">
        <v>179</v>
      </c>
      <c r="B182" s="89">
        <f t="shared" ca="1" si="11"/>
        <v>0</v>
      </c>
      <c r="E182">
        <f t="shared" ca="1" si="12"/>
        <v>1</v>
      </c>
      <c r="F182">
        <f t="shared" ca="1" si="10"/>
        <v>0</v>
      </c>
      <c r="J182">
        <f t="shared" ca="1" si="13"/>
        <v>0</v>
      </c>
    </row>
    <row r="183" spans="1:10" x14ac:dyDescent="0.4">
      <c r="A183" s="240">
        <v>180</v>
      </c>
      <c r="B183" s="89">
        <f t="shared" ca="1" si="11"/>
        <v>0</v>
      </c>
      <c r="E183">
        <f t="shared" ca="1" si="12"/>
        <v>1</v>
      </c>
      <c r="F183">
        <f t="shared" ca="1" si="10"/>
        <v>0</v>
      </c>
      <c r="J183">
        <f t="shared" ca="1" si="13"/>
        <v>0</v>
      </c>
    </row>
    <row r="184" spans="1:10" x14ac:dyDescent="0.4">
      <c r="A184" s="240">
        <v>181</v>
      </c>
      <c r="B184" s="89">
        <f t="shared" ca="1" si="11"/>
        <v>0</v>
      </c>
      <c r="E184">
        <f t="shared" ca="1" si="12"/>
        <v>1</v>
      </c>
      <c r="F184">
        <f t="shared" ca="1" si="10"/>
        <v>0</v>
      </c>
      <c r="J184">
        <f t="shared" ca="1" si="13"/>
        <v>0</v>
      </c>
    </row>
    <row r="185" spans="1:10" x14ac:dyDescent="0.4">
      <c r="A185" s="240">
        <v>182</v>
      </c>
      <c r="B185" s="89">
        <f t="shared" ca="1" si="11"/>
        <v>0</v>
      </c>
      <c r="E185">
        <f t="shared" ca="1" si="12"/>
        <v>1</v>
      </c>
      <c r="F185">
        <f t="shared" ca="1" si="10"/>
        <v>0</v>
      </c>
      <c r="J185">
        <f t="shared" ca="1" si="13"/>
        <v>0</v>
      </c>
    </row>
    <row r="186" spans="1:10" x14ac:dyDescent="0.4">
      <c r="A186" s="240">
        <v>183</v>
      </c>
      <c r="B186" s="89">
        <f t="shared" ca="1" si="11"/>
        <v>0</v>
      </c>
      <c r="E186">
        <f t="shared" ca="1" si="12"/>
        <v>1</v>
      </c>
      <c r="F186">
        <f t="shared" ca="1" si="10"/>
        <v>0</v>
      </c>
      <c r="J186">
        <f t="shared" ca="1" si="13"/>
        <v>0</v>
      </c>
    </row>
    <row r="187" spans="1:10" x14ac:dyDescent="0.4">
      <c r="A187" s="240">
        <v>184</v>
      </c>
      <c r="B187" s="89">
        <f t="shared" ca="1" si="11"/>
        <v>0</v>
      </c>
      <c r="E187">
        <f t="shared" ca="1" si="12"/>
        <v>1</v>
      </c>
      <c r="F187">
        <f t="shared" ca="1" si="10"/>
        <v>0</v>
      </c>
      <c r="J187">
        <f t="shared" ca="1" si="13"/>
        <v>0</v>
      </c>
    </row>
    <row r="188" spans="1:10" x14ac:dyDescent="0.4">
      <c r="A188" s="240">
        <v>185</v>
      </c>
      <c r="B188" s="89">
        <f t="shared" ca="1" si="11"/>
        <v>0</v>
      </c>
      <c r="E188">
        <f t="shared" ca="1" si="12"/>
        <v>1</v>
      </c>
      <c r="F188">
        <f t="shared" ca="1" si="10"/>
        <v>0</v>
      </c>
      <c r="J188">
        <f t="shared" ca="1" si="13"/>
        <v>0</v>
      </c>
    </row>
    <row r="189" spans="1:10" x14ac:dyDescent="0.4">
      <c r="A189" s="240">
        <v>186</v>
      </c>
      <c r="B189" s="89">
        <f t="shared" ca="1" si="11"/>
        <v>0</v>
      </c>
      <c r="E189">
        <f t="shared" ca="1" si="12"/>
        <v>1</v>
      </c>
      <c r="F189">
        <f t="shared" ca="1" si="10"/>
        <v>0</v>
      </c>
      <c r="J189">
        <f t="shared" ca="1" si="13"/>
        <v>0</v>
      </c>
    </row>
    <row r="190" spans="1:10" x14ac:dyDescent="0.4">
      <c r="A190" s="240">
        <v>187</v>
      </c>
      <c r="B190" s="89">
        <f t="shared" ca="1" si="11"/>
        <v>0</v>
      </c>
      <c r="E190">
        <f t="shared" ca="1" si="12"/>
        <v>1</v>
      </c>
      <c r="F190">
        <f t="shared" ca="1" si="10"/>
        <v>0</v>
      </c>
      <c r="J190">
        <f t="shared" ca="1" si="13"/>
        <v>0</v>
      </c>
    </row>
    <row r="191" spans="1:10" x14ac:dyDescent="0.4">
      <c r="A191" s="240">
        <v>188</v>
      </c>
      <c r="B191" s="89">
        <f t="shared" ca="1" si="11"/>
        <v>0</v>
      </c>
      <c r="E191">
        <f t="shared" ca="1" si="12"/>
        <v>1</v>
      </c>
      <c r="F191">
        <f t="shared" ca="1" si="10"/>
        <v>0</v>
      </c>
      <c r="J191">
        <f t="shared" ca="1" si="13"/>
        <v>0</v>
      </c>
    </row>
    <row r="192" spans="1:10" x14ac:dyDescent="0.4">
      <c r="A192" s="240">
        <v>189</v>
      </c>
      <c r="B192" s="89">
        <f t="shared" ca="1" si="11"/>
        <v>0</v>
      </c>
      <c r="E192">
        <f t="shared" ca="1" si="12"/>
        <v>1</v>
      </c>
      <c r="F192">
        <f t="shared" ca="1" si="10"/>
        <v>0</v>
      </c>
      <c r="J192">
        <f t="shared" ca="1" si="13"/>
        <v>0</v>
      </c>
    </row>
    <row r="193" spans="1:10" x14ac:dyDescent="0.4">
      <c r="A193" s="240">
        <v>190</v>
      </c>
      <c r="B193" s="89">
        <f t="shared" ca="1" si="11"/>
        <v>0</v>
      </c>
      <c r="E193">
        <f t="shared" ca="1" si="12"/>
        <v>1</v>
      </c>
      <c r="F193">
        <f t="shared" ca="1" si="10"/>
        <v>0</v>
      </c>
      <c r="J193">
        <f t="shared" ca="1" si="13"/>
        <v>0</v>
      </c>
    </row>
    <row r="194" spans="1:10" x14ac:dyDescent="0.4">
      <c r="A194" s="240">
        <v>191</v>
      </c>
      <c r="B194" s="89">
        <f t="shared" ca="1" si="11"/>
        <v>0</v>
      </c>
      <c r="E194">
        <f t="shared" ca="1" si="12"/>
        <v>1</v>
      </c>
      <c r="F194">
        <f t="shared" ca="1" si="10"/>
        <v>0</v>
      </c>
      <c r="J194">
        <f t="shared" ca="1" si="13"/>
        <v>0</v>
      </c>
    </row>
    <row r="195" spans="1:10" x14ac:dyDescent="0.4">
      <c r="A195" s="240">
        <v>192</v>
      </c>
      <c r="B195" s="89">
        <f t="shared" ca="1" si="11"/>
        <v>0</v>
      </c>
      <c r="E195">
        <f t="shared" ca="1" si="12"/>
        <v>1</v>
      </c>
      <c r="F195">
        <f t="shared" ca="1" si="10"/>
        <v>0</v>
      </c>
      <c r="J195">
        <f t="shared" ca="1" si="13"/>
        <v>0</v>
      </c>
    </row>
    <row r="196" spans="1:10" x14ac:dyDescent="0.4">
      <c r="A196" s="240">
        <v>193</v>
      </c>
      <c r="B196" s="89">
        <f t="shared" ca="1" si="11"/>
        <v>0</v>
      </c>
      <c r="E196">
        <f t="shared" ca="1" si="12"/>
        <v>1</v>
      </c>
      <c r="F196">
        <f t="shared" ca="1" si="10"/>
        <v>0</v>
      </c>
      <c r="J196">
        <f t="shared" ca="1" si="13"/>
        <v>0</v>
      </c>
    </row>
    <row r="197" spans="1:10" x14ac:dyDescent="0.4">
      <c r="A197" s="240">
        <v>194</v>
      </c>
      <c r="B197" s="89">
        <f t="shared" ca="1" si="11"/>
        <v>0</v>
      </c>
      <c r="E197">
        <f t="shared" ca="1" si="12"/>
        <v>1</v>
      </c>
      <c r="F197">
        <f t="shared" ref="F197:F259" ca="1" si="14">IF(A197&lt;$I$3,$L$2,0)</f>
        <v>0</v>
      </c>
      <c r="J197">
        <f t="shared" ca="1" si="13"/>
        <v>0</v>
      </c>
    </row>
    <row r="198" spans="1:10" x14ac:dyDescent="0.4">
      <c r="A198" s="240">
        <v>195</v>
      </c>
      <c r="B198" s="89">
        <f t="shared" ref="B198:B259" ca="1" si="15">J198*($H$3-C198+D198)</f>
        <v>0</v>
      </c>
      <c r="E198">
        <f t="shared" ca="1" si="12"/>
        <v>1</v>
      </c>
      <c r="F198">
        <f t="shared" ca="1" si="14"/>
        <v>0</v>
      </c>
      <c r="J198">
        <f t="shared" ca="1" si="13"/>
        <v>0</v>
      </c>
    </row>
    <row r="199" spans="1:10" x14ac:dyDescent="0.4">
      <c r="A199" s="240">
        <v>196</v>
      </c>
      <c r="B199" s="89">
        <f t="shared" ca="1" si="15"/>
        <v>0</v>
      </c>
      <c r="E199">
        <f t="shared" ca="1" si="12"/>
        <v>1</v>
      </c>
      <c r="F199">
        <f t="shared" ca="1" si="14"/>
        <v>0</v>
      </c>
      <c r="J199">
        <f t="shared" ca="1" si="13"/>
        <v>0</v>
      </c>
    </row>
    <row r="200" spans="1:10" x14ac:dyDescent="0.4">
      <c r="A200" s="240">
        <v>197</v>
      </c>
      <c r="B200" s="89">
        <f t="shared" ca="1" si="15"/>
        <v>0</v>
      </c>
      <c r="E200">
        <f t="shared" ca="1" si="12"/>
        <v>1</v>
      </c>
      <c r="F200">
        <f t="shared" ca="1" si="14"/>
        <v>0</v>
      </c>
      <c r="J200">
        <f t="shared" ca="1" si="13"/>
        <v>0</v>
      </c>
    </row>
    <row r="201" spans="1:10" x14ac:dyDescent="0.4">
      <c r="A201" s="240">
        <v>198</v>
      </c>
      <c r="B201" s="89">
        <f t="shared" ca="1" si="15"/>
        <v>0</v>
      </c>
      <c r="E201">
        <f t="shared" ca="1" si="12"/>
        <v>1</v>
      </c>
      <c r="F201">
        <f t="shared" ca="1" si="14"/>
        <v>0</v>
      </c>
      <c r="J201">
        <f t="shared" ca="1" si="13"/>
        <v>0</v>
      </c>
    </row>
    <row r="202" spans="1:10" x14ac:dyDescent="0.4">
      <c r="A202" s="240">
        <v>199</v>
      </c>
      <c r="B202" s="89">
        <f t="shared" ca="1" si="15"/>
        <v>0</v>
      </c>
      <c r="E202">
        <f t="shared" ca="1" si="12"/>
        <v>1</v>
      </c>
      <c r="F202">
        <f t="shared" ca="1" si="14"/>
        <v>0</v>
      </c>
      <c r="J202">
        <f t="shared" ca="1" si="13"/>
        <v>0</v>
      </c>
    </row>
    <row r="203" spans="1:10" x14ac:dyDescent="0.4">
      <c r="A203" s="240">
        <v>200</v>
      </c>
      <c r="B203" s="89">
        <f t="shared" ca="1" si="15"/>
        <v>0</v>
      </c>
      <c r="E203">
        <f t="shared" ca="1" si="12"/>
        <v>1</v>
      </c>
      <c r="F203">
        <f t="shared" ca="1" si="14"/>
        <v>0</v>
      </c>
      <c r="J203">
        <f t="shared" ca="1" si="13"/>
        <v>0</v>
      </c>
    </row>
    <row r="204" spans="1:10" x14ac:dyDescent="0.4">
      <c r="A204" s="240">
        <v>201</v>
      </c>
      <c r="B204" s="89">
        <f t="shared" ca="1" si="15"/>
        <v>0</v>
      </c>
      <c r="E204">
        <f t="shared" ca="1" si="12"/>
        <v>1</v>
      </c>
      <c r="F204">
        <f t="shared" ca="1" si="14"/>
        <v>0</v>
      </c>
      <c r="J204">
        <f t="shared" ca="1" si="13"/>
        <v>0</v>
      </c>
    </row>
    <row r="205" spans="1:10" x14ac:dyDescent="0.4">
      <c r="A205" s="240">
        <v>202</v>
      </c>
      <c r="B205" s="89">
        <f t="shared" ca="1" si="15"/>
        <v>0</v>
      </c>
      <c r="E205">
        <f t="shared" ca="1" si="12"/>
        <v>1</v>
      </c>
      <c r="F205">
        <f t="shared" ca="1" si="14"/>
        <v>0</v>
      </c>
      <c r="J205">
        <f t="shared" ca="1" si="13"/>
        <v>0</v>
      </c>
    </row>
    <row r="206" spans="1:10" x14ac:dyDescent="0.4">
      <c r="A206" s="240">
        <v>203</v>
      </c>
      <c r="B206" s="89">
        <f t="shared" ca="1" si="15"/>
        <v>0</v>
      </c>
      <c r="E206">
        <f t="shared" ca="1" si="12"/>
        <v>1</v>
      </c>
      <c r="F206">
        <f t="shared" ca="1" si="14"/>
        <v>0</v>
      </c>
      <c r="J206">
        <f t="shared" ca="1" si="13"/>
        <v>0</v>
      </c>
    </row>
    <row r="207" spans="1:10" x14ac:dyDescent="0.4">
      <c r="A207" s="240">
        <v>204</v>
      </c>
      <c r="B207" s="89">
        <f t="shared" ca="1" si="15"/>
        <v>0</v>
      </c>
      <c r="E207">
        <f t="shared" ca="1" si="12"/>
        <v>1</v>
      </c>
      <c r="F207">
        <f t="shared" ca="1" si="14"/>
        <v>0</v>
      </c>
      <c r="J207">
        <f t="shared" ca="1" si="13"/>
        <v>0</v>
      </c>
    </row>
    <row r="208" spans="1:10" x14ac:dyDescent="0.4">
      <c r="A208" s="240">
        <v>205</v>
      </c>
      <c r="B208" s="89">
        <f t="shared" ca="1" si="15"/>
        <v>0</v>
      </c>
      <c r="E208">
        <f t="shared" ca="1" si="12"/>
        <v>1</v>
      </c>
      <c r="F208">
        <f t="shared" ca="1" si="14"/>
        <v>0</v>
      </c>
      <c r="J208">
        <f t="shared" ca="1" si="13"/>
        <v>0</v>
      </c>
    </row>
    <row r="209" spans="1:10" x14ac:dyDescent="0.4">
      <c r="A209" s="240">
        <v>206</v>
      </c>
      <c r="B209" s="89">
        <f t="shared" ca="1" si="15"/>
        <v>0</v>
      </c>
      <c r="E209">
        <f t="shared" ca="1" si="12"/>
        <v>1</v>
      </c>
      <c r="F209">
        <f t="shared" ca="1" si="14"/>
        <v>0</v>
      </c>
      <c r="J209">
        <f t="shared" ca="1" si="13"/>
        <v>0</v>
      </c>
    </row>
    <row r="210" spans="1:10" x14ac:dyDescent="0.4">
      <c r="A210" s="240">
        <v>207</v>
      </c>
      <c r="B210" s="89">
        <f t="shared" ca="1" si="15"/>
        <v>0</v>
      </c>
      <c r="E210">
        <f t="shared" ca="1" si="12"/>
        <v>1</v>
      </c>
      <c r="F210">
        <f t="shared" ca="1" si="14"/>
        <v>0</v>
      </c>
      <c r="J210">
        <f t="shared" ca="1" si="13"/>
        <v>0</v>
      </c>
    </row>
    <row r="211" spans="1:10" x14ac:dyDescent="0.4">
      <c r="A211" s="240">
        <v>208</v>
      </c>
      <c r="B211" s="89">
        <f t="shared" ca="1" si="15"/>
        <v>0</v>
      </c>
      <c r="E211">
        <f t="shared" ca="1" si="12"/>
        <v>1</v>
      </c>
      <c r="F211">
        <f t="shared" ca="1" si="14"/>
        <v>0</v>
      </c>
      <c r="J211">
        <f t="shared" ca="1" si="13"/>
        <v>0</v>
      </c>
    </row>
    <row r="212" spans="1:10" x14ac:dyDescent="0.4">
      <c r="A212" s="240">
        <v>209</v>
      </c>
      <c r="B212" s="89">
        <f t="shared" ca="1" si="15"/>
        <v>0</v>
      </c>
      <c r="E212">
        <f t="shared" ca="1" si="12"/>
        <v>1</v>
      </c>
      <c r="F212">
        <f t="shared" ca="1" si="14"/>
        <v>0</v>
      </c>
      <c r="J212">
        <f t="shared" ca="1" si="13"/>
        <v>0</v>
      </c>
    </row>
    <row r="213" spans="1:10" x14ac:dyDescent="0.4">
      <c r="A213" s="240">
        <v>210</v>
      </c>
      <c r="B213" s="89">
        <f t="shared" ca="1" si="15"/>
        <v>0</v>
      </c>
      <c r="E213">
        <f t="shared" ca="1" si="12"/>
        <v>1</v>
      </c>
      <c r="F213">
        <f t="shared" ca="1" si="14"/>
        <v>0</v>
      </c>
      <c r="J213">
        <f t="shared" ca="1" si="13"/>
        <v>0</v>
      </c>
    </row>
    <row r="214" spans="1:10" x14ac:dyDescent="0.4">
      <c r="A214" s="240">
        <v>211</v>
      </c>
      <c r="B214" s="89">
        <f t="shared" ca="1" si="15"/>
        <v>0</v>
      </c>
      <c r="E214">
        <f t="shared" ca="1" si="12"/>
        <v>1</v>
      </c>
      <c r="F214">
        <f t="shared" ca="1" si="14"/>
        <v>0</v>
      </c>
      <c r="J214">
        <f t="shared" ca="1" si="13"/>
        <v>0</v>
      </c>
    </row>
    <row r="215" spans="1:10" x14ac:dyDescent="0.4">
      <c r="A215" s="240">
        <v>212</v>
      </c>
      <c r="B215" s="89">
        <f t="shared" ca="1" si="15"/>
        <v>0</v>
      </c>
      <c r="E215">
        <f t="shared" ca="1" si="12"/>
        <v>1</v>
      </c>
      <c r="F215">
        <f t="shared" ca="1" si="14"/>
        <v>0</v>
      </c>
      <c r="J215">
        <f t="shared" ca="1" si="13"/>
        <v>0</v>
      </c>
    </row>
    <row r="216" spans="1:10" x14ac:dyDescent="0.4">
      <c r="A216" s="240">
        <v>213</v>
      </c>
      <c r="B216" s="89">
        <f t="shared" ca="1" si="15"/>
        <v>0</v>
      </c>
      <c r="E216">
        <f t="shared" ca="1" si="12"/>
        <v>1</v>
      </c>
      <c r="F216">
        <f t="shared" ca="1" si="14"/>
        <v>0</v>
      </c>
      <c r="J216">
        <f t="shared" ca="1" si="13"/>
        <v>0</v>
      </c>
    </row>
    <row r="217" spans="1:10" x14ac:dyDescent="0.4">
      <c r="A217" s="240">
        <v>214</v>
      </c>
      <c r="B217" s="89">
        <f t="shared" ca="1" si="15"/>
        <v>0</v>
      </c>
      <c r="E217">
        <f t="shared" ca="1" si="12"/>
        <v>1</v>
      </c>
      <c r="F217">
        <f t="shared" ca="1" si="14"/>
        <v>0</v>
      </c>
      <c r="J217">
        <f t="shared" ca="1" si="13"/>
        <v>0</v>
      </c>
    </row>
    <row r="218" spans="1:10" x14ac:dyDescent="0.4">
      <c r="A218" s="240">
        <v>215</v>
      </c>
      <c r="B218" s="89">
        <f t="shared" ca="1" si="15"/>
        <v>0</v>
      </c>
      <c r="E218">
        <f t="shared" ref="E218:E259" ca="1" si="16">J218*(B218*$L$1+F218)-(J218-1)*$L$3</f>
        <v>1</v>
      </c>
      <c r="F218">
        <f t="shared" ca="1" si="14"/>
        <v>0</v>
      </c>
      <c r="J218">
        <f t="shared" ca="1" si="13"/>
        <v>0</v>
      </c>
    </row>
    <row r="219" spans="1:10" x14ac:dyDescent="0.4">
      <c r="A219" s="240">
        <v>216</v>
      </c>
      <c r="B219" s="89">
        <f t="shared" ca="1" si="15"/>
        <v>0</v>
      </c>
      <c r="E219">
        <f t="shared" ca="1" si="16"/>
        <v>1</v>
      </c>
      <c r="F219">
        <f t="shared" ca="1" si="14"/>
        <v>0</v>
      </c>
      <c r="J219">
        <f t="shared" ref="J219:J259" ca="1" si="17">IF($I$3&lt;=A219,0,1)</f>
        <v>0</v>
      </c>
    </row>
    <row r="220" spans="1:10" x14ac:dyDescent="0.4">
      <c r="A220" s="240">
        <v>217</v>
      </c>
      <c r="B220" s="89">
        <f t="shared" ca="1" si="15"/>
        <v>0</v>
      </c>
      <c r="E220">
        <f t="shared" ca="1" si="16"/>
        <v>1</v>
      </c>
      <c r="F220">
        <f t="shared" ca="1" si="14"/>
        <v>0</v>
      </c>
      <c r="J220">
        <f t="shared" ca="1" si="17"/>
        <v>0</v>
      </c>
    </row>
    <row r="221" spans="1:10" x14ac:dyDescent="0.4">
      <c r="A221" s="240">
        <v>218</v>
      </c>
      <c r="B221" s="89">
        <f t="shared" ca="1" si="15"/>
        <v>0</v>
      </c>
      <c r="E221">
        <f t="shared" ca="1" si="16"/>
        <v>1</v>
      </c>
      <c r="F221">
        <f t="shared" ca="1" si="14"/>
        <v>0</v>
      </c>
      <c r="J221">
        <f t="shared" ca="1" si="17"/>
        <v>0</v>
      </c>
    </row>
    <row r="222" spans="1:10" x14ac:dyDescent="0.4">
      <c r="A222" s="240">
        <v>219</v>
      </c>
      <c r="B222" s="89">
        <f t="shared" ca="1" si="15"/>
        <v>0</v>
      </c>
      <c r="E222">
        <f t="shared" ca="1" si="16"/>
        <v>1</v>
      </c>
      <c r="F222">
        <f t="shared" ca="1" si="14"/>
        <v>0</v>
      </c>
      <c r="J222">
        <f t="shared" ca="1" si="17"/>
        <v>0</v>
      </c>
    </row>
    <row r="223" spans="1:10" x14ac:dyDescent="0.4">
      <c r="A223" s="240">
        <v>220</v>
      </c>
      <c r="B223" s="89">
        <f t="shared" ca="1" si="15"/>
        <v>0</v>
      </c>
      <c r="E223">
        <f t="shared" ca="1" si="16"/>
        <v>1</v>
      </c>
      <c r="F223">
        <f t="shared" ca="1" si="14"/>
        <v>0</v>
      </c>
      <c r="J223">
        <f t="shared" ca="1" si="17"/>
        <v>0</v>
      </c>
    </row>
    <row r="224" spans="1:10" x14ac:dyDescent="0.4">
      <c r="A224" s="240">
        <v>221</v>
      </c>
      <c r="B224" s="89">
        <f t="shared" ca="1" si="15"/>
        <v>0</v>
      </c>
      <c r="E224">
        <f t="shared" ca="1" si="16"/>
        <v>1</v>
      </c>
      <c r="F224">
        <f t="shared" ca="1" si="14"/>
        <v>0</v>
      </c>
      <c r="J224">
        <f t="shared" ca="1" si="17"/>
        <v>0</v>
      </c>
    </row>
    <row r="225" spans="1:10" x14ac:dyDescent="0.4">
      <c r="A225" s="240">
        <v>222</v>
      </c>
      <c r="B225" s="89">
        <f t="shared" ca="1" si="15"/>
        <v>0</v>
      </c>
      <c r="E225">
        <f t="shared" ca="1" si="16"/>
        <v>1</v>
      </c>
      <c r="F225">
        <f t="shared" ca="1" si="14"/>
        <v>0</v>
      </c>
      <c r="J225">
        <f t="shared" ca="1" si="17"/>
        <v>0</v>
      </c>
    </row>
    <row r="226" spans="1:10" x14ac:dyDescent="0.4">
      <c r="A226" s="240">
        <v>223</v>
      </c>
      <c r="B226" s="89">
        <f t="shared" ca="1" si="15"/>
        <v>0</v>
      </c>
      <c r="E226">
        <f t="shared" ca="1" si="16"/>
        <v>1</v>
      </c>
      <c r="F226">
        <f t="shared" ca="1" si="14"/>
        <v>0</v>
      </c>
      <c r="J226">
        <f t="shared" ca="1" si="17"/>
        <v>0</v>
      </c>
    </row>
    <row r="227" spans="1:10" x14ac:dyDescent="0.4">
      <c r="A227" s="240">
        <v>224</v>
      </c>
      <c r="B227" s="89">
        <f t="shared" ca="1" si="15"/>
        <v>0</v>
      </c>
      <c r="E227">
        <f t="shared" ca="1" si="16"/>
        <v>1</v>
      </c>
      <c r="F227">
        <f t="shared" ca="1" si="14"/>
        <v>0</v>
      </c>
      <c r="J227">
        <f t="shared" ca="1" si="17"/>
        <v>0</v>
      </c>
    </row>
    <row r="228" spans="1:10" x14ac:dyDescent="0.4">
      <c r="A228" s="240">
        <v>225</v>
      </c>
      <c r="B228" s="89">
        <f t="shared" ca="1" si="15"/>
        <v>0</v>
      </c>
      <c r="E228">
        <f t="shared" ca="1" si="16"/>
        <v>1</v>
      </c>
      <c r="F228">
        <f t="shared" ca="1" si="14"/>
        <v>0</v>
      </c>
      <c r="J228">
        <f t="shared" ca="1" si="17"/>
        <v>0</v>
      </c>
    </row>
    <row r="229" spans="1:10" x14ac:dyDescent="0.4">
      <c r="A229" s="240">
        <v>226</v>
      </c>
      <c r="B229" s="89">
        <f t="shared" ca="1" si="15"/>
        <v>0</v>
      </c>
      <c r="E229">
        <f t="shared" ca="1" si="16"/>
        <v>1</v>
      </c>
      <c r="F229">
        <f t="shared" ca="1" si="14"/>
        <v>0</v>
      </c>
      <c r="J229">
        <f t="shared" ca="1" si="17"/>
        <v>0</v>
      </c>
    </row>
    <row r="230" spans="1:10" x14ac:dyDescent="0.4">
      <c r="A230" s="240">
        <v>227</v>
      </c>
      <c r="B230" s="89">
        <f t="shared" ca="1" si="15"/>
        <v>0</v>
      </c>
      <c r="E230">
        <f t="shared" ca="1" si="16"/>
        <v>1</v>
      </c>
      <c r="F230">
        <f t="shared" ca="1" si="14"/>
        <v>0</v>
      </c>
      <c r="J230">
        <f t="shared" ca="1" si="17"/>
        <v>0</v>
      </c>
    </row>
    <row r="231" spans="1:10" x14ac:dyDescent="0.4">
      <c r="A231" s="240">
        <v>228</v>
      </c>
      <c r="B231" s="89">
        <f t="shared" ca="1" si="15"/>
        <v>0</v>
      </c>
      <c r="E231">
        <f t="shared" ca="1" si="16"/>
        <v>1</v>
      </c>
      <c r="F231">
        <f t="shared" ca="1" si="14"/>
        <v>0</v>
      </c>
      <c r="J231">
        <f t="shared" ca="1" si="17"/>
        <v>0</v>
      </c>
    </row>
    <row r="232" spans="1:10" x14ac:dyDescent="0.4">
      <c r="A232" s="240">
        <v>229</v>
      </c>
      <c r="B232" s="89">
        <f t="shared" ca="1" si="15"/>
        <v>0</v>
      </c>
      <c r="E232">
        <f t="shared" ca="1" si="16"/>
        <v>1</v>
      </c>
      <c r="F232">
        <f t="shared" ca="1" si="14"/>
        <v>0</v>
      </c>
      <c r="J232">
        <f t="shared" ca="1" si="17"/>
        <v>0</v>
      </c>
    </row>
    <row r="233" spans="1:10" x14ac:dyDescent="0.4">
      <c r="A233" s="240">
        <v>230</v>
      </c>
      <c r="B233" s="89">
        <f t="shared" ca="1" si="15"/>
        <v>0</v>
      </c>
      <c r="E233">
        <f t="shared" ca="1" si="16"/>
        <v>1</v>
      </c>
      <c r="F233">
        <f t="shared" ca="1" si="14"/>
        <v>0</v>
      </c>
      <c r="J233">
        <f t="shared" ca="1" si="17"/>
        <v>0</v>
      </c>
    </row>
    <row r="234" spans="1:10" x14ac:dyDescent="0.4">
      <c r="A234" s="240">
        <v>231</v>
      </c>
      <c r="B234" s="89">
        <f t="shared" ca="1" si="15"/>
        <v>0</v>
      </c>
      <c r="E234">
        <f t="shared" ca="1" si="16"/>
        <v>1</v>
      </c>
      <c r="F234">
        <f t="shared" ca="1" si="14"/>
        <v>0</v>
      </c>
      <c r="J234">
        <f t="shared" ca="1" si="17"/>
        <v>0</v>
      </c>
    </row>
    <row r="235" spans="1:10" x14ac:dyDescent="0.4">
      <c r="A235" s="240">
        <v>232</v>
      </c>
      <c r="B235" s="89">
        <f t="shared" ca="1" si="15"/>
        <v>0</v>
      </c>
      <c r="E235">
        <f t="shared" ca="1" si="16"/>
        <v>1</v>
      </c>
      <c r="F235">
        <f t="shared" ca="1" si="14"/>
        <v>0</v>
      </c>
      <c r="J235">
        <f t="shared" ca="1" si="17"/>
        <v>0</v>
      </c>
    </row>
    <row r="236" spans="1:10" x14ac:dyDescent="0.4">
      <c r="A236" s="240">
        <v>233</v>
      </c>
      <c r="B236" s="89">
        <f t="shared" ca="1" si="15"/>
        <v>0</v>
      </c>
      <c r="E236">
        <f t="shared" ca="1" si="16"/>
        <v>1</v>
      </c>
      <c r="F236">
        <f t="shared" ca="1" si="14"/>
        <v>0</v>
      </c>
      <c r="J236">
        <f t="shared" ca="1" si="17"/>
        <v>0</v>
      </c>
    </row>
    <row r="237" spans="1:10" x14ac:dyDescent="0.4">
      <c r="A237" s="240">
        <v>234</v>
      </c>
      <c r="B237" s="89">
        <f t="shared" ca="1" si="15"/>
        <v>0</v>
      </c>
      <c r="E237">
        <f t="shared" ca="1" si="16"/>
        <v>1</v>
      </c>
      <c r="F237">
        <f t="shared" ca="1" si="14"/>
        <v>0</v>
      </c>
      <c r="J237">
        <f t="shared" ca="1" si="17"/>
        <v>0</v>
      </c>
    </row>
    <row r="238" spans="1:10" x14ac:dyDescent="0.4">
      <c r="A238" s="240">
        <v>235</v>
      </c>
      <c r="B238" s="89">
        <f t="shared" ca="1" si="15"/>
        <v>0</v>
      </c>
      <c r="E238">
        <f t="shared" ca="1" si="16"/>
        <v>1</v>
      </c>
      <c r="F238">
        <f t="shared" ca="1" si="14"/>
        <v>0</v>
      </c>
      <c r="J238">
        <f t="shared" ca="1" si="17"/>
        <v>0</v>
      </c>
    </row>
    <row r="239" spans="1:10" x14ac:dyDescent="0.4">
      <c r="A239" s="240">
        <v>236</v>
      </c>
      <c r="B239" s="89">
        <f t="shared" ca="1" si="15"/>
        <v>0</v>
      </c>
      <c r="E239">
        <f t="shared" ca="1" si="16"/>
        <v>1</v>
      </c>
      <c r="F239">
        <f t="shared" ca="1" si="14"/>
        <v>0</v>
      </c>
      <c r="J239">
        <f t="shared" ca="1" si="17"/>
        <v>0</v>
      </c>
    </row>
    <row r="240" spans="1:10" x14ac:dyDescent="0.4">
      <c r="A240" s="240">
        <v>237</v>
      </c>
      <c r="B240" s="89">
        <f t="shared" ca="1" si="15"/>
        <v>0</v>
      </c>
      <c r="E240">
        <f t="shared" ca="1" si="16"/>
        <v>1</v>
      </c>
      <c r="F240">
        <f t="shared" ca="1" si="14"/>
        <v>0</v>
      </c>
      <c r="J240">
        <f t="shared" ca="1" si="17"/>
        <v>0</v>
      </c>
    </row>
    <row r="241" spans="1:10" x14ac:dyDescent="0.4">
      <c r="A241" s="240">
        <v>238</v>
      </c>
      <c r="B241" s="89">
        <f t="shared" ca="1" si="15"/>
        <v>0</v>
      </c>
      <c r="E241">
        <f t="shared" ca="1" si="16"/>
        <v>1</v>
      </c>
      <c r="F241">
        <f t="shared" ca="1" si="14"/>
        <v>0</v>
      </c>
      <c r="J241">
        <f t="shared" ca="1" si="17"/>
        <v>0</v>
      </c>
    </row>
    <row r="242" spans="1:10" x14ac:dyDescent="0.4">
      <c r="A242" s="240">
        <v>239</v>
      </c>
      <c r="B242" s="89">
        <f t="shared" ca="1" si="15"/>
        <v>0</v>
      </c>
      <c r="E242">
        <f t="shared" ca="1" si="16"/>
        <v>1</v>
      </c>
      <c r="F242">
        <f t="shared" ca="1" si="14"/>
        <v>0</v>
      </c>
      <c r="J242">
        <f t="shared" ca="1" si="17"/>
        <v>0</v>
      </c>
    </row>
    <row r="243" spans="1:10" x14ac:dyDescent="0.4">
      <c r="A243" s="240">
        <v>240</v>
      </c>
      <c r="B243" s="89">
        <f t="shared" ca="1" si="15"/>
        <v>0</v>
      </c>
      <c r="E243">
        <f t="shared" ca="1" si="16"/>
        <v>1</v>
      </c>
      <c r="F243">
        <f t="shared" ca="1" si="14"/>
        <v>0</v>
      </c>
      <c r="J243">
        <f t="shared" ca="1" si="17"/>
        <v>0</v>
      </c>
    </row>
    <row r="244" spans="1:10" x14ac:dyDescent="0.4">
      <c r="A244" s="240">
        <v>241</v>
      </c>
      <c r="B244" s="89">
        <f t="shared" ca="1" si="15"/>
        <v>0</v>
      </c>
      <c r="E244">
        <f t="shared" ca="1" si="16"/>
        <v>1</v>
      </c>
      <c r="F244">
        <f t="shared" ca="1" si="14"/>
        <v>0</v>
      </c>
      <c r="J244">
        <f t="shared" ca="1" si="17"/>
        <v>0</v>
      </c>
    </row>
    <row r="245" spans="1:10" x14ac:dyDescent="0.4">
      <c r="A245" s="240">
        <v>242</v>
      </c>
      <c r="B245" s="89">
        <f t="shared" ca="1" si="15"/>
        <v>0</v>
      </c>
      <c r="E245">
        <f t="shared" ca="1" si="16"/>
        <v>1</v>
      </c>
      <c r="F245">
        <f t="shared" ca="1" si="14"/>
        <v>0</v>
      </c>
      <c r="J245">
        <f t="shared" ca="1" si="17"/>
        <v>0</v>
      </c>
    </row>
    <row r="246" spans="1:10" x14ac:dyDescent="0.4">
      <c r="A246" s="240">
        <v>243</v>
      </c>
      <c r="B246" s="89">
        <f t="shared" ca="1" si="15"/>
        <v>0</v>
      </c>
      <c r="E246">
        <f t="shared" ca="1" si="16"/>
        <v>1</v>
      </c>
      <c r="F246">
        <f t="shared" ca="1" si="14"/>
        <v>0</v>
      </c>
      <c r="J246">
        <f t="shared" ca="1" si="17"/>
        <v>0</v>
      </c>
    </row>
    <row r="247" spans="1:10" x14ac:dyDescent="0.4">
      <c r="A247" s="240">
        <v>244</v>
      </c>
      <c r="B247" s="89">
        <f t="shared" ca="1" si="15"/>
        <v>0</v>
      </c>
      <c r="E247">
        <f t="shared" ca="1" si="16"/>
        <v>1</v>
      </c>
      <c r="F247">
        <f t="shared" ca="1" si="14"/>
        <v>0</v>
      </c>
      <c r="J247">
        <f t="shared" ca="1" si="17"/>
        <v>0</v>
      </c>
    </row>
    <row r="248" spans="1:10" x14ac:dyDescent="0.4">
      <c r="A248" s="240">
        <v>245</v>
      </c>
      <c r="B248" s="89">
        <f t="shared" ca="1" si="15"/>
        <v>0</v>
      </c>
      <c r="E248">
        <f t="shared" ca="1" si="16"/>
        <v>1</v>
      </c>
      <c r="F248">
        <f t="shared" ca="1" si="14"/>
        <v>0</v>
      </c>
      <c r="J248">
        <f t="shared" ca="1" si="17"/>
        <v>0</v>
      </c>
    </row>
    <row r="249" spans="1:10" x14ac:dyDescent="0.4">
      <c r="A249" s="240">
        <v>246</v>
      </c>
      <c r="B249" s="89">
        <f t="shared" ca="1" si="15"/>
        <v>0</v>
      </c>
      <c r="E249">
        <f t="shared" ca="1" si="16"/>
        <v>1</v>
      </c>
      <c r="F249">
        <f t="shared" ca="1" si="14"/>
        <v>0</v>
      </c>
      <c r="J249">
        <f t="shared" ca="1" si="17"/>
        <v>0</v>
      </c>
    </row>
    <row r="250" spans="1:10" x14ac:dyDescent="0.4">
      <c r="A250" s="240">
        <v>247</v>
      </c>
      <c r="B250" s="89">
        <f t="shared" ca="1" si="15"/>
        <v>0</v>
      </c>
      <c r="E250">
        <f t="shared" ca="1" si="16"/>
        <v>1</v>
      </c>
      <c r="F250">
        <f t="shared" ca="1" si="14"/>
        <v>0</v>
      </c>
      <c r="J250">
        <f t="shared" ca="1" si="17"/>
        <v>0</v>
      </c>
    </row>
    <row r="251" spans="1:10" x14ac:dyDescent="0.4">
      <c r="A251" s="240">
        <v>248</v>
      </c>
      <c r="B251" s="89">
        <f t="shared" ca="1" si="15"/>
        <v>0</v>
      </c>
      <c r="E251">
        <f t="shared" ca="1" si="16"/>
        <v>1</v>
      </c>
      <c r="F251">
        <f t="shared" ca="1" si="14"/>
        <v>0</v>
      </c>
      <c r="J251">
        <f t="shared" ca="1" si="17"/>
        <v>0</v>
      </c>
    </row>
    <row r="252" spans="1:10" x14ac:dyDescent="0.4">
      <c r="A252" s="240">
        <v>249</v>
      </c>
      <c r="B252" s="89">
        <f t="shared" ca="1" si="15"/>
        <v>0</v>
      </c>
      <c r="E252">
        <f t="shared" ca="1" si="16"/>
        <v>1</v>
      </c>
      <c r="F252">
        <f t="shared" ca="1" si="14"/>
        <v>0</v>
      </c>
      <c r="J252">
        <f t="shared" ca="1" si="17"/>
        <v>0</v>
      </c>
    </row>
    <row r="253" spans="1:10" x14ac:dyDescent="0.4">
      <c r="A253" s="240">
        <v>250</v>
      </c>
      <c r="B253" s="89">
        <f t="shared" ca="1" si="15"/>
        <v>0</v>
      </c>
      <c r="E253">
        <f t="shared" ca="1" si="16"/>
        <v>1</v>
      </c>
      <c r="F253">
        <f t="shared" ca="1" si="14"/>
        <v>0</v>
      </c>
      <c r="J253">
        <f t="shared" ca="1" si="17"/>
        <v>0</v>
      </c>
    </row>
    <row r="254" spans="1:10" x14ac:dyDescent="0.4">
      <c r="A254" s="240">
        <v>251</v>
      </c>
      <c r="B254" s="89">
        <f t="shared" ca="1" si="15"/>
        <v>0</v>
      </c>
      <c r="E254">
        <f t="shared" ca="1" si="16"/>
        <v>1</v>
      </c>
      <c r="F254">
        <f t="shared" ca="1" si="14"/>
        <v>0</v>
      </c>
      <c r="J254">
        <f t="shared" ca="1" si="17"/>
        <v>0</v>
      </c>
    </row>
    <row r="255" spans="1:10" x14ac:dyDescent="0.4">
      <c r="A255" s="240">
        <v>252</v>
      </c>
      <c r="B255" s="89">
        <f t="shared" ca="1" si="15"/>
        <v>0</v>
      </c>
      <c r="E255">
        <f t="shared" ca="1" si="16"/>
        <v>1</v>
      </c>
      <c r="F255">
        <f t="shared" ca="1" si="14"/>
        <v>0</v>
      </c>
      <c r="J255">
        <f t="shared" ca="1" si="17"/>
        <v>0</v>
      </c>
    </row>
    <row r="256" spans="1:10" x14ac:dyDescent="0.4">
      <c r="A256" s="240">
        <v>253</v>
      </c>
      <c r="B256" s="89">
        <f t="shared" ca="1" si="15"/>
        <v>0</v>
      </c>
      <c r="E256">
        <f t="shared" ca="1" si="16"/>
        <v>1</v>
      </c>
      <c r="F256">
        <f t="shared" ca="1" si="14"/>
        <v>0</v>
      </c>
      <c r="J256">
        <f t="shared" ca="1" si="17"/>
        <v>0</v>
      </c>
    </row>
    <row r="257" spans="1:10" x14ac:dyDescent="0.4">
      <c r="A257" s="240">
        <v>254</v>
      </c>
      <c r="B257" s="89">
        <f t="shared" ca="1" si="15"/>
        <v>0</v>
      </c>
      <c r="E257">
        <f t="shared" ca="1" si="16"/>
        <v>1</v>
      </c>
      <c r="F257">
        <f t="shared" ca="1" si="14"/>
        <v>0</v>
      </c>
      <c r="J257">
        <f t="shared" ca="1" si="17"/>
        <v>0</v>
      </c>
    </row>
    <row r="258" spans="1:10" x14ac:dyDescent="0.4">
      <c r="A258" s="240">
        <v>255</v>
      </c>
      <c r="B258" s="89">
        <f t="shared" ca="1" si="15"/>
        <v>0</v>
      </c>
      <c r="E258">
        <f t="shared" ca="1" si="16"/>
        <v>1</v>
      </c>
      <c r="F258">
        <f t="shared" ca="1" si="14"/>
        <v>0</v>
      </c>
      <c r="J258">
        <f t="shared" ca="1" si="17"/>
        <v>0</v>
      </c>
    </row>
    <row r="259" spans="1:10" x14ac:dyDescent="0.4">
      <c r="A259" s="240">
        <v>256</v>
      </c>
      <c r="B259" s="89">
        <f t="shared" ca="1" si="15"/>
        <v>0</v>
      </c>
      <c r="E259">
        <f t="shared" ca="1" si="16"/>
        <v>1</v>
      </c>
      <c r="F259">
        <f t="shared" ca="1" si="14"/>
        <v>0</v>
      </c>
      <c r="J259">
        <f t="shared" ca="1" si="17"/>
        <v>0</v>
      </c>
    </row>
  </sheetData>
  <sheetProtection sheet="1" objects="1" scenarios="1"/>
  <phoneticPr fontId="0" type="noConversion"/>
  <pageMargins left="0.78740157499999996" right="0.78740157499999996" top="0.984251969" bottom="0.984251969" header="0.4921259845" footer="0.4921259845"/>
  <headerFooter alignWithMargins="0"/>
  <legacy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List33"/>
  <dimension ref="A1:C8"/>
  <sheetViews>
    <sheetView workbookViewId="0"/>
  </sheetViews>
  <sheetFormatPr defaultRowHeight="12" x14ac:dyDescent="0.4"/>
  <sheetData>
    <row r="1" spans="1:3" ht="12.45" thickBot="1" x14ac:dyDescent="0.45">
      <c r="A1" s="87" t="s">
        <v>1706</v>
      </c>
      <c r="B1" s="88"/>
      <c r="C1" s="88"/>
    </row>
    <row r="2" spans="1:3" ht="12.45" thickBot="1" x14ac:dyDescent="0.45"/>
    <row r="3" spans="1:3" ht="24.45" thickBot="1" x14ac:dyDescent="0.45">
      <c r="A3" s="228" t="s">
        <v>1707</v>
      </c>
      <c r="B3" s="229" t="s">
        <v>1547</v>
      </c>
    </row>
    <row r="4" spans="1:3" x14ac:dyDescent="0.4">
      <c r="A4" s="1" t="s">
        <v>1654</v>
      </c>
      <c r="B4">
        <v>250</v>
      </c>
    </row>
    <row r="5" spans="1:3" x14ac:dyDescent="0.4">
      <c r="A5" s="1" t="s">
        <v>1660</v>
      </c>
      <c r="B5">
        <v>200</v>
      </c>
    </row>
    <row r="6" spans="1:3" x14ac:dyDescent="0.4">
      <c r="A6" s="1" t="s">
        <v>372</v>
      </c>
      <c r="B6">
        <v>150</v>
      </c>
    </row>
    <row r="7" spans="1:3" x14ac:dyDescent="0.4">
      <c r="A7" s="1" t="s">
        <v>1663</v>
      </c>
      <c r="B7">
        <v>100</v>
      </c>
    </row>
    <row r="8" spans="1:3" x14ac:dyDescent="0.4">
      <c r="A8" s="1" t="s">
        <v>1681</v>
      </c>
      <c r="B8">
        <v>0</v>
      </c>
    </row>
  </sheetData>
  <sheetProtection sheet="1" objects="1" scenarios="1"/>
  <phoneticPr fontId="0" type="noConversion"/>
  <pageMargins left="0.78740157499999996" right="0.78740157499999996" top="0.984251969" bottom="0.984251969" header="0.4921259845" footer="0.4921259845"/>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List55"/>
  <dimension ref="A1:E7"/>
  <sheetViews>
    <sheetView workbookViewId="0">
      <selection activeCell="A7" sqref="A7"/>
    </sheetView>
  </sheetViews>
  <sheetFormatPr defaultRowHeight="12" x14ac:dyDescent="0.4"/>
  <cols>
    <col min="1" max="1" width="8.1640625" customWidth="1"/>
    <col min="2" max="2" width="12.25" customWidth="1"/>
    <col min="5" max="5" width="11.4140625" customWidth="1"/>
  </cols>
  <sheetData>
    <row r="1" spans="1:5" ht="12.45" thickBot="1" x14ac:dyDescent="0.45">
      <c r="A1" s="87" t="s">
        <v>1708</v>
      </c>
      <c r="B1" s="88"/>
      <c r="C1" s="88"/>
    </row>
    <row r="2" spans="1:5" ht="12.45" thickBot="1" x14ac:dyDescent="0.45"/>
    <row r="3" spans="1:5" ht="24.45" thickBot="1" x14ac:dyDescent="0.45">
      <c r="A3" s="228" t="s">
        <v>1707</v>
      </c>
      <c r="B3" s="229" t="s">
        <v>1709</v>
      </c>
    </row>
    <row r="4" spans="1:5" x14ac:dyDescent="0.4">
      <c r="A4" s="1" t="s">
        <v>1660</v>
      </c>
      <c r="B4">
        <v>20</v>
      </c>
      <c r="E4" t="s">
        <v>1681</v>
      </c>
    </row>
    <row r="5" spans="1:5" x14ac:dyDescent="0.4">
      <c r="A5" s="1" t="s">
        <v>372</v>
      </c>
      <c r="B5">
        <v>15</v>
      </c>
    </row>
    <row r="6" spans="1:5" x14ac:dyDescent="0.4">
      <c r="A6" s="1" t="s">
        <v>1663</v>
      </c>
      <c r="B6">
        <v>10</v>
      </c>
    </row>
    <row r="7" spans="1:5" x14ac:dyDescent="0.4">
      <c r="A7" s="1" t="s">
        <v>1665</v>
      </c>
      <c r="B7">
        <v>1</v>
      </c>
    </row>
  </sheetData>
  <sheetProtection sheet="1" objects="1" scenarios="1"/>
  <phoneticPr fontId="0" type="noConversion"/>
  <conditionalFormatting sqref="D4:D7">
    <cfRule type="cellIs" dxfId="1" priority="1" stopIfTrue="1" operator="equal">
      <formula>0</formula>
    </cfRule>
  </conditionalFormatting>
  <pageMargins left="0.78740157499999996" right="0.78740157499999996" top="0.984251969" bottom="0.984251969" header="0.4921259845" footer="0.4921259845"/>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List56"/>
  <dimension ref="A1:I8"/>
  <sheetViews>
    <sheetView workbookViewId="0"/>
  </sheetViews>
  <sheetFormatPr defaultRowHeight="12" x14ac:dyDescent="0.4"/>
  <cols>
    <col min="1" max="1" width="8.1640625" customWidth="1"/>
    <col min="2" max="2" width="11" customWidth="1"/>
    <col min="5" max="5" width="11.4140625" customWidth="1"/>
  </cols>
  <sheetData>
    <row r="1" spans="1:9" ht="12.45" thickBot="1" x14ac:dyDescent="0.45">
      <c r="A1" s="87" t="s">
        <v>1710</v>
      </c>
      <c r="B1" s="88"/>
      <c r="C1" s="88"/>
      <c r="D1" s="88"/>
      <c r="E1" s="88"/>
    </row>
    <row r="2" spans="1:9" ht="12.45" thickBot="1" x14ac:dyDescent="0.45"/>
    <row r="3" spans="1:9" ht="31.2" customHeight="1" thickTop="1" thickBot="1" x14ac:dyDescent="0.45">
      <c r="A3" s="228" t="s">
        <v>1711</v>
      </c>
      <c r="B3" s="229" t="s">
        <v>1712</v>
      </c>
      <c r="C3" s="230" t="s">
        <v>1713</v>
      </c>
      <c r="D3" s="232">
        <f ca="1">MAX(D4:D8)</f>
        <v>6</v>
      </c>
      <c r="E3" s="231" t="s">
        <v>1714</v>
      </c>
      <c r="F3" s="233">
        <f ca="1">Start.listina!$K$7</f>
        <v>57</v>
      </c>
      <c r="G3" s="233"/>
      <c r="I3" s="233"/>
    </row>
    <row r="4" spans="1:9" x14ac:dyDescent="0.4">
      <c r="A4">
        <v>9</v>
      </c>
      <c r="B4">
        <v>16</v>
      </c>
      <c r="C4">
        <v>4</v>
      </c>
      <c r="D4">
        <f ca="1">IF(AND($F$3&gt;=A4,$F$3&lt;=B4),C4,0)</f>
        <v>0</v>
      </c>
    </row>
    <row r="5" spans="1:9" x14ac:dyDescent="0.4">
      <c r="A5">
        <v>17</v>
      </c>
      <c r="B5">
        <v>32</v>
      </c>
      <c r="C5">
        <v>5</v>
      </c>
      <c r="D5">
        <f ca="1">IF(AND($F$3&gt;=A5,$F$3&lt;=B5),C5,0)</f>
        <v>0</v>
      </c>
    </row>
    <row r="6" spans="1:9" x14ac:dyDescent="0.4">
      <c r="A6">
        <v>33</v>
      </c>
      <c r="B6">
        <v>64</v>
      </c>
      <c r="C6">
        <v>6</v>
      </c>
      <c r="D6">
        <f ca="1">IF(AND($F$3&gt;=A6,$F$3&lt;=B6),C6,0)</f>
        <v>6</v>
      </c>
    </row>
    <row r="7" spans="1:9" x14ac:dyDescent="0.4">
      <c r="A7">
        <v>65</v>
      </c>
      <c r="B7">
        <v>128</v>
      </c>
      <c r="C7">
        <v>7</v>
      </c>
      <c r="D7">
        <f ca="1">IF(AND($F$3&gt;=A7,$F$3&lt;=B7),C7,0)</f>
        <v>0</v>
      </c>
    </row>
    <row r="8" spans="1:9" x14ac:dyDescent="0.4">
      <c r="A8">
        <v>129</v>
      </c>
      <c r="B8">
        <v>256</v>
      </c>
      <c r="C8">
        <v>8</v>
      </c>
      <c r="D8">
        <f ca="1">IF(AND($F$3&gt;=A8,$F$3&lt;=B8),C8,0)</f>
        <v>0</v>
      </c>
    </row>
  </sheetData>
  <sheetProtection sheet="1" objects="1" scenarios="1"/>
  <phoneticPr fontId="0" type="noConversion"/>
  <conditionalFormatting sqref="D4:D8">
    <cfRule type="cellIs" dxfId="0" priority="1" stopIfTrue="1" operator="equal">
      <formula>0</formula>
    </cfRule>
  </conditionalFormatting>
  <pageMargins left="0.78740157499999996" right="0.78740157499999996" top="0.984251969" bottom="0.984251969" header="0.4921259845" footer="0.4921259845"/>
  <headerFooter alignWithMargins="0"/>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List35"/>
  <dimension ref="A1:I516"/>
  <sheetViews>
    <sheetView workbookViewId="0">
      <pane ySplit="4" topLeftCell="A5" activePane="bottomLeft" state="frozen"/>
      <selection pane="bottomLeft"/>
    </sheetView>
  </sheetViews>
  <sheetFormatPr defaultRowHeight="12" x14ac:dyDescent="0.4"/>
  <cols>
    <col min="1" max="1" width="8" customWidth="1"/>
    <col min="2" max="2" width="8.83203125" customWidth="1"/>
    <col min="3" max="3" width="14.4140625" customWidth="1"/>
    <col min="4" max="4" width="13.58203125" customWidth="1"/>
    <col min="5" max="5" width="25.4140625" customWidth="1"/>
    <col min="6" max="6" width="0.4140625" customWidth="1"/>
    <col min="7" max="7" width="10.83203125" customWidth="1"/>
    <col min="8" max="8" width="15.4140625" customWidth="1"/>
    <col min="9" max="9" width="10.4140625" customWidth="1"/>
  </cols>
  <sheetData>
    <row r="1" spans="1:9" ht="29.25" customHeight="1" thickBot="1" x14ac:dyDescent="0.75">
      <c r="A1" s="5" t="s">
        <v>1715</v>
      </c>
      <c r="B1" s="6"/>
      <c r="C1" s="6"/>
      <c r="D1" s="67"/>
      <c r="E1" s="68"/>
      <c r="F1" s="4"/>
      <c r="G1" s="82">
        <f ca="1">'Kvalita turnaje'!$F$1</f>
        <v>38.328187499999999</v>
      </c>
      <c r="H1" s="92" t="s">
        <v>1716</v>
      </c>
      <c r="I1" s="4"/>
    </row>
    <row r="2" spans="1:9" ht="27.75" customHeight="1" thickBot="1" x14ac:dyDescent="0.45">
      <c r="A2" s="69">
        <f>Start.listina!$K$2</f>
        <v>24039</v>
      </c>
      <c r="B2" s="70" t="str">
        <f>Start.listina!$K$4</f>
        <v>Turnaj Piráta Morgana</v>
      </c>
      <c r="C2" s="71"/>
      <c r="D2" s="72"/>
      <c r="E2" s="9" t="str">
        <f>Start.listina!$K$3</f>
        <v>28.04.2024</v>
      </c>
      <c r="G2" s="134">
        <f ca="1">Start.listina!$K$7</f>
        <v>57</v>
      </c>
      <c r="H2" s="92" t="s">
        <v>1699</v>
      </c>
      <c r="I2" s="4"/>
    </row>
    <row r="3" spans="1:9" ht="21.75" customHeight="1" thickBot="1" x14ac:dyDescent="0.45">
      <c r="A3" s="4"/>
      <c r="B3" s="4"/>
      <c r="C3" s="4"/>
      <c r="D3" s="4"/>
      <c r="E3" s="4"/>
      <c r="F3" s="4"/>
      <c r="G3" s="4"/>
      <c r="H3" s="4"/>
      <c r="I3" s="4"/>
    </row>
    <row r="4" spans="1:9" ht="24.75" customHeight="1" thickBot="1" x14ac:dyDescent="0.45">
      <c r="A4" s="245" t="s">
        <v>1717</v>
      </c>
      <c r="B4" s="244" t="s">
        <v>1538</v>
      </c>
      <c r="C4" s="244" t="s">
        <v>1616</v>
      </c>
      <c r="D4" s="244" t="s">
        <v>1544</v>
      </c>
      <c r="E4" s="244" t="s">
        <v>1541</v>
      </c>
      <c r="F4" s="244"/>
      <c r="G4" s="244" t="s">
        <v>1546</v>
      </c>
      <c r="H4" s="244" t="s">
        <v>1547</v>
      </c>
      <c r="I4" s="246" t="s">
        <v>1548</v>
      </c>
    </row>
    <row r="5" spans="1:9" x14ac:dyDescent="0.4">
      <c r="A5" s="13">
        <f ca="1">Start.listina!AH11</f>
        <v>8</v>
      </c>
      <c r="B5" s="13">
        <f ca="1">Start.listina!I11</f>
        <v>29062</v>
      </c>
      <c r="C5" s="13" t="str">
        <f ca="1">Start.listina!J11</f>
        <v>Vavrovič ml.</v>
      </c>
      <c r="D5" s="13" t="str">
        <f ca="1">Start.listina!K11</f>
        <v>Petr</v>
      </c>
      <c r="E5" s="13" t="str">
        <f ca="1">Start.listina!L11</f>
        <v>PC Sokol Lipník</v>
      </c>
      <c r="F5" s="13"/>
      <c r="G5" s="89">
        <f ca="1">IF(N(A5)&gt;0,VLOOKUP(A5,Body!$A$4:$F$259,5,0),"")</f>
        <v>114.9845625</v>
      </c>
      <c r="H5" s="4">
        <f ca="1">IF(N(A5)&gt;0,VLOOKUP(A5,Body!$A$4:$F$259,6,0),"")</f>
        <v>0</v>
      </c>
      <c r="I5" s="4">
        <f ca="1">IF(N(A5)&gt;0,VLOOKUP(A5,Body!$A$4:$F$259,2,0),"")</f>
        <v>3</v>
      </c>
    </row>
    <row r="6" spans="1:9" x14ac:dyDescent="0.4">
      <c r="A6" s="13"/>
      <c r="B6" s="13" t="str">
        <f ca="1">Start.listina!O11</f>
        <v/>
      </c>
      <c r="C6" s="13" t="str">
        <f ca="1">Start.listina!P11</f>
        <v xml:space="preserve"> </v>
      </c>
      <c r="D6" s="13" t="str">
        <f ca="1">Start.listina!Q11</f>
        <v xml:space="preserve"> </v>
      </c>
      <c r="E6" s="13" t="str">
        <f ca="1">Start.listina!R11</f>
        <v xml:space="preserve"> </v>
      </c>
      <c r="F6" s="13"/>
      <c r="G6" s="89"/>
      <c r="H6" s="4"/>
      <c r="I6" s="4"/>
    </row>
    <row r="7" spans="1:9" x14ac:dyDescent="0.4">
      <c r="A7" s="13"/>
      <c r="B7" s="13" t="str">
        <f ca="1">Start.listina!U11</f>
        <v/>
      </c>
      <c r="C7" s="13" t="str">
        <f ca="1">Start.listina!V11</f>
        <v xml:space="preserve"> </v>
      </c>
      <c r="D7" s="13" t="str">
        <f ca="1">Start.listina!W11</f>
        <v xml:space="preserve"> </v>
      </c>
      <c r="E7" s="13" t="str">
        <f ca="1">Start.listina!X11</f>
        <v xml:space="preserve"> </v>
      </c>
      <c r="F7" s="13"/>
      <c r="G7" s="89"/>
      <c r="H7" s="4"/>
      <c r="I7" s="4"/>
    </row>
    <row r="8" spans="1:9" x14ac:dyDescent="0.4">
      <c r="A8" s="13"/>
      <c r="B8" s="13" t="str">
        <f ca="1">Start.listina!AA11</f>
        <v/>
      </c>
      <c r="C8" s="13" t="str">
        <f ca="1">Start.listina!AB11</f>
        <v xml:space="preserve"> </v>
      </c>
      <c r="D8" s="13" t="str">
        <f ca="1">Start.listina!AC11</f>
        <v xml:space="preserve"> </v>
      </c>
      <c r="E8" s="13" t="str">
        <f ca="1">Start.listina!AD11</f>
        <v xml:space="preserve"> </v>
      </c>
      <c r="F8" s="13"/>
      <c r="G8" s="89"/>
      <c r="H8" s="4"/>
      <c r="I8" s="4"/>
    </row>
    <row r="9" spans="1:9" x14ac:dyDescent="0.4">
      <c r="A9" s="13">
        <f ca="1">Start.listina!AH12</f>
        <v>4</v>
      </c>
      <c r="B9" s="13">
        <f ca="1">Start.listina!I12</f>
        <v>11039</v>
      </c>
      <c r="C9" s="13" t="str">
        <f ca="1">Start.listina!J12</f>
        <v>Lukáš</v>
      </c>
      <c r="D9" s="13" t="str">
        <f ca="1">Start.listina!K12</f>
        <v>Vojtěch</v>
      </c>
      <c r="E9" s="13" t="str">
        <f ca="1">Start.listina!L12</f>
        <v>PLUK Jablonec</v>
      </c>
      <c r="F9" s="13"/>
      <c r="G9" s="89">
        <f ca="1">IF(N(A9)&gt;0,VLOOKUP(A9,Body!$A$4:$F$259,5,0),"")</f>
        <v>153.31274999999999</v>
      </c>
      <c r="H9" s="4">
        <f ca="1">IF(N(A9)&gt;0,VLOOKUP(A9,Body!$A$4:$F$259,6,0),"")</f>
        <v>0</v>
      </c>
      <c r="I9" s="4">
        <f ca="1">IF(N(A9)&gt;0,VLOOKUP(A9,Body!$A$4:$F$259,2,0),"")</f>
        <v>4</v>
      </c>
    </row>
    <row r="10" spans="1:9" x14ac:dyDescent="0.4">
      <c r="A10" s="13"/>
      <c r="B10" s="13" t="str">
        <f ca="1">Start.listina!O12</f>
        <v/>
      </c>
      <c r="C10" s="13" t="str">
        <f ca="1">Start.listina!P12</f>
        <v xml:space="preserve"> </v>
      </c>
      <c r="D10" s="13" t="str">
        <f ca="1">Start.listina!Q12</f>
        <v xml:space="preserve"> </v>
      </c>
      <c r="E10" s="13" t="str">
        <f ca="1">Start.listina!R12</f>
        <v xml:space="preserve"> </v>
      </c>
      <c r="F10" s="13"/>
      <c r="G10" s="89"/>
      <c r="H10" s="4"/>
      <c r="I10" s="4"/>
    </row>
    <row r="11" spans="1:9" x14ac:dyDescent="0.4">
      <c r="A11" s="13"/>
      <c r="B11" s="13" t="str">
        <f ca="1">Start.listina!U12</f>
        <v/>
      </c>
      <c r="C11" s="13" t="str">
        <f ca="1">Start.listina!V12</f>
        <v xml:space="preserve"> </v>
      </c>
      <c r="D11" s="13" t="str">
        <f ca="1">Start.listina!W12</f>
        <v xml:space="preserve"> </v>
      </c>
      <c r="E11" s="13" t="str">
        <f ca="1">Start.listina!X12</f>
        <v xml:space="preserve"> </v>
      </c>
      <c r="F11" s="13"/>
      <c r="G11" s="89"/>
      <c r="H11" s="4"/>
      <c r="I11" s="4"/>
    </row>
    <row r="12" spans="1:9" x14ac:dyDescent="0.4">
      <c r="A12" s="13"/>
      <c r="B12" s="13" t="str">
        <f ca="1">Start.listina!AA12</f>
        <v/>
      </c>
      <c r="C12" s="13" t="str">
        <f ca="1">Start.listina!AB12</f>
        <v xml:space="preserve"> </v>
      </c>
      <c r="D12" s="13" t="str">
        <f ca="1">Start.listina!AC12</f>
        <v xml:space="preserve"> </v>
      </c>
      <c r="E12" s="13" t="str">
        <f ca="1">Start.listina!AD12</f>
        <v xml:space="preserve"> </v>
      </c>
      <c r="F12" s="13"/>
      <c r="G12" s="89"/>
      <c r="H12" s="4"/>
      <c r="I12" s="4"/>
    </row>
    <row r="13" spans="1:9" x14ac:dyDescent="0.4">
      <c r="A13" s="13">
        <f ca="1">Start.listina!AH13</f>
        <v>24</v>
      </c>
      <c r="B13" s="13">
        <f ca="1">Start.listina!I13</f>
        <v>14075</v>
      </c>
      <c r="C13" s="13" t="str">
        <f ca="1">Start.listina!J13</f>
        <v>Froňková</v>
      </c>
      <c r="D13" s="13" t="str">
        <f ca="1">Start.listina!K13</f>
        <v>Kateřina</v>
      </c>
      <c r="E13" s="13" t="str">
        <f ca="1">Start.listina!L13</f>
        <v>PC Sokol Lipník</v>
      </c>
      <c r="F13" s="13"/>
      <c r="G13" s="89">
        <f ca="1">IF(N(A13)&gt;0,VLOOKUP(A13,Body!$A$4:$F$259,5,0),"")</f>
        <v>57.492281249999998</v>
      </c>
      <c r="H13" s="4">
        <f ca="1">IF(N(A13)&gt;0,VLOOKUP(A13,Body!$A$4:$F$259,6,0),"")</f>
        <v>0</v>
      </c>
      <c r="I13" s="4">
        <f ca="1">IF(N(A13)&gt;0,VLOOKUP(A13,Body!$A$4:$F$259,2,0),"")</f>
        <v>1.5</v>
      </c>
    </row>
    <row r="14" spans="1:9" x14ac:dyDescent="0.4">
      <c r="A14" s="13"/>
      <c r="B14" s="13" t="str">
        <f ca="1">Start.listina!O13</f>
        <v/>
      </c>
      <c r="C14" s="13" t="str">
        <f ca="1">Start.listina!P13</f>
        <v xml:space="preserve"> </v>
      </c>
      <c r="D14" s="13" t="str">
        <f ca="1">Start.listina!Q13</f>
        <v xml:space="preserve"> </v>
      </c>
      <c r="E14" s="13" t="str">
        <f ca="1">Start.listina!R13</f>
        <v xml:space="preserve"> </v>
      </c>
      <c r="F14" s="13"/>
      <c r="G14" s="89"/>
      <c r="H14" s="4"/>
      <c r="I14" s="4"/>
    </row>
    <row r="15" spans="1:9" x14ac:dyDescent="0.4">
      <c r="A15" s="13"/>
      <c r="B15" s="13" t="str">
        <f ca="1">Start.listina!U13</f>
        <v/>
      </c>
      <c r="C15" s="13" t="str">
        <f ca="1">Start.listina!V13</f>
        <v xml:space="preserve"> </v>
      </c>
      <c r="D15" s="13" t="str">
        <f ca="1">Start.listina!W13</f>
        <v xml:space="preserve"> </v>
      </c>
      <c r="E15" s="13" t="str">
        <f ca="1">Start.listina!X13</f>
        <v xml:space="preserve"> </v>
      </c>
      <c r="F15" s="13"/>
      <c r="G15" s="89"/>
      <c r="H15" s="4"/>
      <c r="I15" s="4"/>
    </row>
    <row r="16" spans="1:9" x14ac:dyDescent="0.4">
      <c r="A16" s="13"/>
      <c r="B16" s="13" t="str">
        <f ca="1">Start.listina!AA13</f>
        <v/>
      </c>
      <c r="C16" s="13" t="str">
        <f ca="1">Start.listina!AB13</f>
        <v xml:space="preserve"> </v>
      </c>
      <c r="D16" s="13" t="str">
        <f ca="1">Start.listina!AC13</f>
        <v xml:space="preserve"> </v>
      </c>
      <c r="E16" s="13" t="str">
        <f ca="1">Start.listina!AD13</f>
        <v xml:space="preserve"> </v>
      </c>
      <c r="F16" s="13"/>
      <c r="G16" s="89"/>
      <c r="H16" s="4"/>
      <c r="I16" s="4"/>
    </row>
    <row r="17" spans="1:9" x14ac:dyDescent="0.4">
      <c r="A17" s="13">
        <f ca="1">Start.listina!AH14</f>
        <v>1</v>
      </c>
      <c r="B17" s="13">
        <f ca="1">Start.listina!I14</f>
        <v>27015</v>
      </c>
      <c r="C17" s="13" t="str">
        <f ca="1">Start.listina!J14</f>
        <v>Srnský</v>
      </c>
      <c r="D17" s="13" t="str">
        <f ca="1">Start.listina!K14</f>
        <v>Lubomír</v>
      </c>
      <c r="E17" s="13" t="str">
        <f ca="1">Start.listina!L14</f>
        <v>1. KPK Vrchlabí</v>
      </c>
      <c r="F17" s="13"/>
      <c r="G17" s="89">
        <f ca="1">IF(N(A17)&gt;0,VLOOKUP(A17,Body!$A$4:$F$259,5,0),"")</f>
        <v>229.96912499999999</v>
      </c>
      <c r="H17" s="4">
        <f ca="1">IF(N(A17)&gt;0,VLOOKUP(A17,Body!$A$4:$F$259,6,0),"")</f>
        <v>0</v>
      </c>
      <c r="I17" s="4">
        <f ca="1">IF(N(A17)&gt;0,VLOOKUP(A17,Body!$A$4:$F$259,2,0),"")</f>
        <v>6</v>
      </c>
    </row>
    <row r="18" spans="1:9" x14ac:dyDescent="0.4">
      <c r="A18" s="13"/>
      <c r="B18" s="13" t="str">
        <f ca="1">Start.listina!O14</f>
        <v/>
      </c>
      <c r="C18" s="13" t="str">
        <f ca="1">Start.listina!P14</f>
        <v xml:space="preserve"> </v>
      </c>
      <c r="D18" s="13" t="str">
        <f ca="1">Start.listina!Q14</f>
        <v xml:space="preserve"> </v>
      </c>
      <c r="E18" s="13" t="str">
        <f ca="1">Start.listina!R14</f>
        <v xml:space="preserve"> </v>
      </c>
      <c r="F18" s="13"/>
      <c r="G18" s="89"/>
      <c r="H18" s="4"/>
      <c r="I18" s="4"/>
    </row>
    <row r="19" spans="1:9" x14ac:dyDescent="0.4">
      <c r="A19" s="13"/>
      <c r="B19" s="13" t="str">
        <f ca="1">Start.listina!U14</f>
        <v/>
      </c>
      <c r="C19" s="13" t="str">
        <f ca="1">Start.listina!V14</f>
        <v xml:space="preserve"> </v>
      </c>
      <c r="D19" s="13" t="str">
        <f ca="1">Start.listina!W14</f>
        <v xml:space="preserve"> </v>
      </c>
      <c r="E19" s="13" t="str">
        <f ca="1">Start.listina!X14</f>
        <v xml:space="preserve"> </v>
      </c>
      <c r="F19" s="13"/>
      <c r="G19" s="89"/>
      <c r="H19" s="4"/>
      <c r="I19" s="4"/>
    </row>
    <row r="20" spans="1:9" x14ac:dyDescent="0.4">
      <c r="A20" s="13"/>
      <c r="B20" s="13" t="str">
        <f ca="1">Start.listina!AA14</f>
        <v/>
      </c>
      <c r="C20" s="13" t="str">
        <f ca="1">Start.listina!AB14</f>
        <v xml:space="preserve"> </v>
      </c>
      <c r="D20" s="13" t="str">
        <f ca="1">Start.listina!AC14</f>
        <v xml:space="preserve"> </v>
      </c>
      <c r="E20" s="13" t="str">
        <f ca="1">Start.listina!AD14</f>
        <v xml:space="preserve"> </v>
      </c>
      <c r="F20" s="13"/>
      <c r="G20" s="89"/>
      <c r="H20" s="4"/>
      <c r="I20" s="4"/>
    </row>
    <row r="21" spans="1:9" x14ac:dyDescent="0.4">
      <c r="A21" s="13">
        <f ca="1">Start.listina!AH15</f>
        <v>4</v>
      </c>
      <c r="B21" s="13">
        <f ca="1">Start.listina!I15</f>
        <v>13027</v>
      </c>
      <c r="C21" s="13" t="str">
        <f ca="1">Start.listina!J15</f>
        <v>Dlouhá</v>
      </c>
      <c r="D21" s="13" t="str">
        <f ca="1">Start.listina!K15</f>
        <v>Ivana</v>
      </c>
      <c r="E21" s="13" t="str">
        <f ca="1">Start.listina!L15</f>
        <v>CdP Loděnice</v>
      </c>
      <c r="F21" s="13"/>
      <c r="G21" s="89">
        <f ca="1">IF(N(A21)&gt;0,VLOOKUP(A21,Body!$A$4:$F$259,5,0),"")</f>
        <v>153.31274999999999</v>
      </c>
      <c r="H21" s="4">
        <f ca="1">IF(N(A21)&gt;0,VLOOKUP(A21,Body!$A$4:$F$259,6,0),"")</f>
        <v>0</v>
      </c>
      <c r="I21" s="4">
        <f ca="1">IF(N(A21)&gt;0,VLOOKUP(A21,Body!$A$4:$F$259,2,0),"")</f>
        <v>4</v>
      </c>
    </row>
    <row r="22" spans="1:9" x14ac:dyDescent="0.4">
      <c r="A22" s="13"/>
      <c r="B22" s="13" t="str">
        <f ca="1">Start.listina!O15</f>
        <v/>
      </c>
      <c r="C22" s="13" t="str">
        <f ca="1">Start.listina!P15</f>
        <v xml:space="preserve"> </v>
      </c>
      <c r="D22" s="13" t="str">
        <f ca="1">Start.listina!Q15</f>
        <v xml:space="preserve"> </v>
      </c>
      <c r="E22" s="13" t="str">
        <f ca="1">Start.listina!R15</f>
        <v xml:space="preserve"> </v>
      </c>
      <c r="F22" s="13"/>
      <c r="G22" s="89"/>
      <c r="H22" s="4"/>
      <c r="I22" s="4"/>
    </row>
    <row r="23" spans="1:9" x14ac:dyDescent="0.4">
      <c r="A23" s="13"/>
      <c r="B23" s="13" t="str">
        <f ca="1">Start.listina!U15</f>
        <v/>
      </c>
      <c r="C23" s="13" t="str">
        <f ca="1">Start.listina!V15</f>
        <v xml:space="preserve"> </v>
      </c>
      <c r="D23" s="13" t="str">
        <f ca="1">Start.listina!W15</f>
        <v xml:space="preserve"> </v>
      </c>
      <c r="E23" s="13" t="str">
        <f ca="1">Start.listina!X15</f>
        <v xml:space="preserve"> </v>
      </c>
      <c r="F23" s="13"/>
      <c r="G23" s="89"/>
      <c r="H23" s="4"/>
      <c r="I23" s="4"/>
    </row>
    <row r="24" spans="1:9" x14ac:dyDescent="0.4">
      <c r="A24" s="13"/>
      <c r="B24" s="13" t="str">
        <f ca="1">Start.listina!AA15</f>
        <v/>
      </c>
      <c r="C24" s="13" t="str">
        <f ca="1">Start.listina!AB15</f>
        <v xml:space="preserve"> </v>
      </c>
      <c r="D24" s="13" t="str">
        <f ca="1">Start.listina!AC15</f>
        <v xml:space="preserve"> </v>
      </c>
      <c r="E24" s="13" t="str">
        <f ca="1">Start.listina!AD15</f>
        <v xml:space="preserve"> </v>
      </c>
      <c r="F24" s="13"/>
      <c r="G24" s="89"/>
      <c r="H24" s="4"/>
      <c r="I24" s="4"/>
    </row>
    <row r="25" spans="1:9" x14ac:dyDescent="0.4">
      <c r="A25" s="13">
        <f ca="1">Start.listina!AH16</f>
        <v>39</v>
      </c>
      <c r="B25" s="13">
        <f ca="1">Start.listina!I16</f>
        <v>13029</v>
      </c>
      <c r="C25" s="13" t="str">
        <f ca="1">Start.listina!J16</f>
        <v>Kamaryt</v>
      </c>
      <c r="D25" s="13" t="str">
        <f ca="1">Start.listina!K16</f>
        <v>Josef</v>
      </c>
      <c r="E25" s="13" t="str">
        <f ca="1">Start.listina!L16</f>
        <v>CdP Loděnice</v>
      </c>
      <c r="F25" s="13"/>
      <c r="G25" s="89">
        <f ca="1">IF(N(A25)&gt;0,VLOOKUP(A25,Body!$A$4:$F$259,5,0),"")</f>
        <v>29.943896484374999</v>
      </c>
      <c r="H25" s="4">
        <f ca="1">IF(N(A25)&gt;0,VLOOKUP(A25,Body!$A$4:$F$259,6,0),"")</f>
        <v>0</v>
      </c>
      <c r="I25" s="4">
        <f ca="1">IF(N(A25)&gt;0,VLOOKUP(A25,Body!$A$4:$F$259,2,0),"")</f>
        <v>0.78125</v>
      </c>
    </row>
    <row r="26" spans="1:9" x14ac:dyDescent="0.4">
      <c r="A26" s="13"/>
      <c r="B26" s="13" t="str">
        <f ca="1">Start.listina!O16</f>
        <v/>
      </c>
      <c r="C26" s="13" t="str">
        <f ca="1">Start.listina!P16</f>
        <v xml:space="preserve"> </v>
      </c>
      <c r="D26" s="13" t="str">
        <f ca="1">Start.listina!Q16</f>
        <v xml:space="preserve"> </v>
      </c>
      <c r="E26" s="13" t="str">
        <f ca="1">Start.listina!R16</f>
        <v xml:space="preserve"> </v>
      </c>
      <c r="F26" s="13"/>
      <c r="G26" s="89"/>
      <c r="H26" s="4"/>
      <c r="I26" s="4"/>
    </row>
    <row r="27" spans="1:9" x14ac:dyDescent="0.4">
      <c r="A27" s="13"/>
      <c r="B27" s="13" t="str">
        <f ca="1">Start.listina!U16</f>
        <v/>
      </c>
      <c r="C27" s="13" t="str">
        <f ca="1">Start.listina!V16</f>
        <v xml:space="preserve"> </v>
      </c>
      <c r="D27" s="13" t="str">
        <f ca="1">Start.listina!W16</f>
        <v xml:space="preserve"> </v>
      </c>
      <c r="E27" s="13" t="str">
        <f ca="1">Start.listina!X16</f>
        <v xml:space="preserve"> </v>
      </c>
      <c r="F27" s="13"/>
      <c r="G27" s="89"/>
      <c r="H27" s="4"/>
      <c r="I27" s="4"/>
    </row>
    <row r="28" spans="1:9" x14ac:dyDescent="0.4">
      <c r="A28" s="13"/>
      <c r="B28" s="13" t="str">
        <f ca="1">Start.listina!AA16</f>
        <v/>
      </c>
      <c r="C28" s="13" t="str">
        <f ca="1">Start.listina!AB16</f>
        <v xml:space="preserve"> </v>
      </c>
      <c r="D28" s="13" t="str">
        <f ca="1">Start.listina!AC16</f>
        <v xml:space="preserve"> </v>
      </c>
      <c r="E28" s="13" t="str">
        <f ca="1">Start.listina!AD16</f>
        <v xml:space="preserve"> </v>
      </c>
      <c r="F28" s="13"/>
      <c r="G28" s="89"/>
      <c r="H28" s="4"/>
      <c r="I28" s="4"/>
    </row>
    <row r="29" spans="1:9" x14ac:dyDescent="0.4">
      <c r="A29" s="13">
        <f ca="1">Start.listina!AH17</f>
        <v>8</v>
      </c>
      <c r="B29" s="13">
        <f ca="1">Start.listina!I17</f>
        <v>22100</v>
      </c>
      <c r="C29" s="13" t="str">
        <f ca="1">Start.listina!J17</f>
        <v>Semeniv</v>
      </c>
      <c r="D29" s="13" t="str">
        <f ca="1">Start.listina!K17</f>
        <v>Maryana Khrystyna</v>
      </c>
      <c r="E29" s="13" t="str">
        <f ca="1">Start.listina!L17</f>
        <v>1. KPK Vrchlabí</v>
      </c>
      <c r="F29" s="13"/>
      <c r="G29" s="89">
        <f ca="1">IF(N(A29)&gt;0,VLOOKUP(A29,Body!$A$4:$F$259,5,0),"")</f>
        <v>114.9845625</v>
      </c>
      <c r="H29" s="4">
        <f ca="1">IF(N(A29)&gt;0,VLOOKUP(A29,Body!$A$4:$F$259,6,0),"")</f>
        <v>0</v>
      </c>
      <c r="I29" s="4">
        <f ca="1">IF(N(A29)&gt;0,VLOOKUP(A29,Body!$A$4:$F$259,2,0),"")</f>
        <v>3</v>
      </c>
    </row>
    <row r="30" spans="1:9" x14ac:dyDescent="0.4">
      <c r="A30" s="13"/>
      <c r="B30" s="13" t="str">
        <f ca="1">Start.listina!O17</f>
        <v/>
      </c>
      <c r="C30" s="13" t="str">
        <f ca="1">Start.listina!P17</f>
        <v xml:space="preserve"> </v>
      </c>
      <c r="D30" s="13" t="str">
        <f ca="1">Start.listina!Q17</f>
        <v xml:space="preserve"> </v>
      </c>
      <c r="E30" s="13" t="str">
        <f ca="1">Start.listina!R17</f>
        <v xml:space="preserve"> </v>
      </c>
      <c r="F30" s="13"/>
      <c r="G30" s="89"/>
      <c r="H30" s="4"/>
      <c r="I30" s="4"/>
    </row>
    <row r="31" spans="1:9" x14ac:dyDescent="0.4">
      <c r="A31" s="13"/>
      <c r="B31" s="13" t="str">
        <f ca="1">Start.listina!U17</f>
        <v/>
      </c>
      <c r="C31" s="13" t="str">
        <f ca="1">Start.listina!V17</f>
        <v xml:space="preserve"> </v>
      </c>
      <c r="D31" s="13" t="str">
        <f ca="1">Start.listina!W17</f>
        <v xml:space="preserve"> </v>
      </c>
      <c r="E31" s="13" t="str">
        <f ca="1">Start.listina!X17</f>
        <v xml:space="preserve"> </v>
      </c>
      <c r="F31" s="13"/>
      <c r="G31" s="89"/>
      <c r="H31" s="4"/>
      <c r="I31" s="4"/>
    </row>
    <row r="32" spans="1:9" x14ac:dyDescent="0.4">
      <c r="A32" s="13"/>
      <c r="B32" s="13" t="str">
        <f ca="1">Start.listina!AA17</f>
        <v/>
      </c>
      <c r="C32" s="13" t="str">
        <f ca="1">Start.listina!AB17</f>
        <v xml:space="preserve"> </v>
      </c>
      <c r="D32" s="13" t="str">
        <f ca="1">Start.listina!AC17</f>
        <v xml:space="preserve"> </v>
      </c>
      <c r="E32" s="13" t="str">
        <f ca="1">Start.listina!AD17</f>
        <v xml:space="preserve"> </v>
      </c>
      <c r="F32" s="13"/>
      <c r="G32" s="89"/>
      <c r="H32" s="4"/>
      <c r="I32" s="4"/>
    </row>
    <row r="33" spans="1:9" x14ac:dyDescent="0.4">
      <c r="A33" s="13">
        <f ca="1">Start.listina!AH18</f>
        <v>43</v>
      </c>
      <c r="B33" s="13">
        <f ca="1">Start.listina!I18</f>
        <v>22183</v>
      </c>
      <c r="C33" s="13" t="str">
        <f ca="1">Start.listina!J18</f>
        <v>Brandes</v>
      </c>
      <c r="D33" s="13" t="str">
        <f ca="1">Start.listina!K18</f>
        <v>Michael</v>
      </c>
      <c r="E33" s="13" t="str">
        <f ca="1">Start.listina!L18</f>
        <v>PC Damníkov</v>
      </c>
      <c r="F33" s="13"/>
      <c r="G33" s="89">
        <f ca="1">IF(N(A33)&gt;0,VLOOKUP(A33,Body!$A$4:$F$259,5,0),"")</f>
        <v>25.152873046874998</v>
      </c>
      <c r="H33" s="4">
        <f ca="1">IF(N(A33)&gt;0,VLOOKUP(A33,Body!$A$4:$F$259,6,0),"")</f>
        <v>0</v>
      </c>
      <c r="I33" s="4">
        <f ca="1">IF(N(A33)&gt;0,VLOOKUP(A33,Body!$A$4:$F$259,2,0),"")</f>
        <v>0.65625</v>
      </c>
    </row>
    <row r="34" spans="1:9" x14ac:dyDescent="0.4">
      <c r="A34" s="13"/>
      <c r="B34" s="13" t="str">
        <f ca="1">Start.listina!O18</f>
        <v/>
      </c>
      <c r="C34" s="13" t="str">
        <f ca="1">Start.listina!P18</f>
        <v xml:space="preserve"> </v>
      </c>
      <c r="D34" s="13" t="str">
        <f ca="1">Start.listina!Q18</f>
        <v xml:space="preserve"> </v>
      </c>
      <c r="E34" s="13" t="str">
        <f ca="1">Start.listina!R18</f>
        <v xml:space="preserve"> </v>
      </c>
      <c r="F34" s="13"/>
      <c r="G34" s="89"/>
      <c r="H34" s="4"/>
      <c r="I34" s="4"/>
    </row>
    <row r="35" spans="1:9" x14ac:dyDescent="0.4">
      <c r="A35" s="13"/>
      <c r="B35" s="13" t="str">
        <f ca="1">Start.listina!U18</f>
        <v/>
      </c>
      <c r="C35" s="13" t="str">
        <f ca="1">Start.listina!V18</f>
        <v xml:space="preserve"> </v>
      </c>
      <c r="D35" s="13" t="str">
        <f ca="1">Start.listina!W18</f>
        <v xml:space="preserve"> </v>
      </c>
      <c r="E35" s="13" t="str">
        <f ca="1">Start.listina!X18</f>
        <v xml:space="preserve"> </v>
      </c>
      <c r="F35" s="13"/>
      <c r="G35" s="89"/>
      <c r="H35" s="4"/>
      <c r="I35" s="4"/>
    </row>
    <row r="36" spans="1:9" x14ac:dyDescent="0.4">
      <c r="A36" s="13"/>
      <c r="B36" s="13" t="str">
        <f ca="1">Start.listina!AA18</f>
        <v/>
      </c>
      <c r="C36" s="13" t="str">
        <f ca="1">Start.listina!AB18</f>
        <v xml:space="preserve"> </v>
      </c>
      <c r="D36" s="13" t="str">
        <f ca="1">Start.listina!AC18</f>
        <v xml:space="preserve"> </v>
      </c>
      <c r="E36" s="13" t="str">
        <f ca="1">Start.listina!AD18</f>
        <v xml:space="preserve"> </v>
      </c>
      <c r="F36" s="13"/>
      <c r="G36" s="89"/>
      <c r="H36" s="4"/>
      <c r="I36" s="4"/>
    </row>
    <row r="37" spans="1:9" x14ac:dyDescent="0.4">
      <c r="A37" s="13">
        <f ca="1">Start.listina!AH19</f>
        <v>16</v>
      </c>
      <c r="B37" s="13">
        <f ca="1">Start.listina!I19</f>
        <v>15065</v>
      </c>
      <c r="C37" s="13" t="str">
        <f ca="1">Start.listina!J19</f>
        <v>Palas</v>
      </c>
      <c r="D37" s="13" t="str">
        <f ca="1">Start.listina!K19</f>
        <v>Pavel</v>
      </c>
      <c r="E37" s="13" t="str">
        <f ca="1">Start.listina!L19</f>
        <v>UBU Únětice</v>
      </c>
      <c r="F37" s="13"/>
      <c r="G37" s="89">
        <f ca="1">IF(N(A37)&gt;0,VLOOKUP(A37,Body!$A$4:$F$259,5,0),"")</f>
        <v>76.656374999999997</v>
      </c>
      <c r="H37" s="4">
        <f ca="1">IF(N(A37)&gt;0,VLOOKUP(A37,Body!$A$4:$F$259,6,0),"")</f>
        <v>0</v>
      </c>
      <c r="I37" s="4">
        <f ca="1">IF(N(A37)&gt;0,VLOOKUP(A37,Body!$A$4:$F$259,2,0),"")</f>
        <v>2</v>
      </c>
    </row>
    <row r="38" spans="1:9" x14ac:dyDescent="0.4">
      <c r="A38" s="13"/>
      <c r="B38" s="13" t="str">
        <f ca="1">Start.listina!O19</f>
        <v/>
      </c>
      <c r="C38" s="13" t="str">
        <f ca="1">Start.listina!P19</f>
        <v xml:space="preserve"> </v>
      </c>
      <c r="D38" s="13" t="str">
        <f ca="1">Start.listina!Q19</f>
        <v xml:space="preserve"> </v>
      </c>
      <c r="E38" s="13" t="str">
        <f ca="1">Start.listina!R19</f>
        <v xml:space="preserve"> </v>
      </c>
      <c r="F38" s="13"/>
      <c r="G38" s="89"/>
      <c r="H38" s="4"/>
      <c r="I38" s="4"/>
    </row>
    <row r="39" spans="1:9" x14ac:dyDescent="0.4">
      <c r="A39" s="13"/>
      <c r="B39" s="13" t="str">
        <f ca="1">Start.listina!U19</f>
        <v/>
      </c>
      <c r="C39" s="13" t="str">
        <f ca="1">Start.listina!V19</f>
        <v xml:space="preserve"> </v>
      </c>
      <c r="D39" s="13" t="str">
        <f ca="1">Start.listina!W19</f>
        <v xml:space="preserve"> </v>
      </c>
      <c r="E39" s="13" t="str">
        <f ca="1">Start.listina!X19</f>
        <v xml:space="preserve"> </v>
      </c>
      <c r="F39" s="13"/>
      <c r="G39" s="89"/>
      <c r="H39" s="4"/>
      <c r="I39" s="4"/>
    </row>
    <row r="40" spans="1:9" x14ac:dyDescent="0.4">
      <c r="A40" s="13"/>
      <c r="B40" s="13" t="str">
        <f ca="1">Start.listina!AA19</f>
        <v/>
      </c>
      <c r="C40" s="13" t="str">
        <f ca="1">Start.listina!AB19</f>
        <v xml:space="preserve"> </v>
      </c>
      <c r="D40" s="13" t="str">
        <f ca="1">Start.listina!AC19</f>
        <v xml:space="preserve"> </v>
      </c>
      <c r="E40" s="13" t="str">
        <f ca="1">Start.listina!AD19</f>
        <v xml:space="preserve"> </v>
      </c>
      <c r="F40" s="13"/>
      <c r="G40" s="89"/>
      <c r="H40" s="4"/>
      <c r="I40" s="4"/>
    </row>
    <row r="41" spans="1:9" x14ac:dyDescent="0.4">
      <c r="A41" s="13">
        <f ca="1">Start.listina!AH20</f>
        <v>19</v>
      </c>
      <c r="B41" s="13">
        <f ca="1">Start.listina!I20</f>
        <v>16117</v>
      </c>
      <c r="C41" s="13" t="str">
        <f ca="1">Start.listina!J20</f>
        <v>Stejskal</v>
      </c>
      <c r="D41" s="13" t="str">
        <f ca="1">Start.listina!K20</f>
        <v>Václav</v>
      </c>
      <c r="E41" s="13" t="str">
        <f ca="1">Start.listina!L20</f>
        <v>JAPKO</v>
      </c>
      <c r="F41" s="13"/>
      <c r="G41" s="89">
        <f ca="1">IF(N(A41)&gt;0,VLOOKUP(A41,Body!$A$4:$F$259,5,0),"")</f>
        <v>69.469839843749995</v>
      </c>
      <c r="H41" s="4">
        <f ca="1">IF(N(A41)&gt;0,VLOOKUP(A41,Body!$A$4:$F$259,6,0),"")</f>
        <v>0</v>
      </c>
      <c r="I41" s="4">
        <f ca="1">IF(N(A41)&gt;0,VLOOKUP(A41,Body!$A$4:$F$259,2,0),"")</f>
        <v>1.8125</v>
      </c>
    </row>
    <row r="42" spans="1:9" x14ac:dyDescent="0.4">
      <c r="A42" s="13"/>
      <c r="B42" s="13" t="str">
        <f ca="1">Start.listina!O20</f>
        <v/>
      </c>
      <c r="C42" s="13" t="str">
        <f ca="1">Start.listina!P20</f>
        <v xml:space="preserve"> </v>
      </c>
      <c r="D42" s="13" t="str">
        <f ca="1">Start.listina!Q20</f>
        <v xml:space="preserve"> </v>
      </c>
      <c r="E42" s="13" t="str">
        <f ca="1">Start.listina!R20</f>
        <v xml:space="preserve"> </v>
      </c>
      <c r="F42" s="13"/>
      <c r="G42" s="89"/>
      <c r="H42" s="4"/>
      <c r="I42" s="4"/>
    </row>
    <row r="43" spans="1:9" x14ac:dyDescent="0.4">
      <c r="A43" s="13"/>
      <c r="B43" s="13" t="str">
        <f ca="1">Start.listina!U20</f>
        <v/>
      </c>
      <c r="C43" s="13" t="str">
        <f ca="1">Start.listina!V20</f>
        <v xml:space="preserve"> </v>
      </c>
      <c r="D43" s="13" t="str">
        <f ca="1">Start.listina!W20</f>
        <v xml:space="preserve"> </v>
      </c>
      <c r="E43" s="13" t="str">
        <f ca="1">Start.listina!X20</f>
        <v xml:space="preserve"> </v>
      </c>
      <c r="F43" s="13"/>
      <c r="G43" s="89"/>
      <c r="H43" s="4"/>
      <c r="I43" s="4"/>
    </row>
    <row r="44" spans="1:9" x14ac:dyDescent="0.4">
      <c r="A44" s="13"/>
      <c r="B44" s="13" t="str">
        <f ca="1">Start.listina!AA20</f>
        <v/>
      </c>
      <c r="C44" s="13" t="str">
        <f ca="1">Start.listina!AB20</f>
        <v xml:space="preserve"> </v>
      </c>
      <c r="D44" s="13" t="str">
        <f ca="1">Start.listina!AC20</f>
        <v xml:space="preserve"> </v>
      </c>
      <c r="E44" s="13" t="str">
        <f ca="1">Start.listina!AD20</f>
        <v xml:space="preserve"> </v>
      </c>
      <c r="F44" s="13"/>
      <c r="G44" s="89"/>
      <c r="H44" s="4"/>
      <c r="I44" s="4"/>
    </row>
    <row r="45" spans="1:9" x14ac:dyDescent="0.4">
      <c r="A45" s="13">
        <f ca="1">Start.listina!AH21</f>
        <v>29</v>
      </c>
      <c r="B45" s="13">
        <f ca="1">Start.listina!I21</f>
        <v>14099</v>
      </c>
      <c r="C45" s="13" t="str">
        <f ca="1">Start.listina!J21</f>
        <v>Klouda</v>
      </c>
      <c r="D45" s="13" t="str">
        <f ca="1">Start.listina!K21</f>
        <v>Aleš</v>
      </c>
      <c r="E45" s="13" t="str">
        <f ca="1">Start.listina!L21</f>
        <v>Petank Club Praha</v>
      </c>
      <c r="F45" s="13"/>
      <c r="G45" s="89">
        <f ca="1">IF(N(A45)&gt;0,VLOOKUP(A45,Body!$A$4:$F$259,5,0),"")</f>
        <v>45.514722656250001</v>
      </c>
      <c r="H45" s="4">
        <f ca="1">IF(N(A45)&gt;0,VLOOKUP(A45,Body!$A$4:$F$259,6,0),"")</f>
        <v>0</v>
      </c>
      <c r="I45" s="4">
        <f ca="1">IF(N(A45)&gt;0,VLOOKUP(A45,Body!$A$4:$F$259,2,0),"")</f>
        <v>1.1875</v>
      </c>
    </row>
    <row r="46" spans="1:9" x14ac:dyDescent="0.4">
      <c r="A46" s="13"/>
      <c r="B46" s="13" t="str">
        <f ca="1">Start.listina!O21</f>
        <v/>
      </c>
      <c r="C46" s="13" t="str">
        <f ca="1">Start.listina!P21</f>
        <v xml:space="preserve"> </v>
      </c>
      <c r="D46" s="13" t="str">
        <f ca="1">Start.listina!Q21</f>
        <v xml:space="preserve"> </v>
      </c>
      <c r="E46" s="13" t="str">
        <f ca="1">Start.listina!R21</f>
        <v xml:space="preserve"> </v>
      </c>
      <c r="F46" s="13"/>
      <c r="G46" s="89"/>
      <c r="H46" s="4"/>
      <c r="I46" s="4"/>
    </row>
    <row r="47" spans="1:9" x14ac:dyDescent="0.4">
      <c r="A47" s="13"/>
      <c r="B47" s="13" t="str">
        <f ca="1">Start.listina!U21</f>
        <v/>
      </c>
      <c r="C47" s="13" t="str">
        <f ca="1">Start.listina!V21</f>
        <v xml:space="preserve"> </v>
      </c>
      <c r="D47" s="13" t="str">
        <f ca="1">Start.listina!W21</f>
        <v xml:space="preserve"> </v>
      </c>
      <c r="E47" s="13" t="str">
        <f ca="1">Start.listina!X21</f>
        <v xml:space="preserve"> </v>
      </c>
      <c r="F47" s="13"/>
      <c r="G47" s="89"/>
      <c r="H47" s="4"/>
      <c r="I47" s="4"/>
    </row>
    <row r="48" spans="1:9" x14ac:dyDescent="0.4">
      <c r="A48" s="13"/>
      <c r="B48" s="13" t="str">
        <f ca="1">Start.listina!AA21</f>
        <v/>
      </c>
      <c r="C48" s="13" t="str">
        <f ca="1">Start.listina!AB21</f>
        <v xml:space="preserve"> </v>
      </c>
      <c r="D48" s="13" t="str">
        <f ca="1">Start.listina!AC21</f>
        <v xml:space="preserve"> </v>
      </c>
      <c r="E48" s="13" t="str">
        <f ca="1">Start.listina!AD21</f>
        <v xml:space="preserve"> </v>
      </c>
      <c r="F48" s="13"/>
      <c r="G48" s="89"/>
      <c r="H48" s="4"/>
      <c r="I48" s="4"/>
    </row>
    <row r="49" spans="1:9" x14ac:dyDescent="0.4">
      <c r="A49" s="13">
        <f ca="1">Start.listina!AH22</f>
        <v>16</v>
      </c>
      <c r="B49" s="13">
        <f ca="1">Start.listina!I22</f>
        <v>14079</v>
      </c>
      <c r="C49" s="13" t="str">
        <f ca="1">Start.listina!J22</f>
        <v>Heller</v>
      </c>
      <c r="D49" s="13" t="str">
        <f ca="1">Start.listina!K22</f>
        <v>Jan</v>
      </c>
      <c r="E49" s="13" t="str">
        <f ca="1">Start.listina!L22</f>
        <v>PC Mimo Done</v>
      </c>
      <c r="F49" s="13"/>
      <c r="G49" s="89">
        <f ca="1">IF(N(A49)&gt;0,VLOOKUP(A49,Body!$A$4:$F$259,5,0),"")</f>
        <v>76.656374999999997</v>
      </c>
      <c r="H49" s="4">
        <f ca="1">IF(N(A49)&gt;0,VLOOKUP(A49,Body!$A$4:$F$259,6,0),"")</f>
        <v>0</v>
      </c>
      <c r="I49" s="4">
        <f ca="1">IF(N(A49)&gt;0,VLOOKUP(A49,Body!$A$4:$F$259,2,0),"")</f>
        <v>2</v>
      </c>
    </row>
    <row r="50" spans="1:9" x14ac:dyDescent="0.4">
      <c r="A50" s="13"/>
      <c r="B50" s="13" t="str">
        <f ca="1">Start.listina!O22</f>
        <v/>
      </c>
      <c r="C50" s="13" t="str">
        <f ca="1">Start.listina!P22</f>
        <v xml:space="preserve"> </v>
      </c>
      <c r="D50" s="13" t="str">
        <f ca="1">Start.listina!Q22</f>
        <v xml:space="preserve"> </v>
      </c>
      <c r="E50" s="13" t="str">
        <f ca="1">Start.listina!R22</f>
        <v xml:space="preserve"> </v>
      </c>
      <c r="F50" s="13"/>
      <c r="G50" s="89"/>
      <c r="H50" s="4"/>
      <c r="I50" s="4"/>
    </row>
    <row r="51" spans="1:9" x14ac:dyDescent="0.4">
      <c r="A51" s="13"/>
      <c r="B51" s="13" t="str">
        <f ca="1">Start.listina!U22</f>
        <v/>
      </c>
      <c r="C51" s="13" t="str">
        <f ca="1">Start.listina!V22</f>
        <v xml:space="preserve"> </v>
      </c>
      <c r="D51" s="13" t="str">
        <f ca="1">Start.listina!W22</f>
        <v xml:space="preserve"> </v>
      </c>
      <c r="E51" s="13" t="str">
        <f ca="1">Start.listina!X22</f>
        <v xml:space="preserve"> </v>
      </c>
      <c r="F51" s="13"/>
      <c r="G51" s="89"/>
      <c r="H51" s="4"/>
      <c r="I51" s="4"/>
    </row>
    <row r="52" spans="1:9" x14ac:dyDescent="0.4">
      <c r="A52" s="13"/>
      <c r="B52" s="13" t="str">
        <f ca="1">Start.listina!AA22</f>
        <v/>
      </c>
      <c r="C52" s="13" t="str">
        <f ca="1">Start.listina!AB22</f>
        <v xml:space="preserve"> </v>
      </c>
      <c r="D52" s="13" t="str">
        <f ca="1">Start.listina!AC22</f>
        <v xml:space="preserve"> </v>
      </c>
      <c r="E52" s="13" t="str">
        <f ca="1">Start.listina!AD22</f>
        <v xml:space="preserve"> </v>
      </c>
      <c r="F52" s="13"/>
      <c r="G52" s="89"/>
      <c r="H52" s="4"/>
      <c r="I52" s="4"/>
    </row>
    <row r="53" spans="1:9" x14ac:dyDescent="0.4">
      <c r="A53" s="13">
        <f ca="1">Start.listina!AH23</f>
        <v>41</v>
      </c>
      <c r="B53" s="13">
        <f ca="1">Start.listina!I23</f>
        <v>14074</v>
      </c>
      <c r="C53" s="13" t="str">
        <f ca="1">Start.listina!J23</f>
        <v>Froňková</v>
      </c>
      <c r="D53" s="13" t="str">
        <f ca="1">Start.listina!K23</f>
        <v>Blanka</v>
      </c>
      <c r="E53" s="13" t="str">
        <f ca="1">Start.listina!L23</f>
        <v>PC Sokol Lipník</v>
      </c>
      <c r="F53" s="13"/>
      <c r="G53" s="89">
        <f ca="1">IF(N(A53)&gt;0,VLOOKUP(A53,Body!$A$4:$F$259,5,0),"")</f>
        <v>27.548384765624998</v>
      </c>
      <c r="H53" s="4">
        <f ca="1">IF(N(A53)&gt;0,VLOOKUP(A53,Body!$A$4:$F$259,6,0),"")</f>
        <v>0</v>
      </c>
      <c r="I53" s="4">
        <f ca="1">IF(N(A53)&gt;0,VLOOKUP(A53,Body!$A$4:$F$259,2,0),"")</f>
        <v>0.71875</v>
      </c>
    </row>
    <row r="54" spans="1:9" x14ac:dyDescent="0.4">
      <c r="A54" s="13"/>
      <c r="B54" s="13" t="str">
        <f ca="1">Start.listina!O23</f>
        <v/>
      </c>
      <c r="C54" s="13" t="str">
        <f ca="1">Start.listina!P23</f>
        <v xml:space="preserve"> </v>
      </c>
      <c r="D54" s="13" t="str">
        <f ca="1">Start.listina!Q23</f>
        <v xml:space="preserve"> </v>
      </c>
      <c r="E54" s="13" t="str">
        <f ca="1">Start.listina!R23</f>
        <v xml:space="preserve"> </v>
      </c>
      <c r="F54" s="13"/>
      <c r="G54" s="89"/>
      <c r="H54" s="4"/>
      <c r="I54" s="4"/>
    </row>
    <row r="55" spans="1:9" x14ac:dyDescent="0.4">
      <c r="A55" s="13"/>
      <c r="B55" s="13" t="str">
        <f ca="1">Start.listina!U23</f>
        <v/>
      </c>
      <c r="C55" s="13" t="str">
        <f ca="1">Start.listina!V23</f>
        <v xml:space="preserve"> </v>
      </c>
      <c r="D55" s="13" t="str">
        <f ca="1">Start.listina!W23</f>
        <v xml:space="preserve"> </v>
      </c>
      <c r="E55" s="13" t="str">
        <f ca="1">Start.listina!X23</f>
        <v xml:space="preserve"> </v>
      </c>
      <c r="F55" s="13"/>
      <c r="G55" s="89"/>
      <c r="H55" s="4"/>
      <c r="I55" s="4"/>
    </row>
    <row r="56" spans="1:9" x14ac:dyDescent="0.4">
      <c r="A56" s="13"/>
      <c r="B56" s="13" t="str">
        <f ca="1">Start.listina!AA23</f>
        <v/>
      </c>
      <c r="C56" s="13" t="str">
        <f ca="1">Start.listina!AB23</f>
        <v xml:space="preserve"> </v>
      </c>
      <c r="D56" s="13" t="str">
        <f ca="1">Start.listina!AC23</f>
        <v xml:space="preserve"> </v>
      </c>
      <c r="E56" s="13" t="str">
        <f ca="1">Start.listina!AD23</f>
        <v xml:space="preserve"> </v>
      </c>
      <c r="F56" s="13"/>
      <c r="G56" s="89"/>
      <c r="H56" s="4"/>
      <c r="I56" s="4"/>
    </row>
    <row r="57" spans="1:9" x14ac:dyDescent="0.4">
      <c r="A57" s="13">
        <f ca="1">Start.listina!AH24</f>
        <v>2</v>
      </c>
      <c r="B57" s="13">
        <f ca="1">Start.listina!I24</f>
        <v>98446</v>
      </c>
      <c r="C57" s="13" t="str">
        <f ca="1">Start.listina!J24</f>
        <v>Morávek</v>
      </c>
      <c r="D57" s="13" t="str">
        <f ca="1">Start.listina!K24</f>
        <v>Petr</v>
      </c>
      <c r="E57" s="13" t="str">
        <f ca="1">Start.listina!L24</f>
        <v>PC Sokol Lipník</v>
      </c>
      <c r="F57" s="13"/>
      <c r="G57" s="89">
        <f ca="1">IF(N(A57)&gt;0,VLOOKUP(A57,Body!$A$4:$F$259,5,0),"")</f>
        <v>191.64093750000001</v>
      </c>
      <c r="H57" s="4">
        <f ca="1">IF(N(A57)&gt;0,VLOOKUP(A57,Body!$A$4:$F$259,6,0),"")</f>
        <v>0</v>
      </c>
      <c r="I57" s="4">
        <f ca="1">IF(N(A57)&gt;0,VLOOKUP(A57,Body!$A$4:$F$259,2,0),"")</f>
        <v>5</v>
      </c>
    </row>
    <row r="58" spans="1:9" x14ac:dyDescent="0.4">
      <c r="A58" s="13"/>
      <c r="B58" s="13" t="str">
        <f ca="1">Start.listina!O24</f>
        <v/>
      </c>
      <c r="C58" s="13" t="str">
        <f ca="1">Start.listina!P24</f>
        <v xml:space="preserve"> </v>
      </c>
      <c r="D58" s="13" t="str">
        <f ca="1">Start.listina!Q24</f>
        <v xml:space="preserve"> </v>
      </c>
      <c r="E58" s="13" t="str">
        <f ca="1">Start.listina!R24</f>
        <v xml:space="preserve"> </v>
      </c>
      <c r="F58" s="13"/>
      <c r="G58" s="89"/>
      <c r="H58" s="4"/>
      <c r="I58" s="4"/>
    </row>
    <row r="59" spans="1:9" x14ac:dyDescent="0.4">
      <c r="A59" s="13"/>
      <c r="B59" s="13" t="str">
        <f ca="1">Start.listina!U24</f>
        <v/>
      </c>
      <c r="C59" s="13" t="str">
        <f ca="1">Start.listina!V24</f>
        <v xml:space="preserve"> </v>
      </c>
      <c r="D59" s="13" t="str">
        <f ca="1">Start.listina!W24</f>
        <v xml:space="preserve"> </v>
      </c>
      <c r="E59" s="13" t="str">
        <f ca="1">Start.listina!X24</f>
        <v xml:space="preserve"> </v>
      </c>
      <c r="F59" s="13"/>
      <c r="G59" s="89"/>
      <c r="H59" s="4"/>
      <c r="I59" s="4"/>
    </row>
    <row r="60" spans="1:9" x14ac:dyDescent="0.4">
      <c r="A60" s="13"/>
      <c r="B60" s="13" t="str">
        <f ca="1">Start.listina!AA24</f>
        <v/>
      </c>
      <c r="C60" s="13" t="str">
        <f ca="1">Start.listina!AB24</f>
        <v xml:space="preserve"> </v>
      </c>
      <c r="D60" s="13" t="str">
        <f ca="1">Start.listina!AC24</f>
        <v xml:space="preserve"> </v>
      </c>
      <c r="E60" s="13" t="str">
        <f ca="1">Start.listina!AD24</f>
        <v xml:space="preserve"> </v>
      </c>
      <c r="F60" s="13"/>
      <c r="G60" s="89"/>
      <c r="H60" s="4"/>
      <c r="I60" s="4"/>
    </row>
    <row r="61" spans="1:9" x14ac:dyDescent="0.4">
      <c r="A61" s="13">
        <f ca="1">Start.listina!AH25</f>
        <v>17</v>
      </c>
      <c r="B61" s="13">
        <f ca="1">Start.listina!I25</f>
        <v>19001</v>
      </c>
      <c r="C61" s="13" t="str">
        <f ca="1">Start.listina!J25</f>
        <v>Vlach</v>
      </c>
      <c r="D61" s="13" t="str">
        <f ca="1">Start.listina!K25</f>
        <v>Jaromír</v>
      </c>
      <c r="E61" s="13" t="str">
        <f ca="1">Start.listina!L25</f>
        <v>Sokol Kostomlaty</v>
      </c>
      <c r="F61" s="13"/>
      <c r="G61" s="89">
        <f ca="1">IF(N(A61)&gt;0,VLOOKUP(A61,Body!$A$4:$F$259,5,0),"")</f>
        <v>74.260863281249996</v>
      </c>
      <c r="H61" s="4">
        <f ca="1">IF(N(A61)&gt;0,VLOOKUP(A61,Body!$A$4:$F$259,6,0),"")</f>
        <v>0</v>
      </c>
      <c r="I61" s="4">
        <f ca="1">IF(N(A61)&gt;0,VLOOKUP(A61,Body!$A$4:$F$259,2,0),"")</f>
        <v>1.9375</v>
      </c>
    </row>
    <row r="62" spans="1:9" x14ac:dyDescent="0.4">
      <c r="A62" s="13"/>
      <c r="B62" s="13" t="str">
        <f ca="1">Start.listina!O25</f>
        <v/>
      </c>
      <c r="C62" s="13" t="str">
        <f ca="1">Start.listina!P25</f>
        <v xml:space="preserve"> </v>
      </c>
      <c r="D62" s="13" t="str">
        <f ca="1">Start.listina!Q25</f>
        <v xml:space="preserve"> </v>
      </c>
      <c r="E62" s="13" t="str">
        <f ca="1">Start.listina!R25</f>
        <v xml:space="preserve"> </v>
      </c>
      <c r="F62" s="13"/>
      <c r="G62" s="89"/>
      <c r="H62" s="4"/>
      <c r="I62" s="4"/>
    </row>
    <row r="63" spans="1:9" x14ac:dyDescent="0.4">
      <c r="A63" s="13"/>
      <c r="B63" s="13" t="str">
        <f ca="1">Start.listina!U25</f>
        <v/>
      </c>
      <c r="C63" s="13" t="str">
        <f ca="1">Start.listina!V25</f>
        <v xml:space="preserve"> </v>
      </c>
      <c r="D63" s="13" t="str">
        <f ca="1">Start.listina!W25</f>
        <v xml:space="preserve"> </v>
      </c>
      <c r="E63" s="13" t="str">
        <f ca="1">Start.listina!X25</f>
        <v xml:space="preserve"> </v>
      </c>
      <c r="F63" s="13"/>
      <c r="G63" s="89"/>
      <c r="H63" s="4"/>
      <c r="I63" s="4"/>
    </row>
    <row r="64" spans="1:9" x14ac:dyDescent="0.4">
      <c r="A64" s="13"/>
      <c r="B64" s="13" t="str">
        <f ca="1">Start.listina!AA25</f>
        <v/>
      </c>
      <c r="C64" s="13" t="str">
        <f ca="1">Start.listina!AB25</f>
        <v xml:space="preserve"> </v>
      </c>
      <c r="D64" s="13" t="str">
        <f ca="1">Start.listina!AC25</f>
        <v xml:space="preserve"> </v>
      </c>
      <c r="E64" s="13" t="str">
        <f ca="1">Start.listina!AD25</f>
        <v xml:space="preserve"> </v>
      </c>
      <c r="F64" s="13"/>
      <c r="G64" s="89"/>
      <c r="H64" s="4"/>
      <c r="I64" s="4"/>
    </row>
    <row r="65" spans="1:9" x14ac:dyDescent="0.4">
      <c r="A65" s="13">
        <f ca="1">Start.listina!AH26</f>
        <v>46</v>
      </c>
      <c r="B65" s="13">
        <f ca="1">Start.listina!I26</f>
        <v>15067</v>
      </c>
      <c r="C65" s="13" t="str">
        <f ca="1">Start.listina!J26</f>
        <v>Vyoral</v>
      </c>
      <c r="D65" s="13" t="str">
        <f ca="1">Start.listina!K26</f>
        <v>Hynek</v>
      </c>
      <c r="E65" s="13" t="str">
        <f ca="1">Start.listina!L26</f>
        <v>PC Sokol Lipník</v>
      </c>
      <c r="F65" s="13"/>
      <c r="G65" s="89">
        <f ca="1">IF(N(A65)&gt;0,VLOOKUP(A65,Body!$A$4:$F$259,5,0),"")</f>
        <v>21.55960546875</v>
      </c>
      <c r="H65" s="4">
        <f ca="1">IF(N(A65)&gt;0,VLOOKUP(A65,Body!$A$4:$F$259,6,0),"")</f>
        <v>0</v>
      </c>
      <c r="I65" s="4">
        <f ca="1">IF(N(A65)&gt;0,VLOOKUP(A65,Body!$A$4:$F$259,2,0),"")</f>
        <v>0.5625</v>
      </c>
    </row>
    <row r="66" spans="1:9" x14ac:dyDescent="0.4">
      <c r="A66" s="13"/>
      <c r="B66" s="13" t="str">
        <f ca="1">Start.listina!O26</f>
        <v/>
      </c>
      <c r="C66" s="13" t="str">
        <f ca="1">Start.listina!P26</f>
        <v xml:space="preserve"> </v>
      </c>
      <c r="D66" s="13" t="str">
        <f ca="1">Start.listina!Q26</f>
        <v xml:space="preserve"> </v>
      </c>
      <c r="E66" s="13" t="str">
        <f ca="1">Start.listina!R26</f>
        <v xml:space="preserve"> </v>
      </c>
      <c r="F66" s="13"/>
      <c r="G66" s="89"/>
      <c r="H66" s="4"/>
      <c r="I66" s="4"/>
    </row>
    <row r="67" spans="1:9" x14ac:dyDescent="0.4">
      <c r="A67" s="13"/>
      <c r="B67" s="13" t="str">
        <f ca="1">Start.listina!U26</f>
        <v/>
      </c>
      <c r="C67" s="13" t="str">
        <f ca="1">Start.listina!V26</f>
        <v xml:space="preserve"> </v>
      </c>
      <c r="D67" s="13" t="str">
        <f ca="1">Start.listina!W26</f>
        <v xml:space="preserve"> </v>
      </c>
      <c r="E67" s="13" t="str">
        <f ca="1">Start.listina!X26</f>
        <v xml:space="preserve"> </v>
      </c>
      <c r="F67" s="13"/>
      <c r="G67" s="89"/>
      <c r="H67" s="4"/>
      <c r="I67" s="4"/>
    </row>
    <row r="68" spans="1:9" x14ac:dyDescent="0.4">
      <c r="A68" s="13"/>
      <c r="B68" s="13" t="str">
        <f ca="1">Start.listina!AA26</f>
        <v/>
      </c>
      <c r="C68" s="13" t="str">
        <f ca="1">Start.listina!AB26</f>
        <v xml:space="preserve"> </v>
      </c>
      <c r="D68" s="13" t="str">
        <f ca="1">Start.listina!AC26</f>
        <v xml:space="preserve"> </v>
      </c>
      <c r="E68" s="13" t="str">
        <f ca="1">Start.listina!AD26</f>
        <v xml:space="preserve"> </v>
      </c>
      <c r="F68" s="13"/>
      <c r="G68" s="89"/>
      <c r="H68" s="4"/>
      <c r="I68" s="4"/>
    </row>
    <row r="69" spans="1:9" x14ac:dyDescent="0.4">
      <c r="A69" s="13">
        <f ca="1">Start.listina!AH27</f>
        <v>25</v>
      </c>
      <c r="B69" s="13">
        <f ca="1">Start.listina!I27</f>
        <v>22181</v>
      </c>
      <c r="C69" s="13" t="str">
        <f ca="1">Start.listina!J27</f>
        <v>Brandes</v>
      </c>
      <c r="D69" s="13" t="str">
        <f ca="1">Start.listina!K27</f>
        <v>Valter</v>
      </c>
      <c r="E69" s="13" t="str">
        <f ca="1">Start.listina!L27</f>
        <v>PC Damníkov</v>
      </c>
      <c r="F69" s="13"/>
      <c r="G69" s="89">
        <f ca="1">IF(N(A69)&gt;0,VLOOKUP(A69,Body!$A$4:$F$259,5,0),"")</f>
        <v>55.096769531249997</v>
      </c>
      <c r="H69" s="4">
        <f ca="1">IF(N(A69)&gt;0,VLOOKUP(A69,Body!$A$4:$F$259,6,0),"")</f>
        <v>0</v>
      </c>
      <c r="I69" s="4">
        <f ca="1">IF(N(A69)&gt;0,VLOOKUP(A69,Body!$A$4:$F$259,2,0),"")</f>
        <v>1.4375</v>
      </c>
    </row>
    <row r="70" spans="1:9" x14ac:dyDescent="0.4">
      <c r="A70" s="13"/>
      <c r="B70" s="13" t="str">
        <f ca="1">Start.listina!O27</f>
        <v/>
      </c>
      <c r="C70" s="13" t="str">
        <f ca="1">Start.listina!P27</f>
        <v xml:space="preserve"> </v>
      </c>
      <c r="D70" s="13" t="str">
        <f ca="1">Start.listina!Q27</f>
        <v xml:space="preserve"> </v>
      </c>
      <c r="E70" s="13" t="str">
        <f ca="1">Start.listina!R27</f>
        <v xml:space="preserve"> </v>
      </c>
      <c r="F70" s="13"/>
      <c r="G70" s="89"/>
      <c r="H70" s="4"/>
      <c r="I70" s="4"/>
    </row>
    <row r="71" spans="1:9" x14ac:dyDescent="0.4">
      <c r="A71" s="13"/>
      <c r="B71" s="13" t="str">
        <f ca="1">Start.listina!U27</f>
        <v/>
      </c>
      <c r="C71" s="13" t="str">
        <f ca="1">Start.listina!V27</f>
        <v xml:space="preserve"> </v>
      </c>
      <c r="D71" s="13" t="str">
        <f ca="1">Start.listina!W27</f>
        <v xml:space="preserve"> </v>
      </c>
      <c r="E71" s="13" t="str">
        <f ca="1">Start.listina!X27</f>
        <v xml:space="preserve"> </v>
      </c>
      <c r="F71" s="13"/>
      <c r="G71" s="89"/>
      <c r="H71" s="4"/>
      <c r="I71" s="4"/>
    </row>
    <row r="72" spans="1:9" x14ac:dyDescent="0.4">
      <c r="A72" s="13"/>
      <c r="B72" s="13" t="str">
        <f ca="1">Start.listina!AA27</f>
        <v/>
      </c>
      <c r="C72" s="13" t="str">
        <f ca="1">Start.listina!AB27</f>
        <v xml:space="preserve"> </v>
      </c>
      <c r="D72" s="13" t="str">
        <f ca="1">Start.listina!AC27</f>
        <v xml:space="preserve"> </v>
      </c>
      <c r="E72" s="13" t="str">
        <f ca="1">Start.listina!AD27</f>
        <v xml:space="preserve"> </v>
      </c>
      <c r="F72" s="13"/>
      <c r="G72" s="89"/>
      <c r="H72" s="4"/>
      <c r="I72" s="4"/>
    </row>
    <row r="73" spans="1:9" x14ac:dyDescent="0.4">
      <c r="A73" s="13">
        <f ca="1">Start.listina!AH28</f>
        <v>37</v>
      </c>
      <c r="B73" s="13">
        <f ca="1">Start.listina!I28</f>
        <v>16029</v>
      </c>
      <c r="C73" s="13" t="str">
        <f ca="1">Start.listina!J28</f>
        <v>Kašparová</v>
      </c>
      <c r="D73" s="13" t="str">
        <f ca="1">Start.listina!K28</f>
        <v>Barbora</v>
      </c>
      <c r="E73" s="13" t="str">
        <f ca="1">Start.listina!L28</f>
        <v>Petank Club Praha</v>
      </c>
      <c r="F73" s="13"/>
      <c r="G73" s="89">
        <f ca="1">IF(N(A73)&gt;0,VLOOKUP(A73,Body!$A$4:$F$259,5,0),"")</f>
        <v>32.339408203124997</v>
      </c>
      <c r="H73" s="4">
        <f ca="1">IF(N(A73)&gt;0,VLOOKUP(A73,Body!$A$4:$F$259,6,0),"")</f>
        <v>0</v>
      </c>
      <c r="I73" s="4">
        <f ca="1">IF(N(A73)&gt;0,VLOOKUP(A73,Body!$A$4:$F$259,2,0),"")</f>
        <v>0.84375</v>
      </c>
    </row>
    <row r="74" spans="1:9" x14ac:dyDescent="0.4">
      <c r="A74" s="13"/>
      <c r="B74" s="13" t="str">
        <f ca="1">Start.listina!O28</f>
        <v/>
      </c>
      <c r="C74" s="13" t="str">
        <f ca="1">Start.listina!P28</f>
        <v xml:space="preserve"> </v>
      </c>
      <c r="D74" s="13" t="str">
        <f ca="1">Start.listina!Q28</f>
        <v xml:space="preserve"> </v>
      </c>
      <c r="E74" s="13" t="str">
        <f ca="1">Start.listina!R28</f>
        <v xml:space="preserve"> </v>
      </c>
      <c r="F74" s="13"/>
      <c r="G74" s="89"/>
      <c r="H74" s="4"/>
      <c r="I74" s="4"/>
    </row>
    <row r="75" spans="1:9" x14ac:dyDescent="0.4">
      <c r="A75" s="13"/>
      <c r="B75" s="13" t="str">
        <f ca="1">Start.listina!U28</f>
        <v/>
      </c>
      <c r="C75" s="13" t="str">
        <f ca="1">Start.listina!V28</f>
        <v xml:space="preserve"> </v>
      </c>
      <c r="D75" s="13" t="str">
        <f ca="1">Start.listina!W28</f>
        <v xml:space="preserve"> </v>
      </c>
      <c r="E75" s="13" t="str">
        <f ca="1">Start.listina!X28</f>
        <v xml:space="preserve"> </v>
      </c>
      <c r="F75" s="13"/>
      <c r="G75" s="89"/>
      <c r="H75" s="4"/>
      <c r="I75" s="4"/>
    </row>
    <row r="76" spans="1:9" x14ac:dyDescent="0.4">
      <c r="A76" s="13"/>
      <c r="B76" s="13" t="str">
        <f ca="1">Start.listina!AA28</f>
        <v/>
      </c>
      <c r="C76" s="13" t="str">
        <f ca="1">Start.listina!AB28</f>
        <v xml:space="preserve"> </v>
      </c>
      <c r="D76" s="13" t="str">
        <f ca="1">Start.listina!AC28</f>
        <v xml:space="preserve"> </v>
      </c>
      <c r="E76" s="13" t="str">
        <f ca="1">Start.listina!AD28</f>
        <v xml:space="preserve"> </v>
      </c>
      <c r="F76" s="13"/>
      <c r="G76" s="89"/>
      <c r="H76" s="4"/>
      <c r="I76" s="4"/>
    </row>
    <row r="77" spans="1:9" x14ac:dyDescent="0.4">
      <c r="A77" s="13">
        <f ca="1">Start.listina!AH29</f>
        <v>52</v>
      </c>
      <c r="B77" s="13">
        <f ca="1">Start.listina!I29</f>
        <v>20532</v>
      </c>
      <c r="C77" s="13" t="str">
        <f ca="1">Start.listina!J29</f>
        <v>Křížek</v>
      </c>
      <c r="D77" s="13" t="str">
        <f ca="1">Start.listina!K29</f>
        <v>Evžen</v>
      </c>
      <c r="E77" s="13" t="str">
        <f ca="1">Start.listina!L29</f>
        <v>UBU Únětice</v>
      </c>
      <c r="F77" s="13"/>
      <c r="G77" s="89">
        <f ca="1">IF(N(A77)&gt;0,VLOOKUP(A77,Body!$A$4:$F$259,5,0),"")</f>
        <v>14.373070312499999</v>
      </c>
      <c r="H77" s="4">
        <f ca="1">IF(N(A77)&gt;0,VLOOKUP(A77,Body!$A$4:$F$259,6,0),"")</f>
        <v>0</v>
      </c>
      <c r="I77" s="4">
        <f ca="1">IF(N(A77)&gt;0,VLOOKUP(A77,Body!$A$4:$F$259,2,0),"")</f>
        <v>0.375</v>
      </c>
    </row>
    <row r="78" spans="1:9" x14ac:dyDescent="0.4">
      <c r="A78" s="13"/>
      <c r="B78" s="13" t="str">
        <f ca="1">Start.listina!O29</f>
        <v/>
      </c>
      <c r="C78" s="13" t="str">
        <f ca="1">Start.listina!P29</f>
        <v xml:space="preserve"> </v>
      </c>
      <c r="D78" s="13" t="str">
        <f ca="1">Start.listina!Q29</f>
        <v xml:space="preserve"> </v>
      </c>
      <c r="E78" s="13" t="str">
        <f ca="1">Start.listina!R29</f>
        <v xml:space="preserve"> </v>
      </c>
      <c r="F78" s="13"/>
      <c r="G78" s="89"/>
      <c r="H78" s="4"/>
      <c r="I78" s="4"/>
    </row>
    <row r="79" spans="1:9" x14ac:dyDescent="0.4">
      <c r="A79" s="13"/>
      <c r="B79" s="13" t="str">
        <f ca="1">Start.listina!U29</f>
        <v/>
      </c>
      <c r="C79" s="13" t="str">
        <f ca="1">Start.listina!V29</f>
        <v xml:space="preserve"> </v>
      </c>
      <c r="D79" s="13" t="str">
        <f ca="1">Start.listina!W29</f>
        <v xml:space="preserve"> </v>
      </c>
      <c r="E79" s="13" t="str">
        <f ca="1">Start.listina!X29</f>
        <v xml:space="preserve"> </v>
      </c>
      <c r="F79" s="13"/>
      <c r="G79" s="89"/>
      <c r="H79" s="4"/>
      <c r="I79" s="4"/>
    </row>
    <row r="80" spans="1:9" x14ac:dyDescent="0.4">
      <c r="A80" s="13"/>
      <c r="B80" s="13" t="str">
        <f ca="1">Start.listina!AA29</f>
        <v/>
      </c>
      <c r="C80" s="13" t="str">
        <f ca="1">Start.listina!AB29</f>
        <v xml:space="preserve"> </v>
      </c>
      <c r="D80" s="13" t="str">
        <f ca="1">Start.listina!AC29</f>
        <v xml:space="preserve"> </v>
      </c>
      <c r="E80" s="13" t="str">
        <f ca="1">Start.listina!AD29</f>
        <v xml:space="preserve"> </v>
      </c>
      <c r="F80" s="13"/>
      <c r="G80" s="89"/>
      <c r="H80" s="4"/>
      <c r="I80" s="4"/>
    </row>
    <row r="81" spans="1:9" x14ac:dyDescent="0.4">
      <c r="A81" s="13">
        <f ca="1">Start.listina!AH30</f>
        <v>40</v>
      </c>
      <c r="B81" s="13">
        <f ca="1">Start.listina!I30</f>
        <v>98482</v>
      </c>
      <c r="C81" s="13" t="str">
        <f ca="1">Start.listina!J30</f>
        <v>Marcián</v>
      </c>
      <c r="D81" s="13" t="str">
        <f ca="1">Start.listina!K30</f>
        <v>Vladimír</v>
      </c>
      <c r="E81" s="13" t="str">
        <f ca="1">Start.listina!L30</f>
        <v>HRODE KRUMSÍN</v>
      </c>
      <c r="F81" s="13"/>
      <c r="G81" s="89">
        <f ca="1">IF(N(A81)&gt;0,VLOOKUP(A81,Body!$A$4:$F$259,5,0),"")</f>
        <v>28.746140624999999</v>
      </c>
      <c r="H81" s="4">
        <f ca="1">IF(N(A81)&gt;0,VLOOKUP(A81,Body!$A$4:$F$259,6,0),"")</f>
        <v>0</v>
      </c>
      <c r="I81" s="4">
        <f ca="1">IF(N(A81)&gt;0,VLOOKUP(A81,Body!$A$4:$F$259,2,0),"")</f>
        <v>0.75</v>
      </c>
    </row>
    <row r="82" spans="1:9" x14ac:dyDescent="0.4">
      <c r="A82" s="13"/>
      <c r="B82" s="13" t="str">
        <f ca="1">Start.listina!O30</f>
        <v/>
      </c>
      <c r="C82" s="13" t="str">
        <f ca="1">Start.listina!P30</f>
        <v xml:space="preserve"> </v>
      </c>
      <c r="D82" s="13" t="str">
        <f ca="1">Start.listina!Q30</f>
        <v xml:space="preserve"> </v>
      </c>
      <c r="E82" s="13" t="str">
        <f ca="1">Start.listina!R30</f>
        <v xml:space="preserve"> </v>
      </c>
      <c r="F82" s="13"/>
      <c r="G82" s="89"/>
      <c r="H82" s="4"/>
      <c r="I82" s="4"/>
    </row>
    <row r="83" spans="1:9" x14ac:dyDescent="0.4">
      <c r="A83" s="13"/>
      <c r="B83" s="13" t="str">
        <f ca="1">Start.listina!U30</f>
        <v/>
      </c>
      <c r="C83" s="13" t="str">
        <f ca="1">Start.listina!V30</f>
        <v xml:space="preserve"> </v>
      </c>
      <c r="D83" s="13" t="str">
        <f ca="1">Start.listina!W30</f>
        <v xml:space="preserve"> </v>
      </c>
      <c r="E83" s="13" t="str">
        <f ca="1">Start.listina!X30</f>
        <v xml:space="preserve"> </v>
      </c>
      <c r="F83" s="13"/>
      <c r="G83" s="89"/>
      <c r="H83" s="4"/>
      <c r="I83" s="4"/>
    </row>
    <row r="84" spans="1:9" x14ac:dyDescent="0.4">
      <c r="A84" s="13"/>
      <c r="B84" s="13" t="str">
        <f ca="1">Start.listina!AA30</f>
        <v/>
      </c>
      <c r="C84" s="13" t="str">
        <f ca="1">Start.listina!AB30</f>
        <v xml:space="preserve"> </v>
      </c>
      <c r="D84" s="13" t="str">
        <f ca="1">Start.listina!AC30</f>
        <v xml:space="preserve"> </v>
      </c>
      <c r="E84" s="13" t="str">
        <f ca="1">Start.listina!AD30</f>
        <v xml:space="preserve"> </v>
      </c>
      <c r="F84" s="13"/>
      <c r="G84" s="89"/>
      <c r="H84" s="4"/>
      <c r="I84" s="4"/>
    </row>
    <row r="85" spans="1:9" x14ac:dyDescent="0.4">
      <c r="A85" s="13">
        <f ca="1">Start.listina!AH31</f>
        <v>16</v>
      </c>
      <c r="B85" s="13">
        <f ca="1">Start.listina!I31</f>
        <v>16082</v>
      </c>
      <c r="C85" s="13" t="str">
        <f ca="1">Start.listina!J31</f>
        <v>Pastorek</v>
      </c>
      <c r="D85" s="13" t="str">
        <f ca="1">Start.listina!K31</f>
        <v>Jaroslav</v>
      </c>
      <c r="E85" s="13" t="str">
        <f ca="1">Start.listina!L31</f>
        <v>SK Pétanque Řepy</v>
      </c>
      <c r="F85" s="13"/>
      <c r="G85" s="89">
        <f ca="1">IF(N(A85)&gt;0,VLOOKUP(A85,Body!$A$4:$F$259,5,0),"")</f>
        <v>76.656374999999997</v>
      </c>
      <c r="H85" s="4">
        <f ca="1">IF(N(A85)&gt;0,VLOOKUP(A85,Body!$A$4:$F$259,6,0),"")</f>
        <v>0</v>
      </c>
      <c r="I85" s="4">
        <f ca="1">IF(N(A85)&gt;0,VLOOKUP(A85,Body!$A$4:$F$259,2,0),"")</f>
        <v>2</v>
      </c>
    </row>
    <row r="86" spans="1:9" x14ac:dyDescent="0.4">
      <c r="A86" s="13"/>
      <c r="B86" s="13" t="str">
        <f ca="1">Start.listina!O31</f>
        <v/>
      </c>
      <c r="C86" s="13" t="str">
        <f ca="1">Start.listina!P31</f>
        <v xml:space="preserve"> </v>
      </c>
      <c r="D86" s="13" t="str">
        <f ca="1">Start.listina!Q31</f>
        <v xml:space="preserve"> </v>
      </c>
      <c r="E86" s="13" t="str">
        <f ca="1">Start.listina!R31</f>
        <v xml:space="preserve"> </v>
      </c>
      <c r="F86" s="13"/>
      <c r="G86" s="89"/>
      <c r="H86" s="4"/>
      <c r="I86" s="4"/>
    </row>
    <row r="87" spans="1:9" x14ac:dyDescent="0.4">
      <c r="A87" s="13"/>
      <c r="B87" s="13" t="str">
        <f ca="1">Start.listina!U31</f>
        <v/>
      </c>
      <c r="C87" s="13" t="str">
        <f ca="1">Start.listina!V31</f>
        <v xml:space="preserve"> </v>
      </c>
      <c r="D87" s="13" t="str">
        <f ca="1">Start.listina!W31</f>
        <v xml:space="preserve"> </v>
      </c>
      <c r="E87" s="13" t="str">
        <f ca="1">Start.listina!X31</f>
        <v xml:space="preserve"> </v>
      </c>
      <c r="F87" s="13"/>
      <c r="G87" s="89"/>
      <c r="H87" s="4"/>
      <c r="I87" s="4"/>
    </row>
    <row r="88" spans="1:9" x14ac:dyDescent="0.4">
      <c r="A88" s="13"/>
      <c r="B88" s="13" t="str">
        <f ca="1">Start.listina!AA31</f>
        <v/>
      </c>
      <c r="C88" s="13" t="str">
        <f ca="1">Start.listina!AB31</f>
        <v xml:space="preserve"> </v>
      </c>
      <c r="D88" s="13" t="str">
        <f ca="1">Start.listina!AC31</f>
        <v xml:space="preserve"> </v>
      </c>
      <c r="E88" s="13" t="str">
        <f ca="1">Start.listina!AD31</f>
        <v xml:space="preserve"> </v>
      </c>
      <c r="F88" s="13"/>
      <c r="G88" s="89"/>
      <c r="H88" s="4"/>
      <c r="I88" s="4"/>
    </row>
    <row r="89" spans="1:9" x14ac:dyDescent="0.4">
      <c r="A89" s="13">
        <f ca="1">Start.listina!AH32</f>
        <v>23</v>
      </c>
      <c r="B89" s="13">
        <f ca="1">Start.listina!I32</f>
        <v>12042</v>
      </c>
      <c r="C89" s="13" t="str">
        <f ca="1">Start.listina!J32</f>
        <v>Pilát</v>
      </c>
      <c r="D89" s="13" t="str">
        <f ca="1">Start.listina!K32</f>
        <v>Petr</v>
      </c>
      <c r="E89" s="13" t="str">
        <f ca="1">Start.listina!L32</f>
        <v>SKP Kulová osma</v>
      </c>
      <c r="F89" s="13"/>
      <c r="G89" s="89">
        <f ca="1">IF(N(A89)&gt;0,VLOOKUP(A89,Body!$A$4:$F$259,5,0),"")</f>
        <v>59.887792968749999</v>
      </c>
      <c r="H89" s="4">
        <f ca="1">IF(N(A89)&gt;0,VLOOKUP(A89,Body!$A$4:$F$259,6,0),"")</f>
        <v>0</v>
      </c>
      <c r="I89" s="4">
        <f ca="1">IF(N(A89)&gt;0,VLOOKUP(A89,Body!$A$4:$F$259,2,0),"")</f>
        <v>1.5625</v>
      </c>
    </row>
    <row r="90" spans="1:9" x14ac:dyDescent="0.4">
      <c r="A90" s="13"/>
      <c r="B90" s="13" t="str">
        <f ca="1">Start.listina!O32</f>
        <v/>
      </c>
      <c r="C90" s="13" t="str">
        <f ca="1">Start.listina!P32</f>
        <v xml:space="preserve"> </v>
      </c>
      <c r="D90" s="13" t="str">
        <f ca="1">Start.listina!Q32</f>
        <v xml:space="preserve"> </v>
      </c>
      <c r="E90" s="13" t="str">
        <f ca="1">Start.listina!R32</f>
        <v xml:space="preserve"> </v>
      </c>
      <c r="F90" s="13"/>
      <c r="G90" s="89"/>
      <c r="H90" s="4"/>
      <c r="I90" s="4"/>
    </row>
    <row r="91" spans="1:9" x14ac:dyDescent="0.4">
      <c r="A91" s="13"/>
      <c r="B91" s="13" t="str">
        <f ca="1">Start.listina!U32</f>
        <v/>
      </c>
      <c r="C91" s="13" t="str">
        <f ca="1">Start.listina!V32</f>
        <v xml:space="preserve"> </v>
      </c>
      <c r="D91" s="13" t="str">
        <f ca="1">Start.listina!W32</f>
        <v xml:space="preserve"> </v>
      </c>
      <c r="E91" s="13" t="str">
        <f ca="1">Start.listina!X32</f>
        <v xml:space="preserve"> </v>
      </c>
      <c r="F91" s="13"/>
      <c r="G91" s="89"/>
      <c r="H91" s="4"/>
      <c r="I91" s="4"/>
    </row>
    <row r="92" spans="1:9" x14ac:dyDescent="0.4">
      <c r="A92" s="13"/>
      <c r="B92" s="13" t="str">
        <f ca="1">Start.listina!AA32</f>
        <v/>
      </c>
      <c r="C92" s="13" t="str">
        <f ca="1">Start.listina!AB32</f>
        <v xml:space="preserve"> </v>
      </c>
      <c r="D92" s="13" t="str">
        <f ca="1">Start.listina!AC32</f>
        <v xml:space="preserve"> </v>
      </c>
      <c r="E92" s="13" t="str">
        <f ca="1">Start.listina!AD32</f>
        <v xml:space="preserve"> </v>
      </c>
      <c r="F92" s="13"/>
      <c r="G92" s="89"/>
      <c r="H92" s="4"/>
      <c r="I92" s="4"/>
    </row>
    <row r="93" spans="1:9" x14ac:dyDescent="0.4">
      <c r="A93" s="13">
        <f ca="1">Start.listina!AH33</f>
        <v>16</v>
      </c>
      <c r="B93" s="13">
        <f ca="1">Start.listina!I33</f>
        <v>28051</v>
      </c>
      <c r="C93" s="13" t="str">
        <f ca="1">Start.listina!J33</f>
        <v>Horáček</v>
      </c>
      <c r="D93" s="13" t="str">
        <f ca="1">Start.listina!K33</f>
        <v>Jindřich</v>
      </c>
      <c r="E93" s="13" t="str">
        <f ca="1">Start.listina!L33</f>
        <v>PC Kolová</v>
      </c>
      <c r="F93" s="13"/>
      <c r="G93" s="89">
        <f ca="1">IF(N(A93)&gt;0,VLOOKUP(A93,Body!$A$4:$F$259,5,0),"")</f>
        <v>76.656374999999997</v>
      </c>
      <c r="H93" s="4">
        <f ca="1">IF(N(A93)&gt;0,VLOOKUP(A93,Body!$A$4:$F$259,6,0),"")</f>
        <v>0</v>
      </c>
      <c r="I93" s="4">
        <f ca="1">IF(N(A93)&gt;0,VLOOKUP(A93,Body!$A$4:$F$259,2,0),"")</f>
        <v>2</v>
      </c>
    </row>
    <row r="94" spans="1:9" x14ac:dyDescent="0.4">
      <c r="A94" s="13"/>
      <c r="B94" s="13" t="str">
        <f ca="1">Start.listina!O33</f>
        <v/>
      </c>
      <c r="C94" s="13" t="str">
        <f ca="1">Start.listina!P33</f>
        <v xml:space="preserve"> </v>
      </c>
      <c r="D94" s="13" t="str">
        <f ca="1">Start.listina!Q33</f>
        <v xml:space="preserve"> </v>
      </c>
      <c r="E94" s="13" t="str">
        <f ca="1">Start.listina!R33</f>
        <v xml:space="preserve"> </v>
      </c>
      <c r="F94" s="13"/>
      <c r="G94" s="89"/>
      <c r="H94" s="4"/>
      <c r="I94" s="4"/>
    </row>
    <row r="95" spans="1:9" x14ac:dyDescent="0.4">
      <c r="A95" s="13"/>
      <c r="B95" s="13" t="str">
        <f ca="1">Start.listina!U33</f>
        <v/>
      </c>
      <c r="C95" s="13" t="str">
        <f ca="1">Start.listina!V33</f>
        <v xml:space="preserve"> </v>
      </c>
      <c r="D95" s="13" t="str">
        <f ca="1">Start.listina!W33</f>
        <v xml:space="preserve"> </v>
      </c>
      <c r="E95" s="13" t="str">
        <f ca="1">Start.listina!X33</f>
        <v xml:space="preserve"> </v>
      </c>
      <c r="F95" s="13"/>
      <c r="G95" s="89"/>
      <c r="H95" s="4"/>
      <c r="I95" s="4"/>
    </row>
    <row r="96" spans="1:9" x14ac:dyDescent="0.4">
      <c r="A96" s="13"/>
      <c r="B96" s="13" t="str">
        <f ca="1">Start.listina!AA33</f>
        <v/>
      </c>
      <c r="C96" s="13" t="str">
        <f ca="1">Start.listina!AB33</f>
        <v xml:space="preserve"> </v>
      </c>
      <c r="D96" s="13" t="str">
        <f ca="1">Start.listina!AC33</f>
        <v xml:space="preserve"> </v>
      </c>
      <c r="E96" s="13" t="str">
        <f ca="1">Start.listina!AD33</f>
        <v xml:space="preserve"> </v>
      </c>
      <c r="F96" s="13"/>
      <c r="G96" s="89"/>
      <c r="H96" s="4"/>
      <c r="I96" s="4"/>
    </row>
    <row r="97" spans="1:9" x14ac:dyDescent="0.4">
      <c r="A97" s="13">
        <f ca="1">Start.listina!AH34</f>
        <v>16</v>
      </c>
      <c r="B97" s="13">
        <f ca="1">Start.listina!I34</f>
        <v>20534</v>
      </c>
      <c r="C97" s="13" t="str">
        <f ca="1">Start.listina!J34</f>
        <v>Váňová</v>
      </c>
      <c r="D97" s="13" t="str">
        <f ca="1">Start.listina!K34</f>
        <v>Věra</v>
      </c>
      <c r="E97" s="13" t="str">
        <f ca="1">Start.listina!L34</f>
        <v>SK Pétanque Řepy</v>
      </c>
      <c r="F97" s="13"/>
      <c r="G97" s="89">
        <f ca="1">IF(N(A97)&gt;0,VLOOKUP(A97,Body!$A$4:$F$259,5,0),"")</f>
        <v>76.656374999999997</v>
      </c>
      <c r="H97" s="4">
        <f ca="1">IF(N(A97)&gt;0,VLOOKUP(A97,Body!$A$4:$F$259,6,0),"")</f>
        <v>0</v>
      </c>
      <c r="I97" s="4">
        <f ca="1">IF(N(A97)&gt;0,VLOOKUP(A97,Body!$A$4:$F$259,2,0),"")</f>
        <v>2</v>
      </c>
    </row>
    <row r="98" spans="1:9" x14ac:dyDescent="0.4">
      <c r="A98" s="13"/>
      <c r="B98" s="13" t="str">
        <f ca="1">Start.listina!O34</f>
        <v/>
      </c>
      <c r="C98" s="13" t="str">
        <f ca="1">Start.listina!P34</f>
        <v xml:space="preserve"> </v>
      </c>
      <c r="D98" s="13" t="str">
        <f ca="1">Start.listina!Q34</f>
        <v xml:space="preserve"> </v>
      </c>
      <c r="E98" s="13" t="str">
        <f ca="1">Start.listina!R34</f>
        <v xml:space="preserve"> </v>
      </c>
      <c r="F98" s="13"/>
      <c r="G98" s="89"/>
      <c r="H98" s="4"/>
      <c r="I98" s="4"/>
    </row>
    <row r="99" spans="1:9" x14ac:dyDescent="0.4">
      <c r="A99" s="13"/>
      <c r="B99" s="13" t="str">
        <f ca="1">Start.listina!U34</f>
        <v/>
      </c>
      <c r="C99" s="13" t="str">
        <f ca="1">Start.listina!V34</f>
        <v xml:space="preserve"> </v>
      </c>
      <c r="D99" s="13" t="str">
        <f ca="1">Start.listina!W34</f>
        <v xml:space="preserve"> </v>
      </c>
      <c r="E99" s="13" t="str">
        <f ca="1">Start.listina!X34</f>
        <v xml:space="preserve"> </v>
      </c>
      <c r="F99" s="13"/>
      <c r="G99" s="89"/>
      <c r="H99" s="4"/>
      <c r="I99" s="4"/>
    </row>
    <row r="100" spans="1:9" x14ac:dyDescent="0.4">
      <c r="A100" s="13"/>
      <c r="B100" s="13" t="str">
        <f ca="1">Start.listina!AA34</f>
        <v/>
      </c>
      <c r="C100" s="13" t="str">
        <f ca="1">Start.listina!AB34</f>
        <v xml:space="preserve"> </v>
      </c>
      <c r="D100" s="13" t="str">
        <f ca="1">Start.listina!AC34</f>
        <v xml:space="preserve"> </v>
      </c>
      <c r="E100" s="13" t="str">
        <f ca="1">Start.listina!AD34</f>
        <v xml:space="preserve"> </v>
      </c>
      <c r="F100" s="13"/>
      <c r="G100" s="89"/>
      <c r="H100" s="4"/>
      <c r="I100" s="4"/>
    </row>
    <row r="101" spans="1:9" x14ac:dyDescent="0.4">
      <c r="A101" s="13">
        <f ca="1">Start.listina!AH35</f>
        <v>34</v>
      </c>
      <c r="B101" s="13">
        <f ca="1">Start.listina!I35</f>
        <v>21026</v>
      </c>
      <c r="C101" s="13" t="str">
        <f ca="1">Start.listina!J35</f>
        <v>Vodehnalová</v>
      </c>
      <c r="D101" s="13" t="str">
        <f ca="1">Start.listina!K35</f>
        <v>Jindra</v>
      </c>
      <c r="E101" s="13" t="str">
        <f ca="1">Start.listina!L35</f>
        <v>SK Pétanque Řepy</v>
      </c>
      <c r="F101" s="13"/>
      <c r="G101" s="89">
        <f ca="1">IF(N(A101)&gt;0,VLOOKUP(A101,Body!$A$4:$F$259,5,0),"")</f>
        <v>35.932675781249998</v>
      </c>
      <c r="H101" s="4">
        <f ca="1">IF(N(A101)&gt;0,VLOOKUP(A101,Body!$A$4:$F$259,6,0),"")</f>
        <v>0</v>
      </c>
      <c r="I101" s="4">
        <f ca="1">IF(N(A101)&gt;0,VLOOKUP(A101,Body!$A$4:$F$259,2,0),"")</f>
        <v>0.9375</v>
      </c>
    </row>
    <row r="102" spans="1:9" x14ac:dyDescent="0.4">
      <c r="A102" s="13"/>
      <c r="B102" s="13" t="str">
        <f ca="1">Start.listina!O35</f>
        <v/>
      </c>
      <c r="C102" s="13" t="str">
        <f ca="1">Start.listina!P35</f>
        <v xml:space="preserve"> </v>
      </c>
      <c r="D102" s="13" t="str">
        <f ca="1">Start.listina!Q35</f>
        <v xml:space="preserve"> </v>
      </c>
      <c r="E102" s="13" t="str">
        <f ca="1">Start.listina!R35</f>
        <v xml:space="preserve"> </v>
      </c>
      <c r="F102" s="13"/>
      <c r="G102" s="89"/>
      <c r="H102" s="4"/>
      <c r="I102" s="4"/>
    </row>
    <row r="103" spans="1:9" x14ac:dyDescent="0.4">
      <c r="A103" s="13"/>
      <c r="B103" s="13" t="str">
        <f ca="1">Start.listina!U35</f>
        <v/>
      </c>
      <c r="C103" s="13" t="str">
        <f ca="1">Start.listina!V35</f>
        <v xml:space="preserve"> </v>
      </c>
      <c r="D103" s="13" t="str">
        <f ca="1">Start.listina!W35</f>
        <v xml:space="preserve"> </v>
      </c>
      <c r="E103" s="13" t="str">
        <f ca="1">Start.listina!X35</f>
        <v xml:space="preserve"> </v>
      </c>
      <c r="F103" s="13"/>
      <c r="G103" s="89"/>
      <c r="H103" s="4"/>
      <c r="I103" s="4"/>
    </row>
    <row r="104" spans="1:9" x14ac:dyDescent="0.4">
      <c r="A104" s="13"/>
      <c r="B104" s="13" t="str">
        <f ca="1">Start.listina!AA35</f>
        <v/>
      </c>
      <c r="C104" s="13" t="str">
        <f ca="1">Start.listina!AB35</f>
        <v xml:space="preserve"> </v>
      </c>
      <c r="D104" s="13" t="str">
        <f ca="1">Start.listina!AC35</f>
        <v xml:space="preserve"> </v>
      </c>
      <c r="E104" s="13" t="str">
        <f ca="1">Start.listina!AD35</f>
        <v xml:space="preserve"> </v>
      </c>
      <c r="F104" s="13"/>
      <c r="G104" s="89"/>
      <c r="H104" s="4"/>
      <c r="I104" s="4"/>
    </row>
    <row r="105" spans="1:9" x14ac:dyDescent="0.4">
      <c r="A105" s="13">
        <f ca="1">Start.listina!AH36</f>
        <v>53</v>
      </c>
      <c r="B105" s="13">
        <f ca="1">Start.listina!I36</f>
        <v>14076</v>
      </c>
      <c r="C105" s="13" t="str">
        <f ca="1">Start.listina!J36</f>
        <v>Klír</v>
      </c>
      <c r="D105" s="13" t="str">
        <f ca="1">Start.listina!K36</f>
        <v>Tomáš</v>
      </c>
      <c r="E105" s="13" t="str">
        <f ca="1">Start.listina!L36</f>
        <v>Petank Club Praha</v>
      </c>
      <c r="F105" s="13"/>
      <c r="G105" s="89">
        <f ca="1">IF(N(A105)&gt;0,VLOOKUP(A105,Body!$A$4:$F$259,5,0),"")</f>
        <v>13.175314453124999</v>
      </c>
      <c r="H105" s="4">
        <f ca="1">IF(N(A105)&gt;0,VLOOKUP(A105,Body!$A$4:$F$259,6,0),"")</f>
        <v>0</v>
      </c>
      <c r="I105" s="4">
        <f ca="1">IF(N(A105)&gt;0,VLOOKUP(A105,Body!$A$4:$F$259,2,0),"")</f>
        <v>0.34375</v>
      </c>
    </row>
    <row r="106" spans="1:9" x14ac:dyDescent="0.4">
      <c r="A106" s="13"/>
      <c r="B106" s="13" t="str">
        <f ca="1">Start.listina!O36</f>
        <v/>
      </c>
      <c r="C106" s="13" t="str">
        <f ca="1">Start.listina!P36</f>
        <v xml:space="preserve"> </v>
      </c>
      <c r="D106" s="13" t="str">
        <f ca="1">Start.listina!Q36</f>
        <v xml:space="preserve"> </v>
      </c>
      <c r="E106" s="13" t="str">
        <f ca="1">Start.listina!R36</f>
        <v xml:space="preserve"> </v>
      </c>
      <c r="F106" s="13"/>
      <c r="G106" s="89"/>
      <c r="H106" s="4"/>
      <c r="I106" s="4"/>
    </row>
    <row r="107" spans="1:9" x14ac:dyDescent="0.4">
      <c r="A107" s="13"/>
      <c r="B107" s="13" t="str">
        <f ca="1">Start.listina!U36</f>
        <v/>
      </c>
      <c r="C107" s="13" t="str">
        <f ca="1">Start.listina!V36</f>
        <v xml:space="preserve"> </v>
      </c>
      <c r="D107" s="13" t="str">
        <f ca="1">Start.listina!W36</f>
        <v xml:space="preserve"> </v>
      </c>
      <c r="E107" s="13" t="str">
        <f ca="1">Start.listina!X36</f>
        <v xml:space="preserve"> </v>
      </c>
      <c r="F107" s="13"/>
      <c r="G107" s="89"/>
      <c r="H107" s="4"/>
      <c r="I107" s="4"/>
    </row>
    <row r="108" spans="1:9" x14ac:dyDescent="0.4">
      <c r="A108" s="13"/>
      <c r="B108" s="13" t="str">
        <f ca="1">Start.listina!AA36</f>
        <v/>
      </c>
      <c r="C108" s="13" t="str">
        <f ca="1">Start.listina!AB36</f>
        <v xml:space="preserve"> </v>
      </c>
      <c r="D108" s="13" t="str">
        <f ca="1">Start.listina!AC36</f>
        <v xml:space="preserve"> </v>
      </c>
      <c r="E108" s="13" t="str">
        <f ca="1">Start.listina!AD36</f>
        <v xml:space="preserve"> </v>
      </c>
      <c r="F108" s="13"/>
      <c r="G108" s="89"/>
      <c r="H108" s="4"/>
      <c r="I108" s="4"/>
    </row>
    <row r="109" spans="1:9" x14ac:dyDescent="0.4">
      <c r="A109" s="13">
        <f ca="1">Start.listina!AH37</f>
        <v>21</v>
      </c>
      <c r="B109" s="13">
        <f ca="1">Start.listina!I37</f>
        <v>16075</v>
      </c>
      <c r="C109" s="13" t="str">
        <f ca="1">Start.listina!J37</f>
        <v>Hladík</v>
      </c>
      <c r="D109" s="13" t="str">
        <f ca="1">Start.listina!K37</f>
        <v>Jaroslav</v>
      </c>
      <c r="E109" s="13" t="str">
        <f ca="1">Start.listina!L37</f>
        <v>SK Pétanque Řepy</v>
      </c>
      <c r="F109" s="13"/>
      <c r="G109" s="89">
        <f ca="1">IF(N(A109)&gt;0,VLOOKUP(A109,Body!$A$4:$F$259,5,0),"")</f>
        <v>64.678816406249993</v>
      </c>
      <c r="H109" s="4">
        <f ca="1">IF(N(A109)&gt;0,VLOOKUP(A109,Body!$A$4:$F$259,6,0),"")</f>
        <v>0</v>
      </c>
      <c r="I109" s="4">
        <f ca="1">IF(N(A109)&gt;0,VLOOKUP(A109,Body!$A$4:$F$259,2,0),"")</f>
        <v>1.6875</v>
      </c>
    </row>
    <row r="110" spans="1:9" x14ac:dyDescent="0.4">
      <c r="A110" s="13"/>
      <c r="B110" s="13" t="str">
        <f ca="1">Start.listina!O37</f>
        <v/>
      </c>
      <c r="C110" s="13" t="str">
        <f ca="1">Start.listina!P37</f>
        <v xml:space="preserve"> </v>
      </c>
      <c r="D110" s="13" t="str">
        <f ca="1">Start.listina!Q37</f>
        <v xml:space="preserve"> </v>
      </c>
      <c r="E110" s="13" t="str">
        <f ca="1">Start.listina!R37</f>
        <v xml:space="preserve"> </v>
      </c>
      <c r="F110" s="13"/>
      <c r="G110" s="89"/>
      <c r="H110" s="4"/>
      <c r="I110" s="4"/>
    </row>
    <row r="111" spans="1:9" x14ac:dyDescent="0.4">
      <c r="A111" s="13"/>
      <c r="B111" s="13" t="str">
        <f ca="1">Start.listina!U37</f>
        <v/>
      </c>
      <c r="C111" s="13" t="str">
        <f ca="1">Start.listina!V37</f>
        <v xml:space="preserve"> </v>
      </c>
      <c r="D111" s="13" t="str">
        <f ca="1">Start.listina!W37</f>
        <v xml:space="preserve"> </v>
      </c>
      <c r="E111" s="13" t="str">
        <f ca="1">Start.listina!X37</f>
        <v xml:space="preserve"> </v>
      </c>
      <c r="F111" s="13"/>
      <c r="G111" s="89"/>
      <c r="H111" s="4"/>
      <c r="I111" s="4"/>
    </row>
    <row r="112" spans="1:9" x14ac:dyDescent="0.4">
      <c r="A112" s="13"/>
      <c r="B112" s="13" t="str">
        <f ca="1">Start.listina!AA37</f>
        <v/>
      </c>
      <c r="C112" s="13" t="str">
        <f ca="1">Start.listina!AB37</f>
        <v xml:space="preserve"> </v>
      </c>
      <c r="D112" s="13" t="str">
        <f ca="1">Start.listina!AC37</f>
        <v xml:space="preserve"> </v>
      </c>
      <c r="E112" s="13" t="str">
        <f ca="1">Start.listina!AD37</f>
        <v xml:space="preserve"> </v>
      </c>
      <c r="F112" s="13"/>
      <c r="G112" s="89"/>
      <c r="H112" s="4"/>
      <c r="I112" s="4"/>
    </row>
    <row r="113" spans="1:9" x14ac:dyDescent="0.4">
      <c r="A113" s="13">
        <f ca="1">Start.listina!AH38</f>
        <v>8</v>
      </c>
      <c r="B113" s="13">
        <f ca="1">Start.listina!I38</f>
        <v>20513</v>
      </c>
      <c r="C113" s="13" t="str">
        <f ca="1">Start.listina!J38</f>
        <v>Hochmann</v>
      </c>
      <c r="D113" s="13" t="str">
        <f ca="1">Start.listina!K38</f>
        <v>Lukáš</v>
      </c>
      <c r="E113" s="13" t="str">
        <f ca="1">Start.listina!L38</f>
        <v>PC Sokol PP Hr. Králové</v>
      </c>
      <c r="F113" s="13"/>
      <c r="G113" s="89">
        <f ca="1">IF(N(A113)&gt;0,VLOOKUP(A113,Body!$A$4:$F$259,5,0),"")</f>
        <v>114.9845625</v>
      </c>
      <c r="H113" s="4">
        <f ca="1">IF(N(A113)&gt;0,VLOOKUP(A113,Body!$A$4:$F$259,6,0),"")</f>
        <v>0</v>
      </c>
      <c r="I113" s="4">
        <f ca="1">IF(N(A113)&gt;0,VLOOKUP(A113,Body!$A$4:$F$259,2,0),"")</f>
        <v>3</v>
      </c>
    </row>
    <row r="114" spans="1:9" x14ac:dyDescent="0.4">
      <c r="A114" s="13"/>
      <c r="B114" s="13" t="str">
        <f ca="1">Start.listina!O38</f>
        <v/>
      </c>
      <c r="C114" s="13" t="str">
        <f ca="1">Start.listina!P38</f>
        <v xml:space="preserve"> </v>
      </c>
      <c r="D114" s="13" t="str">
        <f ca="1">Start.listina!Q38</f>
        <v xml:space="preserve"> </v>
      </c>
      <c r="E114" s="13" t="str">
        <f ca="1">Start.listina!R38</f>
        <v xml:space="preserve"> </v>
      </c>
      <c r="F114" s="13"/>
      <c r="G114" s="89"/>
      <c r="H114" s="4"/>
      <c r="I114" s="4"/>
    </row>
    <row r="115" spans="1:9" x14ac:dyDescent="0.4">
      <c r="A115" s="13"/>
      <c r="B115" s="13" t="str">
        <f ca="1">Start.listina!U38</f>
        <v/>
      </c>
      <c r="C115" s="13" t="str">
        <f ca="1">Start.listina!V38</f>
        <v xml:space="preserve"> </v>
      </c>
      <c r="D115" s="13" t="str">
        <f ca="1">Start.listina!W38</f>
        <v xml:space="preserve"> </v>
      </c>
      <c r="E115" s="13" t="str">
        <f ca="1">Start.listina!X38</f>
        <v xml:space="preserve"> </v>
      </c>
      <c r="F115" s="13"/>
      <c r="G115" s="89"/>
      <c r="H115" s="4"/>
      <c r="I115" s="4"/>
    </row>
    <row r="116" spans="1:9" x14ac:dyDescent="0.4">
      <c r="A116" s="13"/>
      <c r="B116" s="13" t="str">
        <f ca="1">Start.listina!AA38</f>
        <v/>
      </c>
      <c r="C116" s="13" t="str">
        <f ca="1">Start.listina!AB38</f>
        <v xml:space="preserve"> </v>
      </c>
      <c r="D116" s="13" t="str">
        <f ca="1">Start.listina!AC38</f>
        <v xml:space="preserve"> </v>
      </c>
      <c r="E116" s="13" t="str">
        <f ca="1">Start.listina!AD38</f>
        <v xml:space="preserve"> </v>
      </c>
      <c r="F116" s="13"/>
      <c r="G116" s="89"/>
      <c r="H116" s="4"/>
      <c r="I116" s="4"/>
    </row>
    <row r="117" spans="1:9" x14ac:dyDescent="0.4">
      <c r="A117" s="13">
        <f ca="1">Start.listina!AH39</f>
        <v>28</v>
      </c>
      <c r="B117" s="13">
        <f ca="1">Start.listina!I39</f>
        <v>17052</v>
      </c>
      <c r="C117" s="195" t="str">
        <f ca="1">Start.listina!J39</f>
        <v>Zikmunda</v>
      </c>
      <c r="D117" s="13" t="str">
        <f ca="1">Start.listina!K39</f>
        <v>Martin</v>
      </c>
      <c r="E117" s="13" t="str">
        <f ca="1">Start.listina!L39</f>
        <v>PC Mimo Done</v>
      </c>
      <c r="F117" s="13"/>
      <c r="G117" s="89">
        <f ca="1">IF(N(A117)&gt;0,VLOOKUP(A117,Body!$A$4:$F$259,5,0),"")</f>
        <v>47.910234375000002</v>
      </c>
      <c r="H117" s="4">
        <f ca="1">IF(N(A117)&gt;0,VLOOKUP(A117,Body!$A$4:$F$259,6,0),"")</f>
        <v>0</v>
      </c>
      <c r="I117" s="4">
        <f ca="1">IF(N(A117)&gt;0,VLOOKUP(A117,Body!$A$4:$F$259,2,0),"")</f>
        <v>1.25</v>
      </c>
    </row>
    <row r="118" spans="1:9" x14ac:dyDescent="0.4">
      <c r="A118" s="13"/>
      <c r="B118" s="13" t="str">
        <f ca="1">Start.listina!O39</f>
        <v/>
      </c>
      <c r="C118" s="13" t="str">
        <f ca="1">Start.listina!P39</f>
        <v xml:space="preserve"> </v>
      </c>
      <c r="D118" s="13" t="str">
        <f ca="1">Start.listina!Q39</f>
        <v xml:space="preserve"> </v>
      </c>
      <c r="E118" s="13" t="str">
        <f ca="1">Start.listina!R39</f>
        <v xml:space="preserve"> </v>
      </c>
      <c r="F118" s="13"/>
      <c r="G118" s="89"/>
      <c r="H118" s="4"/>
      <c r="I118" s="4"/>
    </row>
    <row r="119" spans="1:9" x14ac:dyDescent="0.4">
      <c r="A119" s="13"/>
      <c r="B119" s="13" t="str">
        <f ca="1">Start.listina!U39</f>
        <v/>
      </c>
      <c r="C119" s="13" t="str">
        <f ca="1">Start.listina!V39</f>
        <v xml:space="preserve"> </v>
      </c>
      <c r="D119" s="13" t="str">
        <f ca="1">Start.listina!W39</f>
        <v xml:space="preserve"> </v>
      </c>
      <c r="E119" s="13" t="str">
        <f ca="1">Start.listina!X39</f>
        <v xml:space="preserve"> </v>
      </c>
      <c r="F119" s="13"/>
      <c r="G119" s="89"/>
      <c r="H119" s="4"/>
      <c r="I119" s="4"/>
    </row>
    <row r="120" spans="1:9" x14ac:dyDescent="0.4">
      <c r="A120" s="13"/>
      <c r="B120" s="13" t="str">
        <f ca="1">Start.listina!AA39</f>
        <v/>
      </c>
      <c r="C120" s="13" t="str">
        <f ca="1">Start.listina!AB39</f>
        <v xml:space="preserve"> </v>
      </c>
      <c r="D120" s="13" t="str">
        <f ca="1">Start.listina!AC39</f>
        <v xml:space="preserve"> </v>
      </c>
      <c r="E120" s="13" t="str">
        <f ca="1">Start.listina!AD39</f>
        <v xml:space="preserve"> </v>
      </c>
      <c r="F120" s="13"/>
      <c r="G120" s="89"/>
      <c r="H120" s="4"/>
      <c r="I120" s="4"/>
    </row>
    <row r="121" spans="1:9" x14ac:dyDescent="0.4">
      <c r="A121" s="13">
        <f ca="1">Start.listina!AH40</f>
        <v>55</v>
      </c>
      <c r="B121" s="13">
        <f ca="1">Start.listina!I40</f>
        <v>23217</v>
      </c>
      <c r="C121" s="195" t="str">
        <f ca="1">Start.listina!J40</f>
        <v>Blaščák</v>
      </c>
      <c r="D121" s="13" t="str">
        <f ca="1">Start.listina!K40</f>
        <v>Ondřej</v>
      </c>
      <c r="E121" s="13" t="str">
        <f ca="1">Start.listina!L40</f>
        <v>PC Přítkov</v>
      </c>
      <c r="F121" s="13"/>
      <c r="G121" s="89">
        <f ca="1">IF(N(A121)&gt;0,VLOOKUP(A121,Body!$A$4:$F$259,5,0),"")</f>
        <v>10.779802734375</v>
      </c>
      <c r="H121" s="4">
        <f ca="1">IF(N(A121)&gt;0,VLOOKUP(A121,Body!$A$4:$F$259,6,0),"")</f>
        <v>0</v>
      </c>
      <c r="I121" s="4">
        <f ca="1">IF(N(A121)&gt;0,VLOOKUP(A121,Body!$A$4:$F$259,2,0),"")</f>
        <v>0.28125</v>
      </c>
    </row>
    <row r="122" spans="1:9" x14ac:dyDescent="0.4">
      <c r="A122" s="13"/>
      <c r="B122" s="13" t="str">
        <f ca="1">Start.listina!O40</f>
        <v/>
      </c>
      <c r="C122" s="13" t="str">
        <f ca="1">Start.listina!P40</f>
        <v xml:space="preserve"> </v>
      </c>
      <c r="D122" s="13" t="str">
        <f ca="1">Start.listina!Q40</f>
        <v xml:space="preserve"> </v>
      </c>
      <c r="E122" s="13" t="str">
        <f ca="1">Start.listina!R40</f>
        <v xml:space="preserve"> </v>
      </c>
      <c r="F122" s="13"/>
      <c r="G122" s="89"/>
      <c r="H122" s="4"/>
      <c r="I122" s="4"/>
    </row>
    <row r="123" spans="1:9" x14ac:dyDescent="0.4">
      <c r="A123" s="13"/>
      <c r="B123" s="13" t="str">
        <f ca="1">Start.listina!U40</f>
        <v/>
      </c>
      <c r="C123" s="13" t="str">
        <f ca="1">Start.listina!V40</f>
        <v xml:space="preserve"> </v>
      </c>
      <c r="D123" s="13" t="str">
        <f ca="1">Start.listina!W40</f>
        <v xml:space="preserve"> </v>
      </c>
      <c r="E123" s="13" t="str">
        <f ca="1">Start.listina!X40</f>
        <v xml:space="preserve"> </v>
      </c>
      <c r="F123" s="13"/>
      <c r="G123" s="89"/>
      <c r="H123" s="4"/>
      <c r="I123" s="4"/>
    </row>
    <row r="124" spans="1:9" x14ac:dyDescent="0.4">
      <c r="A124" s="13"/>
      <c r="B124" s="13" t="str">
        <f ca="1">Start.listina!AA40</f>
        <v/>
      </c>
      <c r="C124" s="13" t="str">
        <f ca="1">Start.listina!AB40</f>
        <v xml:space="preserve"> </v>
      </c>
      <c r="D124" s="13" t="str">
        <f ca="1">Start.listina!AC40</f>
        <v xml:space="preserve"> </v>
      </c>
      <c r="E124" s="13" t="str">
        <f ca="1">Start.listina!AD40</f>
        <v xml:space="preserve"> </v>
      </c>
      <c r="F124" s="13"/>
      <c r="G124" s="89"/>
      <c r="H124" s="4"/>
      <c r="I124" s="4"/>
    </row>
    <row r="125" spans="1:9" x14ac:dyDescent="0.4">
      <c r="A125" s="13">
        <f ca="1">Start.listina!AH41</f>
        <v>49</v>
      </c>
      <c r="B125" s="13">
        <f ca="1">Start.listina!I41</f>
        <v>16077</v>
      </c>
      <c r="C125" s="195" t="str">
        <f ca="1">Start.listina!J41</f>
        <v>Holoubek</v>
      </c>
      <c r="D125" s="13" t="str">
        <f ca="1">Start.listina!K41</f>
        <v>Pavel</v>
      </c>
      <c r="E125" s="13" t="str">
        <f ca="1">Start.listina!L41</f>
        <v>SK Pétanque Řepy</v>
      </c>
      <c r="F125" s="13"/>
      <c r="G125" s="89">
        <f ca="1">IF(N(A125)&gt;0,VLOOKUP(A125,Body!$A$4:$F$259,5,0),"")</f>
        <v>17.966337890624999</v>
      </c>
      <c r="H125" s="4">
        <f ca="1">IF(N(A125)&gt;0,VLOOKUP(A125,Body!$A$4:$F$259,6,0),"")</f>
        <v>0</v>
      </c>
      <c r="I125" s="4">
        <f ca="1">IF(N(A125)&gt;0,VLOOKUP(A125,Body!$A$4:$F$259,2,0),"")</f>
        <v>0.46875</v>
      </c>
    </row>
    <row r="126" spans="1:9" x14ac:dyDescent="0.4">
      <c r="A126" s="13"/>
      <c r="B126" s="13" t="str">
        <f ca="1">Start.listina!O41</f>
        <v/>
      </c>
      <c r="C126" s="13" t="str">
        <f ca="1">Start.listina!P41</f>
        <v xml:space="preserve"> </v>
      </c>
      <c r="D126" s="13" t="str">
        <f ca="1">Start.listina!Q41</f>
        <v xml:space="preserve"> </v>
      </c>
      <c r="E126" s="13" t="str">
        <f ca="1">Start.listina!R41</f>
        <v xml:space="preserve"> </v>
      </c>
      <c r="F126" s="13"/>
      <c r="G126" s="89"/>
      <c r="H126" s="4"/>
      <c r="I126" s="4"/>
    </row>
    <row r="127" spans="1:9" x14ac:dyDescent="0.4">
      <c r="A127" s="13"/>
      <c r="B127" s="13" t="str">
        <f ca="1">Start.listina!U41</f>
        <v/>
      </c>
      <c r="C127" s="13" t="str">
        <f ca="1">Start.listina!V41</f>
        <v xml:space="preserve"> </v>
      </c>
      <c r="D127" s="13" t="str">
        <f ca="1">Start.listina!W41</f>
        <v xml:space="preserve"> </v>
      </c>
      <c r="E127" s="13" t="str">
        <f ca="1">Start.listina!X41</f>
        <v xml:space="preserve"> </v>
      </c>
      <c r="F127" s="13"/>
      <c r="G127" s="89"/>
      <c r="H127" s="4"/>
      <c r="I127" s="4"/>
    </row>
    <row r="128" spans="1:9" x14ac:dyDescent="0.4">
      <c r="A128" s="13"/>
      <c r="B128" s="13" t="str">
        <f ca="1">Start.listina!AA41</f>
        <v/>
      </c>
      <c r="C128" s="13" t="str">
        <f ca="1">Start.listina!AB41</f>
        <v xml:space="preserve"> </v>
      </c>
      <c r="D128" s="13" t="str">
        <f ca="1">Start.listina!AC41</f>
        <v xml:space="preserve"> </v>
      </c>
      <c r="E128" s="13" t="str">
        <f ca="1">Start.listina!AD41</f>
        <v xml:space="preserve"> </v>
      </c>
      <c r="F128" s="13"/>
      <c r="G128" s="89"/>
      <c r="H128" s="4"/>
      <c r="I128" s="4"/>
    </row>
    <row r="129" spans="1:9" x14ac:dyDescent="0.4">
      <c r="A129" s="13">
        <f ca="1">Start.listina!AH42</f>
        <v>42</v>
      </c>
      <c r="B129" s="13">
        <f ca="1">Start.listina!I42</f>
        <v>21025</v>
      </c>
      <c r="C129" s="195" t="str">
        <f ca="1">Start.listina!J42</f>
        <v>Vodehnal</v>
      </c>
      <c r="D129" s="13" t="str">
        <f ca="1">Start.listina!K42</f>
        <v>Zdeněk</v>
      </c>
      <c r="E129" s="13" t="str">
        <f ca="1">Start.listina!L42</f>
        <v>SK Pétanque Řepy</v>
      </c>
      <c r="F129" s="13"/>
      <c r="G129" s="89">
        <f ca="1">IF(N(A129)&gt;0,VLOOKUP(A129,Body!$A$4:$F$259,5,0),"")</f>
        <v>26.350628906249998</v>
      </c>
      <c r="H129" s="4">
        <f ca="1">IF(N(A129)&gt;0,VLOOKUP(A129,Body!$A$4:$F$259,6,0),"")</f>
        <v>0</v>
      </c>
      <c r="I129" s="4">
        <f ca="1">IF(N(A129)&gt;0,VLOOKUP(A129,Body!$A$4:$F$259,2,0),"")</f>
        <v>0.6875</v>
      </c>
    </row>
    <row r="130" spans="1:9" x14ac:dyDescent="0.4">
      <c r="A130" s="13"/>
      <c r="B130" s="13" t="str">
        <f ca="1">Start.listina!O42</f>
        <v/>
      </c>
      <c r="C130" s="13" t="str">
        <f ca="1">Start.listina!P42</f>
        <v xml:space="preserve"> </v>
      </c>
      <c r="D130" s="13" t="str">
        <f ca="1">Start.listina!Q42</f>
        <v xml:space="preserve"> </v>
      </c>
      <c r="E130" s="13" t="str">
        <f ca="1">Start.listina!R42</f>
        <v xml:space="preserve"> </v>
      </c>
      <c r="F130" s="13"/>
      <c r="G130" s="89"/>
      <c r="H130" s="4"/>
      <c r="I130" s="4"/>
    </row>
    <row r="131" spans="1:9" x14ac:dyDescent="0.4">
      <c r="A131" s="13"/>
      <c r="B131" s="13" t="str">
        <f ca="1">Start.listina!U42</f>
        <v/>
      </c>
      <c r="C131" s="13" t="str">
        <f ca="1">Start.listina!V42</f>
        <v xml:space="preserve"> </v>
      </c>
      <c r="D131" s="13" t="str">
        <f ca="1">Start.listina!W42</f>
        <v xml:space="preserve"> </v>
      </c>
      <c r="E131" s="13" t="str">
        <f ca="1">Start.listina!X42</f>
        <v xml:space="preserve"> </v>
      </c>
      <c r="F131" s="13"/>
      <c r="G131" s="89"/>
      <c r="H131" s="4"/>
      <c r="I131" s="4"/>
    </row>
    <row r="132" spans="1:9" x14ac:dyDescent="0.4">
      <c r="A132" s="13"/>
      <c r="B132" s="13" t="str">
        <f ca="1">Start.listina!AA42</f>
        <v/>
      </c>
      <c r="C132" s="13" t="str">
        <f ca="1">Start.listina!AB42</f>
        <v xml:space="preserve"> </v>
      </c>
      <c r="D132" s="13" t="str">
        <f ca="1">Start.listina!AC42</f>
        <v xml:space="preserve"> </v>
      </c>
      <c r="E132" s="13" t="str">
        <f ca="1">Start.listina!AD42</f>
        <v xml:space="preserve"> </v>
      </c>
      <c r="F132" s="13"/>
      <c r="G132" s="89"/>
      <c r="H132" s="4"/>
      <c r="I132" s="4"/>
    </row>
    <row r="133" spans="1:9" x14ac:dyDescent="0.4">
      <c r="A133" s="13">
        <f ca="1">Start.listina!AH43</f>
        <v>51</v>
      </c>
      <c r="B133" s="13">
        <f ca="1">Start.listina!I43</f>
        <v>20614</v>
      </c>
      <c r="C133" s="195" t="str">
        <f ca="1">Start.listina!J43</f>
        <v>Müllerová</v>
      </c>
      <c r="D133" s="13" t="str">
        <f ca="1">Start.listina!K43</f>
        <v>Jiřina</v>
      </c>
      <c r="E133" s="13" t="str">
        <f ca="1">Start.listina!L43</f>
        <v>SK Pétanque Řepy</v>
      </c>
      <c r="F133" s="13"/>
      <c r="G133" s="89">
        <f ca="1">IF(N(A133)&gt;0,VLOOKUP(A133,Body!$A$4:$F$259,5,0),"")</f>
        <v>15.570826171875</v>
      </c>
      <c r="H133" s="4">
        <f ca="1">IF(N(A133)&gt;0,VLOOKUP(A133,Body!$A$4:$F$259,6,0),"")</f>
        <v>0</v>
      </c>
      <c r="I133" s="4">
        <f ca="1">IF(N(A133)&gt;0,VLOOKUP(A133,Body!$A$4:$F$259,2,0),"")</f>
        <v>0.40625</v>
      </c>
    </row>
    <row r="134" spans="1:9" x14ac:dyDescent="0.4">
      <c r="A134" s="13"/>
      <c r="B134" s="13" t="str">
        <f ca="1">Start.listina!O43</f>
        <v/>
      </c>
      <c r="C134" s="13" t="str">
        <f ca="1">Start.listina!P43</f>
        <v xml:space="preserve"> </v>
      </c>
      <c r="D134" s="13" t="str">
        <f ca="1">Start.listina!Q43</f>
        <v xml:space="preserve"> </v>
      </c>
      <c r="E134" s="13" t="str">
        <f ca="1">Start.listina!R43</f>
        <v xml:space="preserve"> </v>
      </c>
      <c r="F134" s="13"/>
      <c r="G134" s="89"/>
      <c r="H134" s="4"/>
      <c r="I134" s="4"/>
    </row>
    <row r="135" spans="1:9" x14ac:dyDescent="0.4">
      <c r="A135" s="13"/>
      <c r="B135" s="13" t="str">
        <f ca="1">Start.listina!U43</f>
        <v/>
      </c>
      <c r="C135" s="13" t="str">
        <f ca="1">Start.listina!V43</f>
        <v xml:space="preserve"> </v>
      </c>
      <c r="D135" s="13" t="str">
        <f ca="1">Start.listina!W43</f>
        <v xml:space="preserve"> </v>
      </c>
      <c r="E135" s="13" t="str">
        <f ca="1">Start.listina!X43</f>
        <v xml:space="preserve"> </v>
      </c>
      <c r="F135" s="13"/>
      <c r="G135" s="89"/>
      <c r="H135" s="4"/>
      <c r="I135" s="4"/>
    </row>
    <row r="136" spans="1:9" x14ac:dyDescent="0.4">
      <c r="A136" s="13"/>
      <c r="B136" s="13" t="str">
        <f ca="1">Start.listina!AA43</f>
        <v/>
      </c>
      <c r="C136" s="13" t="str">
        <f ca="1">Start.listina!AB43</f>
        <v xml:space="preserve"> </v>
      </c>
      <c r="D136" s="13" t="str">
        <f ca="1">Start.listina!AC43</f>
        <v xml:space="preserve"> </v>
      </c>
      <c r="E136" s="13" t="str">
        <f ca="1">Start.listina!AD43</f>
        <v xml:space="preserve"> </v>
      </c>
      <c r="F136" s="13"/>
      <c r="G136" s="89"/>
      <c r="H136" s="4"/>
      <c r="I136" s="4"/>
    </row>
    <row r="137" spans="1:9" x14ac:dyDescent="0.4">
      <c r="A137" s="13">
        <f ca="1">Start.listina!AH44</f>
        <v>16</v>
      </c>
      <c r="B137" s="13">
        <f ca="1">Start.listina!I44</f>
        <v>11037</v>
      </c>
      <c r="C137" s="195" t="str">
        <f ca="1">Start.listina!J44</f>
        <v>Šebek</v>
      </c>
      <c r="D137" s="13" t="str">
        <f ca="1">Start.listina!K44</f>
        <v>Viktor</v>
      </c>
      <c r="E137" s="13" t="str">
        <f ca="1">Start.listina!L44</f>
        <v>1. KPK Vrchlabí</v>
      </c>
      <c r="F137" s="13"/>
      <c r="G137" s="89">
        <f ca="1">IF(N(A137)&gt;0,VLOOKUP(A137,Body!$A$4:$F$259,5,0),"")</f>
        <v>76.656374999999997</v>
      </c>
      <c r="H137" s="4">
        <f ca="1">IF(N(A137)&gt;0,VLOOKUP(A137,Body!$A$4:$F$259,6,0),"")</f>
        <v>0</v>
      </c>
      <c r="I137" s="4">
        <f ca="1">IF(N(A137)&gt;0,VLOOKUP(A137,Body!$A$4:$F$259,2,0),"")</f>
        <v>2</v>
      </c>
    </row>
    <row r="138" spans="1:9" x14ac:dyDescent="0.4">
      <c r="A138" s="13"/>
      <c r="B138" s="13" t="str">
        <f ca="1">Start.listina!O44</f>
        <v/>
      </c>
      <c r="C138" s="13" t="str">
        <f ca="1">Start.listina!P44</f>
        <v xml:space="preserve"> </v>
      </c>
      <c r="D138" s="13" t="str">
        <f ca="1">Start.listina!Q44</f>
        <v xml:space="preserve"> </v>
      </c>
      <c r="E138" s="13" t="str">
        <f ca="1">Start.listina!R44</f>
        <v xml:space="preserve"> </v>
      </c>
      <c r="F138" s="13"/>
      <c r="G138" s="89"/>
      <c r="H138" s="4"/>
      <c r="I138" s="4"/>
    </row>
    <row r="139" spans="1:9" x14ac:dyDescent="0.4">
      <c r="A139" s="13"/>
      <c r="B139" s="13" t="str">
        <f ca="1">Start.listina!U44</f>
        <v/>
      </c>
      <c r="C139" s="13" t="str">
        <f ca="1">Start.listina!V44</f>
        <v xml:space="preserve"> </v>
      </c>
      <c r="D139" s="13" t="str">
        <f ca="1">Start.listina!W44</f>
        <v xml:space="preserve"> </v>
      </c>
      <c r="E139" s="13" t="str">
        <f ca="1">Start.listina!X44</f>
        <v xml:space="preserve"> </v>
      </c>
      <c r="F139" s="13"/>
      <c r="G139" s="89"/>
      <c r="H139" s="4"/>
      <c r="I139" s="4"/>
    </row>
    <row r="140" spans="1:9" x14ac:dyDescent="0.4">
      <c r="A140" s="13"/>
      <c r="B140" s="13" t="str">
        <f ca="1">Start.listina!AA44</f>
        <v/>
      </c>
      <c r="C140" s="13" t="str">
        <f ca="1">Start.listina!AB44</f>
        <v xml:space="preserve"> </v>
      </c>
      <c r="D140" s="13" t="str">
        <f ca="1">Start.listina!AC44</f>
        <v xml:space="preserve"> </v>
      </c>
      <c r="E140" s="13" t="str">
        <f ca="1">Start.listina!AD44</f>
        <v xml:space="preserve"> </v>
      </c>
      <c r="F140" s="13"/>
      <c r="G140" s="89"/>
      <c r="H140" s="4"/>
      <c r="I140" s="4"/>
    </row>
    <row r="141" spans="1:9" x14ac:dyDescent="0.4">
      <c r="A141" s="13">
        <f ca="1">Start.listina!AH45</f>
        <v>45</v>
      </c>
      <c r="B141" s="13">
        <f ca="1">Start.listina!I45</f>
        <v>20533</v>
      </c>
      <c r="C141" s="195" t="str">
        <f ca="1">Start.listina!J45</f>
        <v>Josífková</v>
      </c>
      <c r="D141" s="13" t="str">
        <f ca="1">Start.listina!K45</f>
        <v>Eva</v>
      </c>
      <c r="E141" s="13" t="str">
        <f ca="1">Start.listina!L45</f>
        <v>SK Pétanque Řepy</v>
      </c>
      <c r="F141" s="13"/>
      <c r="G141" s="89">
        <f ca="1">IF(N(A141)&gt;0,VLOOKUP(A141,Body!$A$4:$F$259,5,0),"")</f>
        <v>22.757361328125</v>
      </c>
      <c r="H141" s="4">
        <f ca="1">IF(N(A141)&gt;0,VLOOKUP(A141,Body!$A$4:$F$259,6,0),"")</f>
        <v>0</v>
      </c>
      <c r="I141" s="4">
        <f ca="1">IF(N(A141)&gt;0,VLOOKUP(A141,Body!$A$4:$F$259,2,0),"")</f>
        <v>0.59375</v>
      </c>
    </row>
    <row r="142" spans="1:9" x14ac:dyDescent="0.4">
      <c r="A142" s="13"/>
      <c r="B142" s="13" t="str">
        <f ca="1">Start.listina!O45</f>
        <v/>
      </c>
      <c r="C142" s="13" t="str">
        <f ca="1">Start.listina!P45</f>
        <v xml:space="preserve"> </v>
      </c>
      <c r="D142" s="13" t="str">
        <f ca="1">Start.listina!Q45</f>
        <v xml:space="preserve"> </v>
      </c>
      <c r="E142" s="13" t="str">
        <f ca="1">Start.listina!R45</f>
        <v xml:space="preserve"> </v>
      </c>
      <c r="F142" s="13"/>
      <c r="G142" s="89"/>
      <c r="H142" s="4"/>
      <c r="I142" s="4"/>
    </row>
    <row r="143" spans="1:9" x14ac:dyDescent="0.4">
      <c r="A143" s="13"/>
      <c r="B143" s="13" t="str">
        <f ca="1">Start.listina!U45</f>
        <v/>
      </c>
      <c r="C143" s="13" t="str">
        <f ca="1">Start.listina!V45</f>
        <v xml:space="preserve"> </v>
      </c>
      <c r="D143" s="13" t="str">
        <f ca="1">Start.listina!W45</f>
        <v xml:space="preserve"> </v>
      </c>
      <c r="E143" s="13" t="str">
        <f ca="1">Start.listina!X45</f>
        <v xml:space="preserve"> </v>
      </c>
      <c r="F143" s="13"/>
      <c r="G143" s="89"/>
      <c r="H143" s="4"/>
      <c r="I143" s="4"/>
    </row>
    <row r="144" spans="1:9" x14ac:dyDescent="0.4">
      <c r="A144" s="13"/>
      <c r="B144" s="13" t="str">
        <f ca="1">Start.listina!AA45</f>
        <v/>
      </c>
      <c r="C144" s="13" t="str">
        <f ca="1">Start.listina!AB45</f>
        <v xml:space="preserve"> </v>
      </c>
      <c r="D144" s="13" t="str">
        <f ca="1">Start.listina!AC45</f>
        <v xml:space="preserve"> </v>
      </c>
      <c r="E144" s="13" t="str">
        <f ca="1">Start.listina!AD45</f>
        <v xml:space="preserve"> </v>
      </c>
      <c r="F144" s="13"/>
      <c r="G144" s="89"/>
      <c r="H144" s="4"/>
      <c r="I144" s="4"/>
    </row>
    <row r="145" spans="1:9" x14ac:dyDescent="0.4">
      <c r="A145" s="13">
        <f ca="1">Start.listina!AH46</f>
        <v>47</v>
      </c>
      <c r="B145" s="13">
        <f ca="1">Start.listina!I46</f>
        <v>23021</v>
      </c>
      <c r="C145" s="195" t="str">
        <f ca="1">Start.listina!J46</f>
        <v>Ondryáš</v>
      </c>
      <c r="D145" s="13" t="str">
        <f ca="1">Start.listina!K46</f>
        <v>Jiří</v>
      </c>
      <c r="E145" s="13" t="str">
        <f ca="1">Start.listina!L46</f>
        <v>FRAPECO</v>
      </c>
      <c r="F145" s="13"/>
      <c r="G145" s="89">
        <f ca="1">IF(N(A145)&gt;0,VLOOKUP(A145,Body!$A$4:$F$259,5,0),"")</f>
        <v>20.361849609375</v>
      </c>
      <c r="H145" s="4">
        <f ca="1">IF(N(A145)&gt;0,VLOOKUP(A145,Body!$A$4:$F$259,6,0),"")</f>
        <v>0</v>
      </c>
      <c r="I145" s="4">
        <f ca="1">IF(N(A145)&gt;0,VLOOKUP(A145,Body!$A$4:$F$259,2,0),"")</f>
        <v>0.53125</v>
      </c>
    </row>
    <row r="146" spans="1:9" x14ac:dyDescent="0.4">
      <c r="A146" s="13"/>
      <c r="B146" s="13" t="str">
        <f ca="1">Start.listina!O46</f>
        <v/>
      </c>
      <c r="C146" s="13" t="str">
        <f ca="1">Start.listina!P46</f>
        <v xml:space="preserve"> </v>
      </c>
      <c r="D146" s="13" t="str">
        <f ca="1">Start.listina!Q46</f>
        <v xml:space="preserve"> </v>
      </c>
      <c r="E146" s="13" t="str">
        <f ca="1">Start.listina!R46</f>
        <v xml:space="preserve"> </v>
      </c>
      <c r="F146" s="13"/>
      <c r="G146" s="89"/>
      <c r="H146" s="4"/>
      <c r="I146" s="4"/>
    </row>
    <row r="147" spans="1:9" x14ac:dyDescent="0.4">
      <c r="A147" s="13"/>
      <c r="B147" s="13" t="str">
        <f ca="1">Start.listina!U46</f>
        <v/>
      </c>
      <c r="C147" s="13" t="str">
        <f ca="1">Start.listina!V46</f>
        <v xml:space="preserve"> </v>
      </c>
      <c r="D147" s="13" t="str">
        <f ca="1">Start.listina!W46</f>
        <v xml:space="preserve"> </v>
      </c>
      <c r="E147" s="13" t="str">
        <f ca="1">Start.listina!X46</f>
        <v xml:space="preserve"> </v>
      </c>
      <c r="F147" s="13"/>
      <c r="G147" s="89"/>
      <c r="H147" s="4"/>
      <c r="I147" s="4"/>
    </row>
    <row r="148" spans="1:9" x14ac:dyDescent="0.4">
      <c r="A148" s="13"/>
      <c r="B148" s="13" t="str">
        <f ca="1">Start.listina!AA46</f>
        <v/>
      </c>
      <c r="C148" s="13" t="str">
        <f ca="1">Start.listina!AB46</f>
        <v xml:space="preserve"> </v>
      </c>
      <c r="D148" s="13" t="str">
        <f ca="1">Start.listina!AC46</f>
        <v xml:space="preserve"> </v>
      </c>
      <c r="E148" s="13" t="str">
        <f ca="1">Start.listina!AD46</f>
        <v xml:space="preserve"> </v>
      </c>
      <c r="F148" s="13"/>
      <c r="G148" s="89"/>
      <c r="H148" s="4"/>
      <c r="I148" s="4"/>
    </row>
    <row r="149" spans="1:9" x14ac:dyDescent="0.4">
      <c r="A149" s="13">
        <f ca="1">Start.listina!AH47</f>
        <v>33</v>
      </c>
      <c r="B149" s="13">
        <f ca="1">Start.listina!I47</f>
        <v>21032</v>
      </c>
      <c r="C149" s="195" t="str">
        <f ca="1">Start.listina!J47</f>
        <v>Konopová</v>
      </c>
      <c r="D149" s="13" t="str">
        <f ca="1">Start.listina!K47</f>
        <v>Marta</v>
      </c>
      <c r="E149" s="13" t="str">
        <f ca="1">Start.listina!L47</f>
        <v>SK Pétanque Řepy</v>
      </c>
      <c r="F149" s="13"/>
      <c r="G149" s="89">
        <f ca="1">IF(N(A149)&gt;0,VLOOKUP(A149,Body!$A$4:$F$259,5,0),"")</f>
        <v>37.130431640624998</v>
      </c>
      <c r="H149" s="4">
        <f ca="1">IF(N(A149)&gt;0,VLOOKUP(A149,Body!$A$4:$F$259,6,0),"")</f>
        <v>0</v>
      </c>
      <c r="I149" s="4">
        <f ca="1">IF(N(A149)&gt;0,VLOOKUP(A149,Body!$A$4:$F$259,2,0),"")</f>
        <v>0.96875</v>
      </c>
    </row>
    <row r="150" spans="1:9" x14ac:dyDescent="0.4">
      <c r="A150" s="13"/>
      <c r="B150" s="13" t="str">
        <f ca="1">Start.listina!O47</f>
        <v/>
      </c>
      <c r="C150" s="13" t="str">
        <f ca="1">Start.listina!P47</f>
        <v xml:space="preserve"> </v>
      </c>
      <c r="D150" s="13" t="str">
        <f ca="1">Start.listina!Q47</f>
        <v xml:space="preserve"> </v>
      </c>
      <c r="E150" s="13" t="str">
        <f ca="1">Start.listina!R47</f>
        <v xml:space="preserve"> </v>
      </c>
      <c r="F150" s="13"/>
      <c r="G150" s="89"/>
      <c r="H150" s="4"/>
      <c r="I150" s="4"/>
    </row>
    <row r="151" spans="1:9" x14ac:dyDescent="0.4">
      <c r="A151" s="13"/>
      <c r="B151" s="13" t="str">
        <f ca="1">Start.listina!U47</f>
        <v/>
      </c>
      <c r="C151" s="13" t="str">
        <f ca="1">Start.listina!V47</f>
        <v xml:space="preserve"> </v>
      </c>
      <c r="D151" s="13" t="str">
        <f ca="1">Start.listina!W47</f>
        <v xml:space="preserve"> </v>
      </c>
      <c r="E151" s="13" t="str">
        <f ca="1">Start.listina!X47</f>
        <v xml:space="preserve"> </v>
      </c>
      <c r="F151" s="13"/>
      <c r="G151" s="89"/>
      <c r="H151" s="4"/>
      <c r="I151" s="4"/>
    </row>
    <row r="152" spans="1:9" x14ac:dyDescent="0.4">
      <c r="A152" s="13"/>
      <c r="B152" s="13" t="str">
        <f ca="1">Start.listina!AA47</f>
        <v/>
      </c>
      <c r="C152" s="13" t="str">
        <f ca="1">Start.listina!AB47</f>
        <v xml:space="preserve"> </v>
      </c>
      <c r="D152" s="13" t="str">
        <f ca="1">Start.listina!AC47</f>
        <v xml:space="preserve"> </v>
      </c>
      <c r="E152" s="13" t="str">
        <f ca="1">Start.listina!AD47</f>
        <v xml:space="preserve"> </v>
      </c>
      <c r="F152" s="13"/>
      <c r="G152" s="89"/>
      <c r="H152" s="4"/>
      <c r="I152" s="4"/>
    </row>
    <row r="153" spans="1:9" x14ac:dyDescent="0.4">
      <c r="A153" s="13">
        <f ca="1">Start.listina!AH48</f>
        <v>32</v>
      </c>
      <c r="B153" s="13">
        <f ca="1">Start.listina!I48</f>
        <v>96162</v>
      </c>
      <c r="C153" s="195" t="str">
        <f ca="1">Start.listina!J48</f>
        <v>Glaser</v>
      </c>
      <c r="D153" s="13" t="str">
        <f ca="1">Start.listina!K48</f>
        <v>Vladimír</v>
      </c>
      <c r="E153" s="13" t="str">
        <f ca="1">Start.listina!L48</f>
        <v>C.T.P. Club Ořech</v>
      </c>
      <c r="F153" s="13"/>
      <c r="G153" s="89">
        <f ca="1">IF(N(A153)&gt;0,VLOOKUP(A153,Body!$A$4:$F$259,5,0),"")</f>
        <v>38.328187499999999</v>
      </c>
      <c r="H153" s="4">
        <f ca="1">IF(N(A153)&gt;0,VLOOKUP(A153,Body!$A$4:$F$259,6,0),"")</f>
        <v>0</v>
      </c>
      <c r="I153" s="4">
        <f ca="1">IF(N(A153)&gt;0,VLOOKUP(A153,Body!$A$4:$F$259,2,0),"")</f>
        <v>1</v>
      </c>
    </row>
    <row r="154" spans="1:9" x14ac:dyDescent="0.4">
      <c r="A154" s="13"/>
      <c r="B154" s="13" t="str">
        <f ca="1">Start.listina!O48</f>
        <v/>
      </c>
      <c r="C154" s="13" t="str">
        <f ca="1">Start.listina!P48</f>
        <v xml:space="preserve"> </v>
      </c>
      <c r="D154" s="13" t="str">
        <f ca="1">Start.listina!Q48</f>
        <v xml:space="preserve"> </v>
      </c>
      <c r="E154" s="13" t="str">
        <f ca="1">Start.listina!R48</f>
        <v xml:space="preserve"> </v>
      </c>
      <c r="F154" s="13"/>
      <c r="G154" s="89"/>
      <c r="H154" s="4"/>
      <c r="I154" s="4"/>
    </row>
    <row r="155" spans="1:9" x14ac:dyDescent="0.4">
      <c r="A155" s="13"/>
      <c r="B155" s="13" t="str">
        <f ca="1">Start.listina!U48</f>
        <v/>
      </c>
      <c r="C155" s="13" t="str">
        <f ca="1">Start.listina!V48</f>
        <v xml:space="preserve"> </v>
      </c>
      <c r="D155" s="13" t="str">
        <f ca="1">Start.listina!W48</f>
        <v xml:space="preserve"> </v>
      </c>
      <c r="E155" s="13" t="str">
        <f ca="1">Start.listina!X48</f>
        <v xml:space="preserve"> </v>
      </c>
      <c r="F155" s="13"/>
      <c r="G155" s="89"/>
      <c r="H155" s="4"/>
      <c r="I155" s="4"/>
    </row>
    <row r="156" spans="1:9" x14ac:dyDescent="0.4">
      <c r="A156" s="13"/>
      <c r="B156" s="13" t="str">
        <f ca="1">Start.listina!AA48</f>
        <v/>
      </c>
      <c r="C156" s="13" t="str">
        <f ca="1">Start.listina!AB48</f>
        <v xml:space="preserve"> </v>
      </c>
      <c r="D156" s="13" t="str">
        <f ca="1">Start.listina!AC48</f>
        <v xml:space="preserve"> </v>
      </c>
      <c r="E156" s="13" t="str">
        <f ca="1">Start.listina!AD48</f>
        <v xml:space="preserve"> </v>
      </c>
      <c r="F156" s="13"/>
      <c r="G156" s="89"/>
      <c r="H156" s="4"/>
      <c r="I156" s="4"/>
    </row>
    <row r="157" spans="1:9" x14ac:dyDescent="0.4">
      <c r="A157" s="13">
        <f ca="1">Start.listina!AH49</f>
        <v>22</v>
      </c>
      <c r="B157" s="13">
        <f ca="1">Start.listina!I49</f>
        <v>24504</v>
      </c>
      <c r="C157" s="195" t="str">
        <f ca="1">Start.listina!J49</f>
        <v>Šnejdr</v>
      </c>
      <c r="D157" s="13" t="str">
        <f ca="1">Start.listina!K49</f>
        <v>Josef</v>
      </c>
      <c r="E157" s="13" t="str">
        <f ca="1">Start.listina!L49</f>
        <v>PC Přítkov</v>
      </c>
      <c r="F157" s="13"/>
      <c r="G157" s="89">
        <f ca="1">IF(N(A157)&gt;0,VLOOKUP(A157,Body!$A$4:$F$259,5,0),"")</f>
        <v>62.283304687499999</v>
      </c>
      <c r="H157" s="4">
        <f ca="1">IF(N(A157)&gt;0,VLOOKUP(A157,Body!$A$4:$F$259,6,0),"")</f>
        <v>0</v>
      </c>
      <c r="I157" s="4">
        <f ca="1">IF(N(A157)&gt;0,VLOOKUP(A157,Body!$A$4:$F$259,2,0),"")</f>
        <v>1.625</v>
      </c>
    </row>
    <row r="158" spans="1:9" x14ac:dyDescent="0.4">
      <c r="A158" s="13"/>
      <c r="B158" s="13" t="str">
        <f ca="1">Start.listina!O49</f>
        <v/>
      </c>
      <c r="C158" s="13" t="str">
        <f ca="1">Start.listina!P49</f>
        <v xml:space="preserve"> </v>
      </c>
      <c r="D158" s="13" t="str">
        <f ca="1">Start.listina!Q49</f>
        <v xml:space="preserve"> </v>
      </c>
      <c r="E158" s="13" t="str">
        <f ca="1">Start.listina!R49</f>
        <v xml:space="preserve"> </v>
      </c>
      <c r="F158" s="13"/>
      <c r="G158" s="89"/>
      <c r="H158" s="4"/>
      <c r="I158" s="4"/>
    </row>
    <row r="159" spans="1:9" x14ac:dyDescent="0.4">
      <c r="A159" s="13"/>
      <c r="B159" s="13" t="str">
        <f ca="1">Start.listina!U49</f>
        <v/>
      </c>
      <c r="C159" s="13" t="str">
        <f ca="1">Start.listina!V49</f>
        <v xml:space="preserve"> </v>
      </c>
      <c r="D159" s="13" t="str">
        <f ca="1">Start.listina!W49</f>
        <v xml:space="preserve"> </v>
      </c>
      <c r="E159" s="13" t="str">
        <f ca="1">Start.listina!X49</f>
        <v xml:space="preserve"> </v>
      </c>
      <c r="F159" s="13"/>
      <c r="G159" s="89"/>
      <c r="H159" s="4"/>
      <c r="I159" s="4"/>
    </row>
    <row r="160" spans="1:9" x14ac:dyDescent="0.4">
      <c r="A160" s="13"/>
      <c r="B160" s="13" t="str">
        <f ca="1">Start.listina!AA49</f>
        <v/>
      </c>
      <c r="C160" s="13" t="str">
        <f ca="1">Start.listina!AB49</f>
        <v xml:space="preserve"> </v>
      </c>
      <c r="D160" s="13" t="str">
        <f ca="1">Start.listina!AC49</f>
        <v xml:space="preserve"> </v>
      </c>
      <c r="E160" s="13" t="str">
        <f ca="1">Start.listina!AD49</f>
        <v xml:space="preserve"> </v>
      </c>
      <c r="F160" s="13"/>
      <c r="G160" s="89"/>
      <c r="H160" s="4"/>
      <c r="I160" s="4"/>
    </row>
    <row r="161" spans="1:9" x14ac:dyDescent="0.4">
      <c r="A161" s="13">
        <f ca="1">Start.listina!AH50</f>
        <v>35</v>
      </c>
      <c r="B161" s="13">
        <f ca="1">Start.listina!I50</f>
        <v>23215</v>
      </c>
      <c r="C161" s="195" t="str">
        <f ca="1">Start.listina!J50</f>
        <v>Krhovská</v>
      </c>
      <c r="D161" s="13" t="str">
        <f ca="1">Start.listina!K50</f>
        <v>Dana</v>
      </c>
      <c r="E161" s="13" t="str">
        <f ca="1">Start.listina!L50</f>
        <v>SKP Kulová osma</v>
      </c>
      <c r="F161" s="13"/>
      <c r="G161" s="89">
        <f ca="1">IF(N(A161)&gt;0,VLOOKUP(A161,Body!$A$4:$F$259,5,0),"")</f>
        <v>34.734919921874997</v>
      </c>
      <c r="H161" s="4">
        <f ca="1">IF(N(A161)&gt;0,VLOOKUP(A161,Body!$A$4:$F$259,6,0),"")</f>
        <v>0</v>
      </c>
      <c r="I161" s="4">
        <f ca="1">IF(N(A161)&gt;0,VLOOKUP(A161,Body!$A$4:$F$259,2,0),"")</f>
        <v>0.90625</v>
      </c>
    </row>
    <row r="162" spans="1:9" x14ac:dyDescent="0.4">
      <c r="A162" s="13"/>
      <c r="B162" s="13" t="str">
        <f ca="1">Start.listina!O50</f>
        <v/>
      </c>
      <c r="C162" s="13" t="str">
        <f ca="1">Start.listina!P50</f>
        <v xml:space="preserve"> </v>
      </c>
      <c r="D162" s="13" t="str">
        <f ca="1">Start.listina!Q50</f>
        <v xml:space="preserve"> </v>
      </c>
      <c r="E162" s="13" t="str">
        <f ca="1">Start.listina!R50</f>
        <v xml:space="preserve"> </v>
      </c>
      <c r="F162" s="13"/>
      <c r="G162" s="89"/>
      <c r="H162" s="4"/>
      <c r="I162" s="4"/>
    </row>
    <row r="163" spans="1:9" x14ac:dyDescent="0.4">
      <c r="A163" s="13"/>
      <c r="B163" s="13" t="str">
        <f ca="1">Start.listina!U50</f>
        <v/>
      </c>
      <c r="C163" s="13" t="str">
        <f ca="1">Start.listina!V50</f>
        <v xml:space="preserve"> </v>
      </c>
      <c r="D163" s="13" t="str">
        <f ca="1">Start.listina!W50</f>
        <v xml:space="preserve"> </v>
      </c>
      <c r="E163" s="13" t="str">
        <f ca="1">Start.listina!X50</f>
        <v xml:space="preserve"> </v>
      </c>
      <c r="F163" s="13"/>
      <c r="G163" s="89"/>
      <c r="H163" s="4"/>
      <c r="I163" s="4"/>
    </row>
    <row r="164" spans="1:9" x14ac:dyDescent="0.4">
      <c r="A164" s="13"/>
      <c r="B164" s="13" t="str">
        <f ca="1">Start.listina!AA50</f>
        <v/>
      </c>
      <c r="C164" s="13" t="str">
        <f ca="1">Start.listina!AB50</f>
        <v xml:space="preserve"> </v>
      </c>
      <c r="D164" s="13" t="str">
        <f ca="1">Start.listina!AC50</f>
        <v xml:space="preserve"> </v>
      </c>
      <c r="E164" s="13" t="str">
        <f ca="1">Start.listina!AD50</f>
        <v xml:space="preserve"> </v>
      </c>
      <c r="F164" s="13"/>
      <c r="G164" s="89"/>
      <c r="H164" s="4"/>
      <c r="I164" s="4"/>
    </row>
    <row r="165" spans="1:9" x14ac:dyDescent="0.4">
      <c r="A165" s="13">
        <f ca="1">Start.listina!AH51</f>
        <v>54</v>
      </c>
      <c r="B165" s="13">
        <f ca="1">Start.listina!I51</f>
        <v>24529</v>
      </c>
      <c r="C165" s="195" t="str">
        <f ca="1">Start.listina!J51</f>
        <v>Kovář</v>
      </c>
      <c r="D165" s="13" t="str">
        <f ca="1">Start.listina!K51</f>
        <v>Petr</v>
      </c>
      <c r="E165" s="13" t="str">
        <f ca="1">Start.listina!L51</f>
        <v>SKMZ Sport</v>
      </c>
      <c r="F165" s="13"/>
      <c r="G165" s="89">
        <f ca="1">IF(N(A165)&gt;0,VLOOKUP(A165,Body!$A$4:$F$259,5,0),"")</f>
        <v>11.97755859375</v>
      </c>
      <c r="H165" s="4">
        <f ca="1">IF(N(A165)&gt;0,VLOOKUP(A165,Body!$A$4:$F$259,6,0),"")</f>
        <v>0</v>
      </c>
      <c r="I165" s="4">
        <f ca="1">IF(N(A165)&gt;0,VLOOKUP(A165,Body!$A$4:$F$259,2,0),"")</f>
        <v>0.3125</v>
      </c>
    </row>
    <row r="166" spans="1:9" x14ac:dyDescent="0.4">
      <c r="A166" s="13"/>
      <c r="B166" s="13" t="str">
        <f ca="1">Start.listina!O51</f>
        <v/>
      </c>
      <c r="C166" s="13" t="str">
        <f ca="1">Start.listina!P51</f>
        <v xml:space="preserve"> </v>
      </c>
      <c r="D166" s="13" t="str">
        <f ca="1">Start.listina!Q51</f>
        <v xml:space="preserve"> </v>
      </c>
      <c r="E166" s="13" t="str">
        <f ca="1">Start.listina!R51</f>
        <v xml:space="preserve"> </v>
      </c>
      <c r="F166" s="13"/>
      <c r="G166" s="89"/>
      <c r="H166" s="4"/>
      <c r="I166" s="4"/>
    </row>
    <row r="167" spans="1:9" x14ac:dyDescent="0.4">
      <c r="A167" s="13"/>
      <c r="B167" s="13" t="str">
        <f ca="1">Start.listina!U51</f>
        <v/>
      </c>
      <c r="C167" s="13" t="str">
        <f ca="1">Start.listina!V51</f>
        <v xml:space="preserve"> </v>
      </c>
      <c r="D167" s="13" t="str">
        <f ca="1">Start.listina!W51</f>
        <v xml:space="preserve"> </v>
      </c>
      <c r="E167" s="13" t="str">
        <f ca="1">Start.listina!X51</f>
        <v xml:space="preserve"> </v>
      </c>
      <c r="F167" s="13"/>
      <c r="G167" s="89"/>
      <c r="H167" s="4"/>
      <c r="I167" s="4"/>
    </row>
    <row r="168" spans="1:9" x14ac:dyDescent="0.4">
      <c r="A168" s="13"/>
      <c r="B168" s="13" t="str">
        <f ca="1">Start.listina!AA51</f>
        <v/>
      </c>
      <c r="C168" s="13" t="str">
        <f ca="1">Start.listina!AB51</f>
        <v xml:space="preserve"> </v>
      </c>
      <c r="D168" s="13" t="str">
        <f ca="1">Start.listina!AC51</f>
        <v xml:space="preserve"> </v>
      </c>
      <c r="E168" s="13" t="str">
        <f ca="1">Start.listina!AD51</f>
        <v xml:space="preserve"> </v>
      </c>
      <c r="F168" s="13"/>
      <c r="G168" s="89"/>
      <c r="H168" s="4"/>
      <c r="I168" s="4"/>
    </row>
    <row r="169" spans="1:9" x14ac:dyDescent="0.4">
      <c r="A169" s="13">
        <f ca="1">Start.listina!AH52</f>
        <v>27</v>
      </c>
      <c r="B169" s="13">
        <f ca="1">Start.listina!I52</f>
        <v>96216</v>
      </c>
      <c r="C169" s="195" t="str">
        <f ca="1">Start.listina!J52</f>
        <v>Leiský</v>
      </c>
      <c r="D169" s="13" t="str">
        <f ca="1">Start.listina!K52</f>
        <v>Leander</v>
      </c>
      <c r="E169" s="13" t="str">
        <f ca="1">Start.listina!L52</f>
        <v>C.T.P. Club Ořech</v>
      </c>
      <c r="F169" s="13"/>
      <c r="G169" s="89">
        <f ca="1">IF(N(A169)&gt;0,VLOOKUP(A169,Body!$A$4:$F$259,5,0),"")</f>
        <v>50.305746093749995</v>
      </c>
      <c r="H169" s="4">
        <f ca="1">IF(N(A169)&gt;0,VLOOKUP(A169,Body!$A$4:$F$259,6,0),"")</f>
        <v>0</v>
      </c>
      <c r="I169" s="4">
        <f ca="1">IF(N(A169)&gt;0,VLOOKUP(A169,Body!$A$4:$F$259,2,0),"")</f>
        <v>1.3125</v>
      </c>
    </row>
    <row r="170" spans="1:9" x14ac:dyDescent="0.4">
      <c r="A170" s="13"/>
      <c r="B170" s="13" t="str">
        <f ca="1">Start.listina!O52</f>
        <v/>
      </c>
      <c r="C170" s="13" t="str">
        <f ca="1">Start.listina!P52</f>
        <v xml:space="preserve"> </v>
      </c>
      <c r="D170" s="13" t="str">
        <f ca="1">Start.listina!Q52</f>
        <v xml:space="preserve"> </v>
      </c>
      <c r="E170" s="13" t="str">
        <f ca="1">Start.listina!R52</f>
        <v xml:space="preserve"> </v>
      </c>
      <c r="F170" s="13"/>
      <c r="G170" s="89"/>
      <c r="H170" s="4"/>
      <c r="I170" s="4"/>
    </row>
    <row r="171" spans="1:9" x14ac:dyDescent="0.4">
      <c r="A171" s="13"/>
      <c r="B171" s="13" t="str">
        <f ca="1">Start.listina!U52</f>
        <v/>
      </c>
      <c r="C171" s="13" t="str">
        <f ca="1">Start.listina!V52</f>
        <v xml:space="preserve"> </v>
      </c>
      <c r="D171" s="13" t="str">
        <f ca="1">Start.listina!W52</f>
        <v xml:space="preserve"> </v>
      </c>
      <c r="E171" s="13" t="str">
        <f ca="1">Start.listina!X52</f>
        <v xml:space="preserve"> </v>
      </c>
      <c r="F171" s="13"/>
      <c r="G171" s="89"/>
      <c r="H171" s="4"/>
      <c r="I171" s="4"/>
    </row>
    <row r="172" spans="1:9" x14ac:dyDescent="0.4">
      <c r="A172" s="13"/>
      <c r="B172" s="13" t="str">
        <f ca="1">Start.listina!AA52</f>
        <v/>
      </c>
      <c r="C172" s="13" t="str">
        <f ca="1">Start.listina!AB52</f>
        <v xml:space="preserve"> </v>
      </c>
      <c r="D172" s="13" t="str">
        <f ca="1">Start.listina!AC52</f>
        <v xml:space="preserve"> </v>
      </c>
      <c r="E172" s="13" t="str">
        <f ca="1">Start.listina!AD52</f>
        <v xml:space="preserve"> </v>
      </c>
      <c r="F172" s="13"/>
      <c r="G172" s="89"/>
      <c r="H172" s="4"/>
      <c r="I172" s="4"/>
    </row>
    <row r="173" spans="1:9" x14ac:dyDescent="0.4">
      <c r="A173" s="13">
        <f ca="1">Start.listina!AH53</f>
        <v>56</v>
      </c>
      <c r="B173" s="13" t="str">
        <f ca="1">Start.listina!I53</f>
        <v/>
      </c>
      <c r="C173" s="195" t="str">
        <f ca="1">Start.listina!J53</f>
        <v>Mika, Dánsko</v>
      </c>
      <c r="D173" s="13" t="str">
        <f ca="1">Start.listina!K53</f>
        <v xml:space="preserve"> </v>
      </c>
      <c r="E173" s="13" t="str">
        <f ca="1">Start.listina!L53</f>
        <v xml:space="preserve"> </v>
      </c>
      <c r="F173" s="13"/>
      <c r="G173" s="89">
        <f ca="1">IF(N(A173)&gt;0,VLOOKUP(A173,Body!$A$4:$F$259,5,0),"")</f>
        <v>9.5820468749999996</v>
      </c>
      <c r="H173" s="4">
        <f ca="1">IF(N(A173)&gt;0,VLOOKUP(A173,Body!$A$4:$F$259,6,0),"")</f>
        <v>0</v>
      </c>
      <c r="I173" s="4">
        <f ca="1">IF(N(A173)&gt;0,VLOOKUP(A173,Body!$A$4:$F$259,2,0),"")</f>
        <v>0.25</v>
      </c>
    </row>
    <row r="174" spans="1:9" x14ac:dyDescent="0.4">
      <c r="A174" s="13"/>
      <c r="B174" s="13" t="str">
        <f ca="1">Start.listina!O53</f>
        <v/>
      </c>
      <c r="C174" s="13" t="str">
        <f ca="1">Start.listina!P53</f>
        <v xml:space="preserve"> </v>
      </c>
      <c r="D174" s="13" t="str">
        <f ca="1">Start.listina!Q53</f>
        <v xml:space="preserve"> </v>
      </c>
      <c r="E174" s="13" t="str">
        <f ca="1">Start.listina!R53</f>
        <v xml:space="preserve"> </v>
      </c>
      <c r="F174" s="13"/>
      <c r="G174" s="89"/>
      <c r="H174" s="4"/>
      <c r="I174" s="4"/>
    </row>
    <row r="175" spans="1:9" x14ac:dyDescent="0.4">
      <c r="A175" s="13"/>
      <c r="B175" s="13" t="str">
        <f ca="1">Start.listina!U53</f>
        <v/>
      </c>
      <c r="C175" s="13" t="str">
        <f ca="1">Start.listina!V53</f>
        <v xml:space="preserve"> </v>
      </c>
      <c r="D175" s="13" t="str">
        <f ca="1">Start.listina!W53</f>
        <v xml:space="preserve"> </v>
      </c>
      <c r="E175" s="13" t="str">
        <f ca="1">Start.listina!X53</f>
        <v xml:space="preserve"> </v>
      </c>
      <c r="F175" s="13"/>
      <c r="G175" s="89"/>
      <c r="H175" s="4"/>
      <c r="I175" s="4"/>
    </row>
    <row r="176" spans="1:9" x14ac:dyDescent="0.4">
      <c r="A176" s="13"/>
      <c r="B176" s="13" t="str">
        <f ca="1">Start.listina!AA53</f>
        <v/>
      </c>
      <c r="C176" s="13" t="str">
        <f ca="1">Start.listina!AB53</f>
        <v xml:space="preserve"> </v>
      </c>
      <c r="D176" s="13" t="str">
        <f ca="1">Start.listina!AC53</f>
        <v xml:space="preserve"> </v>
      </c>
      <c r="E176" s="13" t="str">
        <f ca="1">Start.listina!AD53</f>
        <v xml:space="preserve"> </v>
      </c>
      <c r="F176" s="13"/>
      <c r="G176" s="89"/>
      <c r="H176" s="4"/>
      <c r="I176" s="4"/>
    </row>
    <row r="177" spans="1:9" x14ac:dyDescent="0.4">
      <c r="A177" s="13">
        <f ca="1">Start.listina!AH54</f>
        <v>16</v>
      </c>
      <c r="B177" s="13" t="str">
        <f ca="1">Start.listina!I54</f>
        <v/>
      </c>
      <c r="C177" s="195" t="str">
        <f ca="1">Start.listina!J54</f>
        <v>michael dánsko</v>
      </c>
      <c r="D177" s="13" t="str">
        <f ca="1">Start.listina!K54</f>
        <v xml:space="preserve"> </v>
      </c>
      <c r="E177" s="13" t="str">
        <f ca="1">Start.listina!L54</f>
        <v xml:space="preserve"> </v>
      </c>
      <c r="F177" s="13"/>
      <c r="G177" s="89">
        <f ca="1">IF(N(A177)&gt;0,VLOOKUP(A177,Body!$A$4:$F$259,5,0),"")</f>
        <v>76.656374999999997</v>
      </c>
      <c r="H177" s="4">
        <f ca="1">IF(N(A177)&gt;0,VLOOKUP(A177,Body!$A$4:$F$259,6,0),"")</f>
        <v>0</v>
      </c>
      <c r="I177" s="4">
        <f ca="1">IF(N(A177)&gt;0,VLOOKUP(A177,Body!$A$4:$F$259,2,0),"")</f>
        <v>2</v>
      </c>
    </row>
    <row r="178" spans="1:9" x14ac:dyDescent="0.4">
      <c r="A178" s="13"/>
      <c r="B178" s="13" t="str">
        <f ca="1">Start.listina!O54</f>
        <v/>
      </c>
      <c r="C178" s="13" t="str">
        <f ca="1">Start.listina!P54</f>
        <v xml:space="preserve"> </v>
      </c>
      <c r="D178" s="13" t="str">
        <f ca="1">Start.listina!Q54</f>
        <v xml:space="preserve"> </v>
      </c>
      <c r="E178" s="13" t="str">
        <f ca="1">Start.listina!R54</f>
        <v xml:space="preserve"> </v>
      </c>
      <c r="F178" s="13"/>
      <c r="G178" s="89"/>
      <c r="H178" s="4"/>
      <c r="I178" s="4"/>
    </row>
    <row r="179" spans="1:9" x14ac:dyDescent="0.4">
      <c r="A179" s="13"/>
      <c r="B179" s="13" t="str">
        <f ca="1">Start.listina!U54</f>
        <v/>
      </c>
      <c r="C179" s="13" t="str">
        <f ca="1">Start.listina!V54</f>
        <v xml:space="preserve"> </v>
      </c>
      <c r="D179" s="13" t="str">
        <f ca="1">Start.listina!W54</f>
        <v xml:space="preserve"> </v>
      </c>
      <c r="E179" s="13" t="str">
        <f ca="1">Start.listina!X54</f>
        <v xml:space="preserve"> </v>
      </c>
      <c r="F179" s="13"/>
      <c r="G179" s="89"/>
      <c r="H179" s="4"/>
      <c r="I179" s="4"/>
    </row>
    <row r="180" spans="1:9" x14ac:dyDescent="0.4">
      <c r="A180" s="13"/>
      <c r="B180" s="13" t="str">
        <f ca="1">Start.listina!AA54</f>
        <v/>
      </c>
      <c r="C180" s="13" t="str">
        <f ca="1">Start.listina!AB54</f>
        <v xml:space="preserve"> </v>
      </c>
      <c r="D180" s="13" t="str">
        <f ca="1">Start.listina!AC54</f>
        <v xml:space="preserve"> </v>
      </c>
      <c r="E180" s="13" t="str">
        <f ca="1">Start.listina!AD54</f>
        <v xml:space="preserve"> </v>
      </c>
      <c r="F180" s="13"/>
      <c r="G180" s="89"/>
      <c r="H180" s="4"/>
      <c r="I180" s="4"/>
    </row>
    <row r="181" spans="1:9" x14ac:dyDescent="0.4">
      <c r="A181" s="13">
        <f ca="1">Start.listina!AH55</f>
        <v>36</v>
      </c>
      <c r="B181" s="13" t="str">
        <f ca="1">Start.listina!I55</f>
        <v/>
      </c>
      <c r="C181" s="195" t="str">
        <f ca="1">Start.listina!J55</f>
        <v>kim, Dánsko</v>
      </c>
      <c r="D181" s="13" t="str">
        <f ca="1">Start.listina!K55</f>
        <v xml:space="preserve"> </v>
      </c>
      <c r="E181" s="13" t="str">
        <f ca="1">Start.listina!L55</f>
        <v xml:space="preserve"> </v>
      </c>
      <c r="F181" s="13"/>
      <c r="G181" s="89">
        <f ca="1">IF(N(A181)&gt;0,VLOOKUP(A181,Body!$A$4:$F$259,5,0),"")</f>
        <v>33.537164062499997</v>
      </c>
      <c r="H181" s="4">
        <f ca="1">IF(N(A181)&gt;0,VLOOKUP(A181,Body!$A$4:$F$259,6,0),"")</f>
        <v>0</v>
      </c>
      <c r="I181" s="4">
        <f ca="1">IF(N(A181)&gt;0,VLOOKUP(A181,Body!$A$4:$F$259,2,0),"")</f>
        <v>0.875</v>
      </c>
    </row>
    <row r="182" spans="1:9" x14ac:dyDescent="0.4">
      <c r="A182" s="13"/>
      <c r="B182" s="13" t="str">
        <f ca="1">Start.listina!O55</f>
        <v/>
      </c>
      <c r="C182" s="13" t="str">
        <f ca="1">Start.listina!P55</f>
        <v xml:space="preserve"> </v>
      </c>
      <c r="D182" s="13" t="str">
        <f ca="1">Start.listina!Q55</f>
        <v xml:space="preserve"> </v>
      </c>
      <c r="E182" s="13" t="str">
        <f ca="1">Start.listina!R55</f>
        <v xml:space="preserve"> </v>
      </c>
      <c r="F182" s="13"/>
      <c r="G182" s="89"/>
      <c r="H182" s="4"/>
      <c r="I182" s="4"/>
    </row>
    <row r="183" spans="1:9" x14ac:dyDescent="0.4">
      <c r="A183" s="13"/>
      <c r="B183" s="13" t="str">
        <f ca="1">Start.listina!U55</f>
        <v/>
      </c>
      <c r="C183" s="13" t="str">
        <f ca="1">Start.listina!V55</f>
        <v xml:space="preserve"> </v>
      </c>
      <c r="D183" s="13" t="str">
        <f ca="1">Start.listina!W55</f>
        <v xml:space="preserve"> </v>
      </c>
      <c r="E183" s="13" t="str">
        <f ca="1">Start.listina!X55</f>
        <v xml:space="preserve"> </v>
      </c>
      <c r="F183" s="13"/>
      <c r="G183" s="89"/>
      <c r="H183" s="4"/>
      <c r="I183" s="4"/>
    </row>
    <row r="184" spans="1:9" x14ac:dyDescent="0.4">
      <c r="A184" s="13"/>
      <c r="B184" s="13" t="str">
        <f ca="1">Start.listina!AA55</f>
        <v/>
      </c>
      <c r="C184" s="13" t="str">
        <f ca="1">Start.listina!AB55</f>
        <v xml:space="preserve"> </v>
      </c>
      <c r="D184" s="13" t="str">
        <f ca="1">Start.listina!AC55</f>
        <v xml:space="preserve"> </v>
      </c>
      <c r="E184" s="13" t="str">
        <f ca="1">Start.listina!AD55</f>
        <v xml:space="preserve"> </v>
      </c>
      <c r="F184" s="13"/>
      <c r="G184" s="89"/>
      <c r="H184" s="4"/>
      <c r="I184" s="4"/>
    </row>
    <row r="185" spans="1:9" x14ac:dyDescent="0.4">
      <c r="A185" s="13">
        <f ca="1">Start.listina!AH56</f>
        <v>48</v>
      </c>
      <c r="B185" s="13" t="str">
        <f ca="1">Start.listina!I56</f>
        <v/>
      </c>
      <c r="C185" s="195" t="str">
        <f ca="1">Start.listina!J56</f>
        <v>Vladimír Chládek</v>
      </c>
      <c r="D185" s="13" t="str">
        <f ca="1">Start.listina!K56</f>
        <v xml:space="preserve"> </v>
      </c>
      <c r="E185" s="13" t="str">
        <f ca="1">Start.listina!L56</f>
        <v xml:space="preserve"> </v>
      </c>
      <c r="F185" s="13"/>
      <c r="G185" s="89">
        <f ca="1">IF(N(A185)&gt;0,VLOOKUP(A185,Body!$A$4:$F$259,5,0),"")</f>
        <v>19.164093749999999</v>
      </c>
      <c r="H185" s="4">
        <f ca="1">IF(N(A185)&gt;0,VLOOKUP(A185,Body!$A$4:$F$259,6,0),"")</f>
        <v>0</v>
      </c>
      <c r="I185" s="4">
        <f ca="1">IF(N(A185)&gt;0,VLOOKUP(A185,Body!$A$4:$F$259,2,0),"")</f>
        <v>0.5</v>
      </c>
    </row>
    <row r="186" spans="1:9" x14ac:dyDescent="0.4">
      <c r="A186" s="13"/>
      <c r="B186" s="13" t="str">
        <f ca="1">Start.listina!O56</f>
        <v/>
      </c>
      <c r="C186" s="13" t="str">
        <f ca="1">Start.listina!P56</f>
        <v xml:space="preserve"> </v>
      </c>
      <c r="D186" s="13" t="str">
        <f ca="1">Start.listina!Q56</f>
        <v xml:space="preserve"> </v>
      </c>
      <c r="E186" s="13" t="str">
        <f ca="1">Start.listina!R56</f>
        <v xml:space="preserve"> </v>
      </c>
      <c r="F186" s="13"/>
      <c r="G186" s="89"/>
      <c r="H186" s="4"/>
      <c r="I186" s="4"/>
    </row>
    <row r="187" spans="1:9" x14ac:dyDescent="0.4">
      <c r="A187" s="13"/>
      <c r="B187" s="13" t="str">
        <f ca="1">Start.listina!U56</f>
        <v/>
      </c>
      <c r="C187" s="13" t="str">
        <f ca="1">Start.listina!V56</f>
        <v xml:space="preserve"> </v>
      </c>
      <c r="D187" s="13" t="str">
        <f ca="1">Start.listina!W56</f>
        <v xml:space="preserve"> </v>
      </c>
      <c r="E187" s="13" t="str">
        <f ca="1">Start.listina!X56</f>
        <v xml:space="preserve"> </v>
      </c>
      <c r="F187" s="13"/>
      <c r="G187" s="89"/>
      <c r="H187" s="4"/>
      <c r="I187" s="4"/>
    </row>
    <row r="188" spans="1:9" x14ac:dyDescent="0.4">
      <c r="A188" s="13"/>
      <c r="B188" s="13" t="str">
        <f ca="1">Start.listina!AA56</f>
        <v/>
      </c>
      <c r="C188" s="13" t="str">
        <f ca="1">Start.listina!AB56</f>
        <v xml:space="preserve"> </v>
      </c>
      <c r="D188" s="13" t="str">
        <f ca="1">Start.listina!AC56</f>
        <v xml:space="preserve"> </v>
      </c>
      <c r="E188" s="13" t="str">
        <f ca="1">Start.listina!AD56</f>
        <v xml:space="preserve"> </v>
      </c>
      <c r="F188" s="13"/>
      <c r="G188" s="89"/>
      <c r="H188" s="4"/>
      <c r="I188" s="4"/>
    </row>
    <row r="189" spans="1:9" x14ac:dyDescent="0.4">
      <c r="A189" s="13">
        <f ca="1">Start.listina!AH57</f>
        <v>44</v>
      </c>
      <c r="B189" s="13" t="str">
        <f ca="1">Start.listina!I57</f>
        <v/>
      </c>
      <c r="C189" s="195" t="str">
        <f ca="1">Start.listina!J57</f>
        <v>Brian, Dánsko</v>
      </c>
      <c r="D189" s="13" t="str">
        <f ca="1">Start.listina!K57</f>
        <v xml:space="preserve"> </v>
      </c>
      <c r="E189" s="13" t="str">
        <f ca="1">Start.listina!L57</f>
        <v xml:space="preserve"> </v>
      </c>
      <c r="F189" s="13"/>
      <c r="G189" s="89">
        <f ca="1">IF(N(A189)&gt;0,VLOOKUP(A189,Body!$A$4:$F$259,5,0),"")</f>
        <v>23.955117187500001</v>
      </c>
      <c r="H189" s="4">
        <f ca="1">IF(N(A189)&gt;0,VLOOKUP(A189,Body!$A$4:$F$259,6,0),"")</f>
        <v>0</v>
      </c>
      <c r="I189" s="4">
        <f ca="1">IF(N(A189)&gt;0,VLOOKUP(A189,Body!$A$4:$F$259,2,0),"")</f>
        <v>0.625</v>
      </c>
    </row>
    <row r="190" spans="1:9" x14ac:dyDescent="0.4">
      <c r="A190" s="13"/>
      <c r="B190" s="13" t="str">
        <f ca="1">Start.listina!O57</f>
        <v/>
      </c>
      <c r="C190" s="13" t="str">
        <f ca="1">Start.listina!P57</f>
        <v xml:space="preserve"> </v>
      </c>
      <c r="D190" s="13" t="str">
        <f ca="1">Start.listina!Q57</f>
        <v xml:space="preserve"> </v>
      </c>
      <c r="E190" s="13" t="str">
        <f ca="1">Start.listina!R57</f>
        <v xml:space="preserve"> </v>
      </c>
      <c r="F190" s="13"/>
      <c r="G190" s="89"/>
      <c r="H190" s="4"/>
      <c r="I190" s="4"/>
    </row>
    <row r="191" spans="1:9" x14ac:dyDescent="0.4">
      <c r="A191" s="13"/>
      <c r="B191" s="13" t="str">
        <f ca="1">Start.listina!U57</f>
        <v/>
      </c>
      <c r="C191" s="13" t="str">
        <f ca="1">Start.listina!V57</f>
        <v xml:space="preserve"> </v>
      </c>
      <c r="D191" s="13" t="str">
        <f ca="1">Start.listina!W57</f>
        <v xml:space="preserve"> </v>
      </c>
      <c r="E191" s="13" t="str">
        <f ca="1">Start.listina!X57</f>
        <v xml:space="preserve"> </v>
      </c>
      <c r="F191" s="13"/>
      <c r="G191" s="89"/>
      <c r="H191" s="4"/>
      <c r="I191" s="4"/>
    </row>
    <row r="192" spans="1:9" x14ac:dyDescent="0.4">
      <c r="A192" s="13"/>
      <c r="B192" s="13" t="str">
        <f ca="1">Start.listina!AA57</f>
        <v/>
      </c>
      <c r="C192" s="13" t="str">
        <f ca="1">Start.listina!AB57</f>
        <v xml:space="preserve"> </v>
      </c>
      <c r="D192" s="13" t="str">
        <f ca="1">Start.listina!AC57</f>
        <v xml:space="preserve"> </v>
      </c>
      <c r="E192" s="13" t="str">
        <f ca="1">Start.listina!AD57</f>
        <v xml:space="preserve"> </v>
      </c>
      <c r="F192" s="13"/>
      <c r="G192" s="89"/>
      <c r="H192" s="4"/>
      <c r="I192" s="4"/>
    </row>
    <row r="193" spans="1:9" x14ac:dyDescent="0.4">
      <c r="A193" s="13">
        <f ca="1">Start.listina!AH58</f>
        <v>57</v>
      </c>
      <c r="B193" s="13" t="str">
        <f ca="1">Start.listina!I58</f>
        <v/>
      </c>
      <c r="C193" s="195" t="str">
        <f ca="1">Start.listina!J58</f>
        <v>Tony, Dánsko</v>
      </c>
      <c r="D193" s="13" t="str">
        <f ca="1">Start.listina!K58</f>
        <v xml:space="preserve"> </v>
      </c>
      <c r="E193" s="13" t="str">
        <f ca="1">Start.listina!L58</f>
        <v xml:space="preserve"> </v>
      </c>
      <c r="F193" s="13"/>
      <c r="G193" s="89">
        <f ca="1">IF(N(A193)&gt;0,VLOOKUP(A193,Body!$A$4:$F$259,5,0),"")</f>
        <v>1</v>
      </c>
      <c r="H193" s="4">
        <f ca="1">IF(N(A193)&gt;0,VLOOKUP(A193,Body!$A$4:$F$259,6,0),"")</f>
        <v>0</v>
      </c>
      <c r="I193" s="4">
        <f ca="1">IF(N(A193)&gt;0,VLOOKUP(A193,Body!$A$4:$F$259,2,0),"")</f>
        <v>0</v>
      </c>
    </row>
    <row r="194" spans="1:9" x14ac:dyDescent="0.4">
      <c r="A194" s="13"/>
      <c r="B194" s="13" t="str">
        <f ca="1">Start.listina!O58</f>
        <v/>
      </c>
      <c r="C194" s="13" t="str">
        <f ca="1">Start.listina!P58</f>
        <v xml:space="preserve"> </v>
      </c>
      <c r="D194" s="13" t="str">
        <f ca="1">Start.listina!Q58</f>
        <v xml:space="preserve"> </v>
      </c>
      <c r="E194" s="13" t="str">
        <f ca="1">Start.listina!R58</f>
        <v xml:space="preserve"> </v>
      </c>
      <c r="F194" s="13"/>
      <c r="G194" s="89"/>
      <c r="H194" s="4"/>
      <c r="I194" s="4"/>
    </row>
    <row r="195" spans="1:9" x14ac:dyDescent="0.4">
      <c r="A195" s="13"/>
      <c r="B195" s="13" t="str">
        <f ca="1">Start.listina!U58</f>
        <v/>
      </c>
      <c r="C195" s="13" t="str">
        <f ca="1">Start.listina!V58</f>
        <v xml:space="preserve"> </v>
      </c>
      <c r="D195" s="13" t="str">
        <f ca="1">Start.listina!W58</f>
        <v xml:space="preserve"> </v>
      </c>
      <c r="E195" s="13" t="str">
        <f ca="1">Start.listina!X58</f>
        <v xml:space="preserve"> </v>
      </c>
      <c r="F195" s="13"/>
      <c r="G195" s="89"/>
      <c r="H195" s="4"/>
      <c r="I195" s="4"/>
    </row>
    <row r="196" spans="1:9" x14ac:dyDescent="0.4">
      <c r="A196" s="13"/>
      <c r="B196" s="13" t="str">
        <f ca="1">Start.listina!AA58</f>
        <v/>
      </c>
      <c r="C196" s="13" t="str">
        <f ca="1">Start.listina!AB58</f>
        <v xml:space="preserve"> </v>
      </c>
      <c r="D196" s="13" t="str">
        <f ca="1">Start.listina!AC58</f>
        <v xml:space="preserve"> </v>
      </c>
      <c r="E196" s="13" t="str">
        <f ca="1">Start.listina!AD58</f>
        <v xml:space="preserve"> </v>
      </c>
      <c r="F196" s="13"/>
      <c r="G196" s="89"/>
      <c r="H196" s="4"/>
      <c r="I196" s="4"/>
    </row>
    <row r="197" spans="1:9" x14ac:dyDescent="0.4">
      <c r="A197" s="13">
        <f ca="1">Start.listina!AH59</f>
        <v>20</v>
      </c>
      <c r="B197" s="13" t="str">
        <f ca="1">Start.listina!I59</f>
        <v/>
      </c>
      <c r="C197" s="195" t="str">
        <f ca="1">Start.listina!J59</f>
        <v>František Kožený</v>
      </c>
      <c r="D197" s="13" t="str">
        <f ca="1">Start.listina!K59</f>
        <v xml:space="preserve"> </v>
      </c>
      <c r="E197" s="13" t="str">
        <f ca="1">Start.listina!L59</f>
        <v xml:space="preserve"> </v>
      </c>
      <c r="F197" s="13"/>
      <c r="G197" s="89">
        <f ca="1">IF(N(A197)&gt;0,VLOOKUP(A197,Body!$A$4:$F$259,5,0),"")</f>
        <v>67.074328124999994</v>
      </c>
      <c r="H197" s="4">
        <f ca="1">IF(N(A197)&gt;0,VLOOKUP(A197,Body!$A$4:$F$259,6,0),"")</f>
        <v>0</v>
      </c>
      <c r="I197" s="4">
        <f ca="1">IF(N(A197)&gt;0,VLOOKUP(A197,Body!$A$4:$F$259,2,0),"")</f>
        <v>1.75</v>
      </c>
    </row>
    <row r="198" spans="1:9" x14ac:dyDescent="0.4">
      <c r="A198" s="13"/>
      <c r="B198" s="13" t="str">
        <f ca="1">Start.listina!O59</f>
        <v/>
      </c>
      <c r="C198" s="13" t="str">
        <f ca="1">Start.listina!P59</f>
        <v xml:space="preserve"> </v>
      </c>
      <c r="D198" s="13" t="str">
        <f ca="1">Start.listina!Q59</f>
        <v xml:space="preserve"> </v>
      </c>
      <c r="E198" s="13" t="str">
        <f ca="1">Start.listina!R59</f>
        <v xml:space="preserve"> </v>
      </c>
      <c r="F198" s="13"/>
      <c r="G198" s="89"/>
      <c r="H198" s="4"/>
      <c r="I198" s="4"/>
    </row>
    <row r="199" spans="1:9" x14ac:dyDescent="0.4">
      <c r="A199" s="13"/>
      <c r="B199" s="13" t="str">
        <f ca="1">Start.listina!U59</f>
        <v/>
      </c>
      <c r="C199" s="13" t="str">
        <f ca="1">Start.listina!V59</f>
        <v xml:space="preserve"> </v>
      </c>
      <c r="D199" s="13" t="str">
        <f ca="1">Start.listina!W59</f>
        <v xml:space="preserve"> </v>
      </c>
      <c r="E199" s="13" t="str">
        <f ca="1">Start.listina!X59</f>
        <v xml:space="preserve"> </v>
      </c>
      <c r="F199" s="13"/>
      <c r="G199" s="89"/>
      <c r="H199" s="4"/>
      <c r="I199" s="4"/>
    </row>
    <row r="200" spans="1:9" x14ac:dyDescent="0.4">
      <c r="A200" s="13"/>
      <c r="B200" s="13" t="str">
        <f ca="1">Start.listina!AA59</f>
        <v/>
      </c>
      <c r="C200" s="13" t="str">
        <f ca="1">Start.listina!AB59</f>
        <v xml:space="preserve"> </v>
      </c>
      <c r="D200" s="13" t="str">
        <f ca="1">Start.listina!AC59</f>
        <v xml:space="preserve"> </v>
      </c>
      <c r="E200" s="13" t="str">
        <f ca="1">Start.listina!AD59</f>
        <v xml:space="preserve"> </v>
      </c>
      <c r="F200" s="13"/>
      <c r="G200" s="89"/>
      <c r="H200" s="4"/>
      <c r="I200" s="4"/>
    </row>
    <row r="201" spans="1:9" x14ac:dyDescent="0.4">
      <c r="A201" s="13">
        <f ca="1">Start.listina!AH60</f>
        <v>38</v>
      </c>
      <c r="B201" s="13" t="str">
        <f ca="1">Start.listina!I60</f>
        <v/>
      </c>
      <c r="C201" s="195" t="str">
        <f ca="1">Start.listina!J60</f>
        <v>Jesper K, Dánsko</v>
      </c>
      <c r="D201" s="13" t="str">
        <f ca="1">Start.listina!K60</f>
        <v xml:space="preserve"> </v>
      </c>
      <c r="E201" s="13" t="str">
        <f ca="1">Start.listina!L60</f>
        <v xml:space="preserve"> </v>
      </c>
      <c r="F201" s="13"/>
      <c r="G201" s="89">
        <f ca="1">IF(N(A201)&gt;0,VLOOKUP(A201,Body!$A$4:$F$259,5,0),"")</f>
        <v>31.14165234375</v>
      </c>
      <c r="H201" s="4">
        <f ca="1">IF(N(A201)&gt;0,VLOOKUP(A201,Body!$A$4:$F$259,6,0),"")</f>
        <v>0</v>
      </c>
      <c r="I201" s="4">
        <f ca="1">IF(N(A201)&gt;0,VLOOKUP(A201,Body!$A$4:$F$259,2,0),"")</f>
        <v>0.8125</v>
      </c>
    </row>
    <row r="202" spans="1:9" x14ac:dyDescent="0.4">
      <c r="A202" s="13"/>
      <c r="B202" s="13" t="str">
        <f ca="1">Start.listina!O60</f>
        <v/>
      </c>
      <c r="C202" s="13" t="str">
        <f ca="1">Start.listina!P60</f>
        <v xml:space="preserve"> </v>
      </c>
      <c r="D202" s="13" t="str">
        <f ca="1">Start.listina!Q60</f>
        <v xml:space="preserve"> </v>
      </c>
      <c r="E202" s="13" t="str">
        <f ca="1">Start.listina!R60</f>
        <v xml:space="preserve"> </v>
      </c>
      <c r="F202" s="13"/>
      <c r="G202" s="89"/>
      <c r="H202" s="4"/>
      <c r="I202" s="4"/>
    </row>
    <row r="203" spans="1:9" x14ac:dyDescent="0.4">
      <c r="A203" s="13"/>
      <c r="B203" s="13" t="str">
        <f ca="1">Start.listina!U60</f>
        <v/>
      </c>
      <c r="C203" s="13" t="str">
        <f ca="1">Start.listina!V60</f>
        <v xml:space="preserve"> </v>
      </c>
      <c r="D203" s="13" t="str">
        <f ca="1">Start.listina!W60</f>
        <v xml:space="preserve"> </v>
      </c>
      <c r="E203" s="13" t="str">
        <f ca="1">Start.listina!X60</f>
        <v xml:space="preserve"> </v>
      </c>
      <c r="F203" s="13"/>
      <c r="G203" s="89"/>
      <c r="H203" s="4"/>
      <c r="I203" s="4"/>
    </row>
    <row r="204" spans="1:9" x14ac:dyDescent="0.4">
      <c r="A204" s="13"/>
      <c r="B204" s="13" t="str">
        <f ca="1">Start.listina!AA60</f>
        <v/>
      </c>
      <c r="C204" s="13" t="str">
        <f ca="1">Start.listina!AB60</f>
        <v xml:space="preserve"> </v>
      </c>
      <c r="D204" s="13" t="str">
        <f ca="1">Start.listina!AC60</f>
        <v xml:space="preserve"> </v>
      </c>
      <c r="E204" s="13" t="str">
        <f ca="1">Start.listina!AD60</f>
        <v xml:space="preserve"> </v>
      </c>
      <c r="F204" s="13"/>
      <c r="G204" s="89"/>
      <c r="H204" s="4"/>
      <c r="I204" s="4"/>
    </row>
    <row r="205" spans="1:9" x14ac:dyDescent="0.4">
      <c r="A205" s="13">
        <f ca="1">Start.listina!AH61</f>
        <v>8</v>
      </c>
      <c r="B205" s="13" t="str">
        <f ca="1">Start.listina!I61</f>
        <v/>
      </c>
      <c r="C205" s="195" t="str">
        <f ca="1">Start.listina!J61</f>
        <v>Erik, Dánsko</v>
      </c>
      <c r="D205" s="13" t="str">
        <f ca="1">Start.listina!K61</f>
        <v xml:space="preserve"> </v>
      </c>
      <c r="E205" s="13" t="str">
        <f ca="1">Start.listina!L61</f>
        <v xml:space="preserve"> </v>
      </c>
      <c r="F205" s="13"/>
      <c r="G205" s="89">
        <f ca="1">IF(N(A205)&gt;0,VLOOKUP(A205,Body!$A$4:$F$259,5,0),"")</f>
        <v>114.9845625</v>
      </c>
      <c r="H205" s="4">
        <f ca="1">IF(N(A205)&gt;0,VLOOKUP(A205,Body!$A$4:$F$259,6,0),"")</f>
        <v>0</v>
      </c>
      <c r="I205" s="4">
        <f ca="1">IF(N(A205)&gt;0,VLOOKUP(A205,Body!$A$4:$F$259,2,0),"")</f>
        <v>3</v>
      </c>
    </row>
    <row r="206" spans="1:9" x14ac:dyDescent="0.4">
      <c r="A206" s="13"/>
      <c r="B206" s="13" t="str">
        <f ca="1">Start.listina!O61</f>
        <v/>
      </c>
      <c r="C206" s="13" t="str">
        <f ca="1">Start.listina!P61</f>
        <v xml:space="preserve"> </v>
      </c>
      <c r="D206" s="13" t="str">
        <f ca="1">Start.listina!Q61</f>
        <v xml:space="preserve"> </v>
      </c>
      <c r="E206" s="13" t="str">
        <f ca="1">Start.listina!R61</f>
        <v xml:space="preserve"> </v>
      </c>
      <c r="F206" s="13"/>
      <c r="G206" s="89"/>
      <c r="H206" s="4"/>
      <c r="I206" s="4"/>
    </row>
    <row r="207" spans="1:9" x14ac:dyDescent="0.4">
      <c r="A207" s="13"/>
      <c r="B207" s="13" t="str">
        <f ca="1">Start.listina!U61</f>
        <v/>
      </c>
      <c r="C207" s="13" t="str">
        <f ca="1">Start.listina!V61</f>
        <v xml:space="preserve"> </v>
      </c>
      <c r="D207" s="13" t="str">
        <f ca="1">Start.listina!W61</f>
        <v xml:space="preserve"> </v>
      </c>
      <c r="E207" s="13" t="str">
        <f ca="1">Start.listina!X61</f>
        <v xml:space="preserve"> </v>
      </c>
      <c r="F207" s="13"/>
      <c r="G207" s="89"/>
      <c r="H207" s="4"/>
      <c r="I207" s="4"/>
    </row>
    <row r="208" spans="1:9" x14ac:dyDescent="0.4">
      <c r="A208" s="13"/>
      <c r="B208" s="13" t="str">
        <f ca="1">Start.listina!AA61</f>
        <v/>
      </c>
      <c r="C208" s="13" t="str">
        <f ca="1">Start.listina!AB61</f>
        <v xml:space="preserve"> </v>
      </c>
      <c r="D208" s="13" t="str">
        <f ca="1">Start.listina!AC61</f>
        <v xml:space="preserve"> </v>
      </c>
      <c r="E208" s="13" t="str">
        <f ca="1">Start.listina!AD61</f>
        <v xml:space="preserve"> </v>
      </c>
      <c r="F208" s="13"/>
      <c r="G208" s="89"/>
      <c r="H208" s="4"/>
      <c r="I208" s="4"/>
    </row>
    <row r="209" spans="1:9" x14ac:dyDescent="0.4">
      <c r="A209" s="13">
        <f ca="1">Start.listina!AH62</f>
        <v>16</v>
      </c>
      <c r="B209" s="13" t="str">
        <f ca="1">Start.listina!I62</f>
        <v/>
      </c>
      <c r="C209" s="195" t="str">
        <f ca="1">Start.listina!J62</f>
        <v>Jesper R, Dánsko</v>
      </c>
      <c r="D209" s="13" t="str">
        <f ca="1">Start.listina!K62</f>
        <v xml:space="preserve"> </v>
      </c>
      <c r="E209" s="13" t="str">
        <f ca="1">Start.listina!L62</f>
        <v xml:space="preserve"> </v>
      </c>
      <c r="F209" s="13"/>
      <c r="G209" s="89">
        <f ca="1">IF(N(A209)&gt;0,VLOOKUP(A209,Body!$A$4:$F$259,5,0),"")</f>
        <v>76.656374999999997</v>
      </c>
      <c r="H209" s="4">
        <f ca="1">IF(N(A209)&gt;0,VLOOKUP(A209,Body!$A$4:$F$259,6,0),"")</f>
        <v>0</v>
      </c>
      <c r="I209" s="4">
        <f ca="1">IF(N(A209)&gt;0,VLOOKUP(A209,Body!$A$4:$F$259,2,0),"")</f>
        <v>2</v>
      </c>
    </row>
    <row r="210" spans="1:9" x14ac:dyDescent="0.4">
      <c r="A210" s="13"/>
      <c r="B210" s="13" t="str">
        <f ca="1">Start.listina!O62</f>
        <v/>
      </c>
      <c r="C210" s="13" t="str">
        <f ca="1">Start.listina!P62</f>
        <v xml:space="preserve"> </v>
      </c>
      <c r="D210" s="13" t="str">
        <f ca="1">Start.listina!Q62</f>
        <v xml:space="preserve"> </v>
      </c>
      <c r="E210" s="13" t="str">
        <f ca="1">Start.listina!R62</f>
        <v xml:space="preserve"> </v>
      </c>
      <c r="F210" s="13"/>
      <c r="G210" s="89"/>
      <c r="H210" s="4"/>
      <c r="I210" s="4"/>
    </row>
    <row r="211" spans="1:9" x14ac:dyDescent="0.4">
      <c r="A211" s="13"/>
      <c r="B211" s="13" t="str">
        <f ca="1">Start.listina!U62</f>
        <v/>
      </c>
      <c r="C211" s="13" t="str">
        <f ca="1">Start.listina!V62</f>
        <v xml:space="preserve"> </v>
      </c>
      <c r="D211" s="13" t="str">
        <f ca="1">Start.listina!W62</f>
        <v xml:space="preserve"> </v>
      </c>
      <c r="E211" s="13" t="str">
        <f ca="1">Start.listina!X62</f>
        <v xml:space="preserve"> </v>
      </c>
      <c r="F211" s="13"/>
      <c r="G211" s="89"/>
      <c r="H211" s="4"/>
      <c r="I211" s="4"/>
    </row>
    <row r="212" spans="1:9" x14ac:dyDescent="0.4">
      <c r="A212" s="13"/>
      <c r="B212" s="13" t="str">
        <f ca="1">Start.listina!AA62</f>
        <v/>
      </c>
      <c r="C212" s="13" t="str">
        <f ca="1">Start.listina!AB62</f>
        <v xml:space="preserve"> </v>
      </c>
      <c r="D212" s="13" t="str">
        <f ca="1">Start.listina!AC62</f>
        <v xml:space="preserve"> </v>
      </c>
      <c r="E212" s="13" t="str">
        <f ca="1">Start.listina!AD62</f>
        <v xml:space="preserve"> </v>
      </c>
      <c r="F212" s="13"/>
      <c r="G212" s="89"/>
      <c r="H212" s="4"/>
      <c r="I212" s="4"/>
    </row>
    <row r="213" spans="1:9" x14ac:dyDescent="0.4">
      <c r="A213" s="13">
        <f ca="1">Start.listina!AH63</f>
        <v>30</v>
      </c>
      <c r="B213" s="13" t="str">
        <f ca="1">Start.listina!I63</f>
        <v/>
      </c>
      <c r="C213" s="195" t="str">
        <f ca="1">Start.listina!J63</f>
        <v>Lars Eriksen, Dánsko</v>
      </c>
      <c r="D213" s="13" t="str">
        <f ca="1">Start.listina!K63</f>
        <v xml:space="preserve"> </v>
      </c>
      <c r="E213" s="13" t="str">
        <f ca="1">Start.listina!L63</f>
        <v xml:space="preserve"> </v>
      </c>
      <c r="F213" s="13"/>
      <c r="G213" s="89">
        <f ca="1">IF(N(A213)&gt;0,VLOOKUP(A213,Body!$A$4:$F$259,5,0),"")</f>
        <v>43.1192109375</v>
      </c>
      <c r="H213" s="4">
        <f ca="1">IF(N(A213)&gt;0,VLOOKUP(A213,Body!$A$4:$F$259,6,0),"")</f>
        <v>0</v>
      </c>
      <c r="I213" s="4">
        <f ca="1">IF(N(A213)&gt;0,VLOOKUP(A213,Body!$A$4:$F$259,2,0),"")</f>
        <v>1.125</v>
      </c>
    </row>
    <row r="214" spans="1:9" x14ac:dyDescent="0.4">
      <c r="A214" s="13"/>
      <c r="B214" s="13" t="str">
        <f ca="1">Start.listina!O63</f>
        <v/>
      </c>
      <c r="C214" s="13" t="str">
        <f ca="1">Start.listina!P63</f>
        <v xml:space="preserve"> </v>
      </c>
      <c r="D214" s="13" t="str">
        <f ca="1">Start.listina!Q63</f>
        <v xml:space="preserve"> </v>
      </c>
      <c r="E214" s="13" t="str">
        <f ca="1">Start.listina!R63</f>
        <v xml:space="preserve"> </v>
      </c>
      <c r="F214" s="13"/>
      <c r="G214" s="89"/>
      <c r="H214" s="4"/>
      <c r="I214" s="4"/>
    </row>
    <row r="215" spans="1:9" x14ac:dyDescent="0.4">
      <c r="A215" s="13"/>
      <c r="B215" s="13" t="str">
        <f ca="1">Start.listina!U63</f>
        <v/>
      </c>
      <c r="C215" s="13" t="str">
        <f ca="1">Start.listina!V63</f>
        <v xml:space="preserve"> </v>
      </c>
      <c r="D215" s="13" t="str">
        <f ca="1">Start.listina!W63</f>
        <v xml:space="preserve"> </v>
      </c>
      <c r="E215" s="13" t="str">
        <f ca="1">Start.listina!X63</f>
        <v xml:space="preserve"> </v>
      </c>
      <c r="F215" s="13"/>
      <c r="G215" s="89"/>
      <c r="H215" s="4"/>
      <c r="I215" s="4"/>
    </row>
    <row r="216" spans="1:9" x14ac:dyDescent="0.4">
      <c r="A216" s="13"/>
      <c r="B216" s="13" t="str">
        <f ca="1">Start.listina!AA63</f>
        <v/>
      </c>
      <c r="C216" s="13" t="str">
        <f ca="1">Start.listina!AB63</f>
        <v xml:space="preserve"> </v>
      </c>
      <c r="D216" s="13" t="str">
        <f ca="1">Start.listina!AC63</f>
        <v xml:space="preserve"> </v>
      </c>
      <c r="E216" s="13" t="str">
        <f ca="1">Start.listina!AD63</f>
        <v xml:space="preserve"> </v>
      </c>
      <c r="F216" s="13"/>
      <c r="G216" s="89"/>
      <c r="H216" s="4"/>
      <c r="I216" s="4"/>
    </row>
    <row r="217" spans="1:9" x14ac:dyDescent="0.4">
      <c r="A217" s="13">
        <f ca="1">Start.listina!AH64</f>
        <v>26</v>
      </c>
      <c r="B217" s="13" t="str">
        <f ca="1">Start.listina!I64</f>
        <v/>
      </c>
      <c r="C217" s="195" t="str">
        <f ca="1">Start.listina!J64</f>
        <v>Schwede Detlef, Chemnitz, Německo</v>
      </c>
      <c r="D217" s="13" t="str">
        <f ca="1">Start.listina!K64</f>
        <v xml:space="preserve"> </v>
      </c>
      <c r="E217" s="13" t="str">
        <f ca="1">Start.listina!L64</f>
        <v xml:space="preserve"> </v>
      </c>
      <c r="F217" s="13"/>
      <c r="G217" s="89">
        <f ca="1">IF(N(A217)&gt;0,VLOOKUP(A217,Body!$A$4:$F$259,5,0),"")</f>
        <v>52.701257812499996</v>
      </c>
      <c r="H217" s="4">
        <f ca="1">IF(N(A217)&gt;0,VLOOKUP(A217,Body!$A$4:$F$259,6,0),"")</f>
        <v>0</v>
      </c>
      <c r="I217" s="4">
        <f ca="1">IF(N(A217)&gt;0,VLOOKUP(A217,Body!$A$4:$F$259,2,0),"")</f>
        <v>1.375</v>
      </c>
    </row>
    <row r="218" spans="1:9" x14ac:dyDescent="0.4">
      <c r="A218" s="13"/>
      <c r="B218" s="13" t="str">
        <f ca="1">Start.listina!O64</f>
        <v/>
      </c>
      <c r="C218" s="13" t="str">
        <f ca="1">Start.listina!P64</f>
        <v xml:space="preserve"> </v>
      </c>
      <c r="D218" s="13" t="str">
        <f ca="1">Start.listina!Q64</f>
        <v xml:space="preserve"> </v>
      </c>
      <c r="E218" s="13" t="str">
        <f ca="1">Start.listina!R64</f>
        <v xml:space="preserve"> </v>
      </c>
      <c r="F218" s="13"/>
      <c r="G218" s="89"/>
      <c r="H218" s="4"/>
      <c r="I218" s="4"/>
    </row>
    <row r="219" spans="1:9" x14ac:dyDescent="0.4">
      <c r="A219" s="13"/>
      <c r="B219" s="13" t="str">
        <f ca="1">Start.listina!U64</f>
        <v/>
      </c>
      <c r="C219" s="13" t="str">
        <f ca="1">Start.listina!V64</f>
        <v xml:space="preserve"> </v>
      </c>
      <c r="D219" s="13" t="str">
        <f ca="1">Start.listina!W64</f>
        <v xml:space="preserve"> </v>
      </c>
      <c r="E219" s="13" t="str">
        <f ca="1">Start.listina!X64</f>
        <v xml:space="preserve"> </v>
      </c>
      <c r="F219" s="13"/>
      <c r="G219" s="89"/>
      <c r="H219" s="4"/>
      <c r="I219" s="4"/>
    </row>
    <row r="220" spans="1:9" x14ac:dyDescent="0.4">
      <c r="A220" s="13"/>
      <c r="B220" s="13" t="str">
        <f ca="1">Start.listina!AA64</f>
        <v/>
      </c>
      <c r="C220" s="13" t="str">
        <f ca="1">Start.listina!AB64</f>
        <v xml:space="preserve"> </v>
      </c>
      <c r="D220" s="13" t="str">
        <f ca="1">Start.listina!AC64</f>
        <v xml:space="preserve"> </v>
      </c>
      <c r="E220" s="13" t="str">
        <f ca="1">Start.listina!AD64</f>
        <v xml:space="preserve"> </v>
      </c>
      <c r="F220" s="13"/>
      <c r="G220" s="89"/>
      <c r="H220" s="4"/>
      <c r="I220" s="4"/>
    </row>
    <row r="221" spans="1:9" x14ac:dyDescent="0.4">
      <c r="A221" s="13">
        <f ca="1">Start.listina!AH65</f>
        <v>50</v>
      </c>
      <c r="B221" s="13" t="str">
        <f ca="1">Start.listina!I65</f>
        <v/>
      </c>
      <c r="C221" s="195" t="str">
        <f ca="1">Start.listina!J65</f>
        <v>Bjarne, Dánsko</v>
      </c>
      <c r="D221" s="13" t="str">
        <f ca="1">Start.listina!K65</f>
        <v xml:space="preserve"> </v>
      </c>
      <c r="E221" s="13" t="str">
        <f ca="1">Start.listina!L65</f>
        <v xml:space="preserve"> </v>
      </c>
      <c r="F221" s="13"/>
      <c r="G221" s="89">
        <f ca="1">IF(N(A221)&gt;0,VLOOKUP(A221,Body!$A$4:$F$259,5,0),"")</f>
        <v>16.768582031249998</v>
      </c>
      <c r="H221" s="4">
        <f ca="1">IF(N(A221)&gt;0,VLOOKUP(A221,Body!$A$4:$F$259,6,0),"")</f>
        <v>0</v>
      </c>
      <c r="I221" s="4">
        <f ca="1">IF(N(A221)&gt;0,VLOOKUP(A221,Body!$A$4:$F$259,2,0),"")</f>
        <v>0.4375</v>
      </c>
    </row>
    <row r="222" spans="1:9" x14ac:dyDescent="0.4">
      <c r="A222" s="13"/>
      <c r="B222" s="13" t="str">
        <f ca="1">Start.listina!O65</f>
        <v/>
      </c>
      <c r="C222" s="13" t="str">
        <f ca="1">Start.listina!P65</f>
        <v xml:space="preserve"> </v>
      </c>
      <c r="D222" s="13" t="str">
        <f ca="1">Start.listina!Q65</f>
        <v xml:space="preserve"> </v>
      </c>
      <c r="E222" s="13" t="str">
        <f ca="1">Start.listina!R65</f>
        <v xml:space="preserve"> </v>
      </c>
      <c r="F222" s="13"/>
      <c r="G222" s="89"/>
      <c r="H222" s="4"/>
      <c r="I222" s="4"/>
    </row>
    <row r="223" spans="1:9" x14ac:dyDescent="0.4">
      <c r="A223" s="13"/>
      <c r="B223" s="13" t="str">
        <f ca="1">Start.listina!U65</f>
        <v/>
      </c>
      <c r="C223" s="13" t="str">
        <f ca="1">Start.listina!V65</f>
        <v xml:space="preserve"> </v>
      </c>
      <c r="D223" s="13" t="str">
        <f ca="1">Start.listina!W65</f>
        <v xml:space="preserve"> </v>
      </c>
      <c r="E223" s="13" t="str">
        <f ca="1">Start.listina!X65</f>
        <v xml:space="preserve"> </v>
      </c>
      <c r="F223" s="13"/>
      <c r="G223" s="89"/>
      <c r="H223" s="4"/>
      <c r="I223" s="4"/>
    </row>
    <row r="224" spans="1:9" x14ac:dyDescent="0.4">
      <c r="A224" s="13"/>
      <c r="B224" s="13" t="str">
        <f ca="1">Start.listina!AA65</f>
        <v/>
      </c>
      <c r="C224" s="13" t="str">
        <f ca="1">Start.listina!AB65</f>
        <v xml:space="preserve"> </v>
      </c>
      <c r="D224" s="13" t="str">
        <f ca="1">Start.listina!AC65</f>
        <v xml:space="preserve"> </v>
      </c>
      <c r="E224" s="13" t="str">
        <f ca="1">Start.listina!AD65</f>
        <v xml:space="preserve"> </v>
      </c>
      <c r="F224" s="13"/>
      <c r="G224" s="89"/>
      <c r="H224" s="4"/>
      <c r="I224" s="4"/>
    </row>
    <row r="225" spans="1:9" x14ac:dyDescent="0.4">
      <c r="A225" s="13">
        <f ca="1">Start.listina!AH66</f>
        <v>18</v>
      </c>
      <c r="B225" s="13" t="str">
        <f ca="1">Start.listina!I66</f>
        <v/>
      </c>
      <c r="C225" s="195" t="str">
        <f ca="1">Start.listina!J66</f>
        <v>Lohss, Hartmut, Německo</v>
      </c>
      <c r="D225" s="13" t="str">
        <f ca="1">Start.listina!K66</f>
        <v xml:space="preserve"> </v>
      </c>
      <c r="E225" s="13" t="str">
        <f ca="1">Start.listina!L66</f>
        <v xml:space="preserve"> </v>
      </c>
      <c r="F225" s="13"/>
      <c r="G225" s="89">
        <f ca="1">IF(N(A225)&gt;0,VLOOKUP(A225,Body!$A$4:$F$259,5,0),"")</f>
        <v>71.865351562499995</v>
      </c>
      <c r="H225" s="4">
        <f ca="1">IF(N(A225)&gt;0,VLOOKUP(A225,Body!$A$4:$F$259,6,0),"")</f>
        <v>0</v>
      </c>
      <c r="I225" s="4">
        <f ca="1">IF(N(A225)&gt;0,VLOOKUP(A225,Body!$A$4:$F$259,2,0),"")</f>
        <v>1.875</v>
      </c>
    </row>
    <row r="226" spans="1:9" x14ac:dyDescent="0.4">
      <c r="A226" s="13"/>
      <c r="B226" s="13" t="str">
        <f ca="1">Start.listina!O66</f>
        <v/>
      </c>
      <c r="C226" s="13" t="str">
        <f ca="1">Start.listina!P66</f>
        <v xml:space="preserve"> </v>
      </c>
      <c r="D226" s="13" t="str">
        <f ca="1">Start.listina!Q66</f>
        <v xml:space="preserve"> </v>
      </c>
      <c r="E226" s="13" t="str">
        <f ca="1">Start.listina!R66</f>
        <v xml:space="preserve"> </v>
      </c>
      <c r="F226" s="13"/>
      <c r="G226" s="89"/>
      <c r="H226" s="4"/>
      <c r="I226" s="4"/>
    </row>
    <row r="227" spans="1:9" x14ac:dyDescent="0.4">
      <c r="A227" s="13"/>
      <c r="B227" s="13" t="str">
        <f ca="1">Start.listina!U66</f>
        <v/>
      </c>
      <c r="C227" s="13" t="str">
        <f ca="1">Start.listina!V66</f>
        <v xml:space="preserve"> </v>
      </c>
      <c r="D227" s="13" t="str">
        <f ca="1">Start.listina!W66</f>
        <v xml:space="preserve"> </v>
      </c>
      <c r="E227" s="13" t="str">
        <f ca="1">Start.listina!X66</f>
        <v xml:space="preserve"> </v>
      </c>
      <c r="F227" s="13"/>
      <c r="G227" s="89"/>
      <c r="H227" s="4"/>
      <c r="I227" s="4"/>
    </row>
    <row r="228" spans="1:9" x14ac:dyDescent="0.4">
      <c r="A228" s="13"/>
      <c r="B228" s="13" t="str">
        <f ca="1">Start.listina!AA66</f>
        <v/>
      </c>
      <c r="C228" s="13" t="str">
        <f ca="1">Start.listina!AB66</f>
        <v xml:space="preserve"> </v>
      </c>
      <c r="D228" s="13" t="str">
        <f ca="1">Start.listina!AC66</f>
        <v xml:space="preserve"> </v>
      </c>
      <c r="E228" s="13" t="str">
        <f ca="1">Start.listina!AD66</f>
        <v xml:space="preserve"> </v>
      </c>
      <c r="F228" s="13"/>
      <c r="G228" s="89"/>
      <c r="H228" s="4"/>
      <c r="I228" s="4"/>
    </row>
    <row r="229" spans="1:9" x14ac:dyDescent="0.4">
      <c r="A229" s="13">
        <f ca="1">Start.listina!AH67</f>
        <v>31</v>
      </c>
      <c r="B229" s="13" t="str">
        <f ca="1">Start.listina!I67</f>
        <v/>
      </c>
      <c r="C229" s="195" t="str">
        <f ca="1">Start.listina!J67</f>
        <v>Bo, Dánsko</v>
      </c>
      <c r="D229" s="13" t="str">
        <f ca="1">Start.listina!K67</f>
        <v xml:space="preserve"> </v>
      </c>
      <c r="E229" s="13" t="str">
        <f ca="1">Start.listina!L67</f>
        <v xml:space="preserve"> </v>
      </c>
      <c r="F229" s="13"/>
      <c r="G229" s="89">
        <f ca="1">IF(N(A229)&gt;0,VLOOKUP(A229,Body!$A$4:$F$259,5,0),"")</f>
        <v>40.723699218749999</v>
      </c>
      <c r="H229" s="4">
        <f ca="1">IF(N(A229)&gt;0,VLOOKUP(A229,Body!$A$4:$F$259,6,0),"")</f>
        <v>0</v>
      </c>
      <c r="I229" s="4">
        <f ca="1">IF(N(A229)&gt;0,VLOOKUP(A229,Body!$A$4:$F$259,2,0),"")</f>
        <v>1.0625</v>
      </c>
    </row>
    <row r="230" spans="1:9" x14ac:dyDescent="0.4">
      <c r="A230" s="13"/>
      <c r="B230" s="13" t="str">
        <f ca="1">Start.listina!O67</f>
        <v/>
      </c>
      <c r="C230" s="13" t="str">
        <f ca="1">Start.listina!P67</f>
        <v xml:space="preserve"> </v>
      </c>
      <c r="D230" s="13" t="str">
        <f ca="1">Start.listina!Q67</f>
        <v xml:space="preserve"> </v>
      </c>
      <c r="E230" s="13" t="str">
        <f ca="1">Start.listina!R67</f>
        <v xml:space="preserve"> </v>
      </c>
      <c r="F230" s="13"/>
      <c r="G230" s="89"/>
      <c r="H230" s="4"/>
      <c r="I230" s="4"/>
    </row>
    <row r="231" spans="1:9" x14ac:dyDescent="0.4">
      <c r="A231" s="13"/>
      <c r="B231" s="13" t="str">
        <f ca="1">Start.listina!U67</f>
        <v/>
      </c>
      <c r="C231" s="13" t="str">
        <f ca="1">Start.listina!V67</f>
        <v xml:space="preserve"> </v>
      </c>
      <c r="D231" s="13" t="str">
        <f ca="1">Start.listina!W67</f>
        <v xml:space="preserve"> </v>
      </c>
      <c r="E231" s="13" t="str">
        <f ca="1">Start.listina!X67</f>
        <v xml:space="preserve"> </v>
      </c>
      <c r="F231" s="13"/>
      <c r="G231" s="89"/>
      <c r="H231" s="4"/>
      <c r="I231" s="4"/>
    </row>
    <row r="232" spans="1:9" x14ac:dyDescent="0.4">
      <c r="A232" s="13"/>
      <c r="B232" s="13" t="str">
        <f ca="1">Start.listina!AA67</f>
        <v/>
      </c>
      <c r="C232" s="13" t="str">
        <f ca="1">Start.listina!AB67</f>
        <v xml:space="preserve"> </v>
      </c>
      <c r="D232" s="13" t="str">
        <f ca="1">Start.listina!AC67</f>
        <v xml:space="preserve"> </v>
      </c>
      <c r="E232" s="13" t="str">
        <f ca="1">Start.listina!AD67</f>
        <v xml:space="preserve"> </v>
      </c>
      <c r="F232" s="13"/>
      <c r="G232" s="89"/>
      <c r="H232" s="4"/>
      <c r="I232" s="4"/>
    </row>
    <row r="233" spans="1:9" x14ac:dyDescent="0.4">
      <c r="A233" s="13">
        <f ca="1">Start.listina!AH68</f>
        <v>0</v>
      </c>
      <c r="B233" s="13" t="str">
        <f ca="1">Start.listina!I68</f>
        <v/>
      </c>
      <c r="C233" s="195" t="str">
        <f ca="1">Start.listina!J68</f>
        <v xml:space="preserve"> </v>
      </c>
      <c r="D233" s="13" t="str">
        <f ca="1">Start.listina!K68</f>
        <v xml:space="preserve"> </v>
      </c>
      <c r="E233" s="13" t="str">
        <f ca="1">Start.listina!L68</f>
        <v xml:space="preserve"> </v>
      </c>
      <c r="F233" s="13"/>
      <c r="G233" s="89" t="str">
        <f ca="1">IF(N(A233)&gt;0,VLOOKUP(A233,Body!$A$4:$F$259,5,0),"")</f>
        <v/>
      </c>
      <c r="H233" s="4" t="str">
        <f ca="1">IF(N(A233)&gt;0,VLOOKUP(A233,Body!$A$4:$F$259,6,0),"")</f>
        <v/>
      </c>
      <c r="I233" s="4" t="str">
        <f ca="1">IF(N(A233)&gt;0,VLOOKUP(A233,Body!$A$4:$F$259,2,0),"")</f>
        <v/>
      </c>
    </row>
    <row r="234" spans="1:9" x14ac:dyDescent="0.4">
      <c r="A234" s="13"/>
      <c r="B234" s="13" t="str">
        <f ca="1">Start.listina!O68</f>
        <v/>
      </c>
      <c r="C234" s="13" t="str">
        <f ca="1">Start.listina!P68</f>
        <v xml:space="preserve"> </v>
      </c>
      <c r="D234" s="13" t="str">
        <f ca="1">Start.listina!Q68</f>
        <v xml:space="preserve"> </v>
      </c>
      <c r="E234" s="13" t="str">
        <f ca="1">Start.listina!R68</f>
        <v xml:space="preserve"> </v>
      </c>
      <c r="F234" s="13"/>
      <c r="G234" s="89"/>
      <c r="H234" s="4"/>
      <c r="I234" s="4"/>
    </row>
    <row r="235" spans="1:9" x14ac:dyDescent="0.4">
      <c r="A235" s="13"/>
      <c r="B235" s="13" t="str">
        <f ca="1">Start.listina!U68</f>
        <v/>
      </c>
      <c r="C235" s="13" t="str">
        <f ca="1">Start.listina!V68</f>
        <v xml:space="preserve"> </v>
      </c>
      <c r="D235" s="13" t="str">
        <f ca="1">Start.listina!W68</f>
        <v xml:space="preserve"> </v>
      </c>
      <c r="E235" s="13" t="str">
        <f ca="1">Start.listina!X68</f>
        <v xml:space="preserve"> </v>
      </c>
      <c r="F235" s="13"/>
      <c r="G235" s="89"/>
      <c r="H235" s="4"/>
      <c r="I235" s="4"/>
    </row>
    <row r="236" spans="1:9" x14ac:dyDescent="0.4">
      <c r="A236" s="13"/>
      <c r="B236" s="13" t="str">
        <f ca="1">Start.listina!AA68</f>
        <v/>
      </c>
      <c r="C236" s="13" t="str">
        <f ca="1">Start.listina!AB68</f>
        <v xml:space="preserve"> </v>
      </c>
      <c r="D236" s="13" t="str">
        <f ca="1">Start.listina!AC68</f>
        <v xml:space="preserve"> </v>
      </c>
      <c r="E236" s="13" t="str">
        <f ca="1">Start.listina!AD68</f>
        <v xml:space="preserve"> </v>
      </c>
      <c r="F236" s="13"/>
      <c r="G236" s="89"/>
      <c r="H236" s="4"/>
      <c r="I236" s="4"/>
    </row>
    <row r="237" spans="1:9" x14ac:dyDescent="0.4">
      <c r="A237" s="13">
        <f ca="1">Start.listina!AH69</f>
        <v>0</v>
      </c>
      <c r="B237" s="13" t="str">
        <f ca="1">Start.listina!I69</f>
        <v/>
      </c>
      <c r="C237" s="195" t="str">
        <f ca="1">Start.listina!J69</f>
        <v xml:space="preserve"> </v>
      </c>
      <c r="D237" s="13" t="str">
        <f ca="1">Start.listina!K69</f>
        <v xml:space="preserve"> </v>
      </c>
      <c r="E237" s="13" t="str">
        <f ca="1">Start.listina!L69</f>
        <v xml:space="preserve"> </v>
      </c>
      <c r="F237" s="13"/>
      <c r="G237" s="89" t="str">
        <f ca="1">IF(N(A237)&gt;0,VLOOKUP(A237,Body!$A$4:$F$259,5,0),"")</f>
        <v/>
      </c>
      <c r="H237" s="4" t="str">
        <f ca="1">IF(N(A237)&gt;0,VLOOKUP(A237,Body!$A$4:$F$259,6,0),"")</f>
        <v/>
      </c>
      <c r="I237" s="4" t="str">
        <f ca="1">IF(N(A237)&gt;0,VLOOKUP(A237,Body!$A$4:$F$259,2,0),"")</f>
        <v/>
      </c>
    </row>
    <row r="238" spans="1:9" x14ac:dyDescent="0.4">
      <c r="A238" s="13"/>
      <c r="B238" s="13" t="str">
        <f ca="1">Start.listina!O69</f>
        <v/>
      </c>
      <c r="C238" s="13" t="str">
        <f ca="1">Start.listina!P69</f>
        <v xml:space="preserve"> </v>
      </c>
      <c r="D238" s="13" t="str">
        <f ca="1">Start.listina!Q69</f>
        <v xml:space="preserve"> </v>
      </c>
      <c r="E238" s="13" t="str">
        <f ca="1">Start.listina!R69</f>
        <v xml:space="preserve"> </v>
      </c>
      <c r="F238" s="13"/>
      <c r="G238" s="89"/>
      <c r="H238" s="4"/>
      <c r="I238" s="4"/>
    </row>
    <row r="239" spans="1:9" x14ac:dyDescent="0.4">
      <c r="A239" s="13"/>
      <c r="B239" s="13" t="str">
        <f ca="1">Start.listina!U69</f>
        <v/>
      </c>
      <c r="C239" s="13" t="str">
        <f ca="1">Start.listina!V69</f>
        <v xml:space="preserve"> </v>
      </c>
      <c r="D239" s="13" t="str">
        <f ca="1">Start.listina!W69</f>
        <v xml:space="preserve"> </v>
      </c>
      <c r="E239" s="13" t="str">
        <f ca="1">Start.listina!X69</f>
        <v xml:space="preserve"> </v>
      </c>
      <c r="F239" s="13"/>
      <c r="G239" s="89"/>
      <c r="H239" s="4"/>
      <c r="I239" s="4"/>
    </row>
    <row r="240" spans="1:9" x14ac:dyDescent="0.4">
      <c r="A240" s="13"/>
      <c r="B240" s="13" t="str">
        <f ca="1">Start.listina!AA69</f>
        <v/>
      </c>
      <c r="C240" s="13" t="str">
        <f ca="1">Start.listina!AB69</f>
        <v xml:space="preserve"> </v>
      </c>
      <c r="D240" s="13" t="str">
        <f ca="1">Start.listina!AC69</f>
        <v xml:space="preserve"> </v>
      </c>
      <c r="E240" s="13" t="str">
        <f ca="1">Start.listina!AD69</f>
        <v xml:space="preserve"> </v>
      </c>
      <c r="F240" s="13"/>
      <c r="G240" s="89"/>
      <c r="H240" s="4"/>
      <c r="I240" s="4"/>
    </row>
    <row r="241" spans="1:9" x14ac:dyDescent="0.4">
      <c r="A241" s="13">
        <f ca="1">Start.listina!AH70</f>
        <v>0</v>
      </c>
      <c r="B241" s="13" t="str">
        <f ca="1">Start.listina!I70</f>
        <v/>
      </c>
      <c r="C241" s="195" t="str">
        <f ca="1">Start.listina!J70</f>
        <v xml:space="preserve"> </v>
      </c>
      <c r="D241" s="13" t="str">
        <f ca="1">Start.listina!K70</f>
        <v xml:space="preserve"> </v>
      </c>
      <c r="E241" s="13" t="str">
        <f ca="1">Start.listina!L70</f>
        <v xml:space="preserve"> </v>
      </c>
      <c r="F241" s="13"/>
      <c r="G241" s="89" t="str">
        <f ca="1">IF(N(A241)&gt;0,VLOOKUP(A241,Body!$A$4:$F$259,5,0),"")</f>
        <v/>
      </c>
      <c r="H241" s="4" t="str">
        <f ca="1">IF(N(A241)&gt;0,VLOOKUP(A241,Body!$A$4:$F$259,6,0),"")</f>
        <v/>
      </c>
      <c r="I241" s="4" t="str">
        <f ca="1">IF(N(A241)&gt;0,VLOOKUP(A241,Body!$A$4:$F$259,2,0),"")</f>
        <v/>
      </c>
    </row>
    <row r="242" spans="1:9" x14ac:dyDescent="0.4">
      <c r="A242" s="13"/>
      <c r="B242" s="13" t="str">
        <f ca="1">Start.listina!O70</f>
        <v/>
      </c>
      <c r="C242" s="13" t="str">
        <f ca="1">Start.listina!P70</f>
        <v xml:space="preserve"> </v>
      </c>
      <c r="D242" s="13" t="str">
        <f ca="1">Start.listina!Q70</f>
        <v xml:space="preserve"> </v>
      </c>
      <c r="E242" s="13" t="str">
        <f ca="1">Start.listina!R70</f>
        <v xml:space="preserve"> </v>
      </c>
      <c r="F242" s="13"/>
      <c r="G242" s="89"/>
      <c r="H242" s="4"/>
      <c r="I242" s="4"/>
    </row>
    <row r="243" spans="1:9" x14ac:dyDescent="0.4">
      <c r="A243" s="13"/>
      <c r="B243" s="13" t="str">
        <f ca="1">Start.listina!U70</f>
        <v/>
      </c>
      <c r="C243" s="13" t="str">
        <f ca="1">Start.listina!V70</f>
        <v xml:space="preserve"> </v>
      </c>
      <c r="D243" s="13" t="str">
        <f ca="1">Start.listina!W70</f>
        <v xml:space="preserve"> </v>
      </c>
      <c r="E243" s="13" t="str">
        <f ca="1">Start.listina!X70</f>
        <v xml:space="preserve"> </v>
      </c>
      <c r="F243" s="13"/>
      <c r="G243" s="89"/>
      <c r="H243" s="4"/>
      <c r="I243" s="4"/>
    </row>
    <row r="244" spans="1:9" x14ac:dyDescent="0.4">
      <c r="A244" s="13"/>
      <c r="B244" s="13" t="str">
        <f ca="1">Start.listina!AA70</f>
        <v/>
      </c>
      <c r="C244" s="13" t="str">
        <f ca="1">Start.listina!AB70</f>
        <v xml:space="preserve"> </v>
      </c>
      <c r="D244" s="13" t="str">
        <f ca="1">Start.listina!AC70</f>
        <v xml:space="preserve"> </v>
      </c>
      <c r="E244" s="13" t="str">
        <f ca="1">Start.listina!AD70</f>
        <v xml:space="preserve"> </v>
      </c>
      <c r="F244" s="13"/>
      <c r="G244" s="89"/>
      <c r="H244" s="4"/>
      <c r="I244" s="4"/>
    </row>
    <row r="245" spans="1:9" x14ac:dyDescent="0.4">
      <c r="A245" s="13">
        <f ca="1">Start.listina!AH71</f>
        <v>0</v>
      </c>
      <c r="B245" s="13" t="str">
        <f ca="1">Start.listina!I71</f>
        <v/>
      </c>
      <c r="C245" s="195" t="str">
        <f ca="1">Start.listina!J71</f>
        <v xml:space="preserve"> </v>
      </c>
      <c r="D245" s="13" t="str">
        <f ca="1">Start.listina!K71</f>
        <v xml:space="preserve"> </v>
      </c>
      <c r="E245" s="13" t="str">
        <f ca="1">Start.listina!L71</f>
        <v xml:space="preserve"> </v>
      </c>
      <c r="F245" s="13"/>
      <c r="G245" s="89" t="str">
        <f ca="1">IF(N(A245)&gt;0,VLOOKUP(A245,Body!$A$4:$F$259,5,0),"")</f>
        <v/>
      </c>
      <c r="H245" s="4" t="str">
        <f ca="1">IF(N(A245)&gt;0,VLOOKUP(A245,Body!$A$4:$F$259,6,0),"")</f>
        <v/>
      </c>
      <c r="I245" s="4" t="str">
        <f ca="1">IF(N(A245)&gt;0,VLOOKUP(A245,Body!$A$4:$F$259,2,0),"")</f>
        <v/>
      </c>
    </row>
    <row r="246" spans="1:9" x14ac:dyDescent="0.4">
      <c r="A246" s="13"/>
      <c r="B246" s="13" t="str">
        <f ca="1">Start.listina!O71</f>
        <v/>
      </c>
      <c r="C246" s="13" t="str">
        <f ca="1">Start.listina!P71</f>
        <v xml:space="preserve"> </v>
      </c>
      <c r="D246" s="13" t="str">
        <f ca="1">Start.listina!Q71</f>
        <v xml:space="preserve"> </v>
      </c>
      <c r="E246" s="13" t="str">
        <f ca="1">Start.listina!R71</f>
        <v xml:space="preserve"> </v>
      </c>
      <c r="F246" s="13"/>
      <c r="G246" s="89"/>
      <c r="H246" s="4"/>
      <c r="I246" s="4"/>
    </row>
    <row r="247" spans="1:9" x14ac:dyDescent="0.4">
      <c r="A247" s="13"/>
      <c r="B247" s="13" t="str">
        <f ca="1">Start.listina!U71</f>
        <v/>
      </c>
      <c r="C247" s="13" t="str">
        <f ca="1">Start.listina!V71</f>
        <v xml:space="preserve"> </v>
      </c>
      <c r="D247" s="13" t="str">
        <f ca="1">Start.listina!W71</f>
        <v xml:space="preserve"> </v>
      </c>
      <c r="E247" s="13" t="str">
        <f ca="1">Start.listina!X71</f>
        <v xml:space="preserve"> </v>
      </c>
      <c r="F247" s="13"/>
      <c r="G247" s="89"/>
      <c r="H247" s="4"/>
      <c r="I247" s="4"/>
    </row>
    <row r="248" spans="1:9" x14ac:dyDescent="0.4">
      <c r="A248" s="13"/>
      <c r="B248" s="13" t="str">
        <f ca="1">Start.listina!AA71</f>
        <v/>
      </c>
      <c r="C248" s="13" t="str">
        <f ca="1">Start.listina!AB71</f>
        <v xml:space="preserve"> </v>
      </c>
      <c r="D248" s="13" t="str">
        <f ca="1">Start.listina!AC71</f>
        <v xml:space="preserve"> </v>
      </c>
      <c r="E248" s="13" t="str">
        <f ca="1">Start.listina!AD71</f>
        <v xml:space="preserve"> </v>
      </c>
      <c r="F248" s="13"/>
      <c r="G248" s="89"/>
      <c r="H248" s="4"/>
      <c r="I248" s="4"/>
    </row>
    <row r="249" spans="1:9" x14ac:dyDescent="0.4">
      <c r="A249" s="13">
        <f ca="1">Start.listina!AH72</f>
        <v>0</v>
      </c>
      <c r="B249" s="13" t="str">
        <f ca="1">Start.listina!I72</f>
        <v/>
      </c>
      <c r="C249" s="195" t="str">
        <f ca="1">Start.listina!J72</f>
        <v xml:space="preserve"> </v>
      </c>
      <c r="D249" s="13" t="str">
        <f ca="1">Start.listina!K72</f>
        <v xml:space="preserve"> </v>
      </c>
      <c r="E249" s="13" t="str">
        <f ca="1">Start.listina!L72</f>
        <v xml:space="preserve"> </v>
      </c>
      <c r="F249" s="13"/>
      <c r="G249" s="89" t="str">
        <f ca="1">IF(N(A249)&gt;0,VLOOKUP(A249,Body!$A$4:$F$259,5,0),"")</f>
        <v/>
      </c>
      <c r="H249" s="4" t="str">
        <f ca="1">IF(N(A249)&gt;0,VLOOKUP(A249,Body!$A$4:$F$259,6,0),"")</f>
        <v/>
      </c>
      <c r="I249" s="4" t="str">
        <f ca="1">IF(N(A249)&gt;0,VLOOKUP(A249,Body!$A$4:$F$259,2,0),"")</f>
        <v/>
      </c>
    </row>
    <row r="250" spans="1:9" x14ac:dyDescent="0.4">
      <c r="A250" s="13"/>
      <c r="B250" s="13" t="str">
        <f ca="1">Start.listina!O72</f>
        <v/>
      </c>
      <c r="C250" s="13" t="str">
        <f ca="1">Start.listina!P72</f>
        <v xml:space="preserve"> </v>
      </c>
      <c r="D250" s="13" t="str">
        <f ca="1">Start.listina!Q72</f>
        <v xml:space="preserve"> </v>
      </c>
      <c r="E250" s="13" t="str">
        <f ca="1">Start.listina!R72</f>
        <v xml:space="preserve"> </v>
      </c>
      <c r="F250" s="13"/>
      <c r="G250" s="89"/>
      <c r="H250" s="4"/>
      <c r="I250" s="4"/>
    </row>
    <row r="251" spans="1:9" x14ac:dyDescent="0.4">
      <c r="A251" s="13"/>
      <c r="B251" s="13" t="str">
        <f ca="1">Start.listina!U72</f>
        <v/>
      </c>
      <c r="C251" s="13" t="str">
        <f ca="1">Start.listina!V72</f>
        <v xml:space="preserve"> </v>
      </c>
      <c r="D251" s="13" t="str">
        <f ca="1">Start.listina!W72</f>
        <v xml:space="preserve"> </v>
      </c>
      <c r="E251" s="13" t="str">
        <f ca="1">Start.listina!X72</f>
        <v xml:space="preserve"> </v>
      </c>
      <c r="F251" s="13"/>
      <c r="G251" s="89"/>
      <c r="H251" s="4"/>
      <c r="I251" s="4"/>
    </row>
    <row r="252" spans="1:9" x14ac:dyDescent="0.4">
      <c r="A252" s="13"/>
      <c r="B252" s="13" t="str">
        <f ca="1">Start.listina!AA72</f>
        <v/>
      </c>
      <c r="C252" s="13" t="str">
        <f ca="1">Start.listina!AB72</f>
        <v xml:space="preserve"> </v>
      </c>
      <c r="D252" s="13" t="str">
        <f ca="1">Start.listina!AC72</f>
        <v xml:space="preserve"> </v>
      </c>
      <c r="E252" s="13" t="str">
        <f ca="1">Start.listina!AD72</f>
        <v xml:space="preserve"> </v>
      </c>
      <c r="F252" s="13"/>
      <c r="G252" s="89"/>
      <c r="H252" s="4"/>
      <c r="I252" s="4"/>
    </row>
    <row r="253" spans="1:9" x14ac:dyDescent="0.4">
      <c r="A253" s="13">
        <f ca="1">Start.listina!AH73</f>
        <v>0</v>
      </c>
      <c r="B253" s="13" t="str">
        <f ca="1">Start.listina!I73</f>
        <v/>
      </c>
      <c r="C253" s="195" t="str">
        <f ca="1">Start.listina!J73</f>
        <v xml:space="preserve"> </v>
      </c>
      <c r="D253" s="13" t="str">
        <f ca="1">Start.listina!K73</f>
        <v xml:space="preserve"> </v>
      </c>
      <c r="E253" s="13" t="str">
        <f ca="1">Start.listina!L73</f>
        <v xml:space="preserve"> </v>
      </c>
      <c r="F253" s="13"/>
      <c r="G253" s="89" t="str">
        <f ca="1">IF(N(A253)&gt;0,VLOOKUP(A253,Body!$A$4:$F$259,5,0),"")</f>
        <v/>
      </c>
      <c r="H253" s="4" t="str">
        <f ca="1">IF(N(A253)&gt;0,VLOOKUP(A253,Body!$A$4:$F$259,6,0),"")</f>
        <v/>
      </c>
      <c r="I253" s="4" t="str">
        <f ca="1">IF(N(A253)&gt;0,VLOOKUP(A253,Body!$A$4:$F$259,2,0),"")</f>
        <v/>
      </c>
    </row>
    <row r="254" spans="1:9" x14ac:dyDescent="0.4">
      <c r="A254" s="13"/>
      <c r="B254" s="13" t="str">
        <f ca="1">Start.listina!O73</f>
        <v/>
      </c>
      <c r="C254" s="13" t="str">
        <f ca="1">Start.listina!P73</f>
        <v xml:space="preserve"> </v>
      </c>
      <c r="D254" s="13" t="str">
        <f ca="1">Start.listina!Q73</f>
        <v xml:space="preserve"> </v>
      </c>
      <c r="E254" s="13" t="str">
        <f ca="1">Start.listina!R73</f>
        <v xml:space="preserve"> </v>
      </c>
      <c r="F254" s="13"/>
      <c r="G254" s="89"/>
      <c r="H254" s="4"/>
      <c r="I254" s="4"/>
    </row>
    <row r="255" spans="1:9" x14ac:dyDescent="0.4">
      <c r="A255" s="13"/>
      <c r="B255" s="13" t="str">
        <f ca="1">Start.listina!U73</f>
        <v/>
      </c>
      <c r="C255" s="13" t="str">
        <f ca="1">Start.listina!V73</f>
        <v xml:space="preserve"> </v>
      </c>
      <c r="D255" s="13" t="str">
        <f ca="1">Start.listina!W73</f>
        <v xml:space="preserve"> </v>
      </c>
      <c r="E255" s="13" t="str">
        <f ca="1">Start.listina!X73</f>
        <v xml:space="preserve"> </v>
      </c>
      <c r="F255" s="13"/>
      <c r="G255" s="89"/>
      <c r="H255" s="4"/>
      <c r="I255" s="4"/>
    </row>
    <row r="256" spans="1:9" x14ac:dyDescent="0.4">
      <c r="A256" s="13"/>
      <c r="B256" s="13" t="str">
        <f ca="1">Start.listina!AA73</f>
        <v/>
      </c>
      <c r="C256" s="13" t="str">
        <f ca="1">Start.listina!AB73</f>
        <v xml:space="preserve"> </v>
      </c>
      <c r="D256" s="13" t="str">
        <f ca="1">Start.listina!AC73</f>
        <v xml:space="preserve"> </v>
      </c>
      <c r="E256" s="13" t="str">
        <f ca="1">Start.listina!AD73</f>
        <v xml:space="preserve"> </v>
      </c>
      <c r="F256" s="13"/>
      <c r="G256" s="89"/>
      <c r="H256" s="4"/>
      <c r="I256" s="4"/>
    </row>
    <row r="257" spans="1:9" x14ac:dyDescent="0.4">
      <c r="A257" s="13">
        <f ca="1">Start.listina!AH74</f>
        <v>0</v>
      </c>
      <c r="B257" s="13" t="str">
        <f ca="1">Start.listina!I74</f>
        <v/>
      </c>
      <c r="C257" s="195" t="str">
        <f ca="1">Start.listina!J74</f>
        <v xml:space="preserve"> </v>
      </c>
      <c r="D257" s="13" t="str">
        <f ca="1">Start.listina!K74</f>
        <v xml:space="preserve"> </v>
      </c>
      <c r="E257" s="13" t="str">
        <f ca="1">Start.listina!L74</f>
        <v xml:space="preserve"> </v>
      </c>
      <c r="F257" s="13"/>
      <c r="G257" s="89" t="str">
        <f ca="1">IF(N(A257)&gt;0,VLOOKUP(A257,Body!$A$4:$F$259,5,0),"")</f>
        <v/>
      </c>
      <c r="H257" s="4" t="str">
        <f ca="1">IF(N(A257)&gt;0,VLOOKUP(A257,Body!$A$4:$F$259,6,0),"")</f>
        <v/>
      </c>
      <c r="I257" s="4" t="str">
        <f ca="1">IF(N(A257)&gt;0,VLOOKUP(A257,Body!$A$4:$F$259,2,0),"")</f>
        <v/>
      </c>
    </row>
    <row r="258" spans="1:9" x14ac:dyDescent="0.4">
      <c r="A258" s="13"/>
      <c r="B258" s="13" t="str">
        <f ca="1">Start.listina!O74</f>
        <v/>
      </c>
      <c r="C258" s="13" t="str">
        <f ca="1">Start.listina!P74</f>
        <v xml:space="preserve"> </v>
      </c>
      <c r="D258" s="13" t="str">
        <f ca="1">Start.listina!Q74</f>
        <v xml:space="preserve"> </v>
      </c>
      <c r="E258" s="13" t="str">
        <f ca="1">Start.listina!R74</f>
        <v xml:space="preserve"> </v>
      </c>
      <c r="F258" s="13"/>
      <c r="G258" s="89"/>
      <c r="H258" s="4"/>
      <c r="I258" s="4"/>
    </row>
    <row r="259" spans="1:9" x14ac:dyDescent="0.4">
      <c r="A259" s="13"/>
      <c r="B259" s="13" t="str">
        <f ca="1">Start.listina!U74</f>
        <v/>
      </c>
      <c r="C259" s="13" t="str">
        <f ca="1">Start.listina!V74</f>
        <v xml:space="preserve"> </v>
      </c>
      <c r="D259" s="13" t="str">
        <f ca="1">Start.listina!W74</f>
        <v xml:space="preserve"> </v>
      </c>
      <c r="E259" s="13" t="str">
        <f ca="1">Start.listina!X74</f>
        <v xml:space="preserve"> </v>
      </c>
      <c r="F259" s="13"/>
      <c r="G259" s="89"/>
      <c r="H259" s="4"/>
      <c r="I259" s="4"/>
    </row>
    <row r="260" spans="1:9" x14ac:dyDescent="0.4">
      <c r="A260" s="13"/>
      <c r="B260" s="13" t="str">
        <f ca="1">Start.listina!AA74</f>
        <v/>
      </c>
      <c r="C260" s="13" t="str">
        <f ca="1">Start.listina!AB74</f>
        <v xml:space="preserve"> </v>
      </c>
      <c r="D260" s="13" t="str">
        <f ca="1">Start.listina!AC74</f>
        <v xml:space="preserve"> </v>
      </c>
      <c r="E260" s="13" t="str">
        <f ca="1">Start.listina!AD74</f>
        <v xml:space="preserve"> </v>
      </c>
      <c r="F260" s="13"/>
      <c r="G260" s="89"/>
      <c r="H260" s="4"/>
      <c r="I260" s="4"/>
    </row>
    <row r="261" spans="1:9" x14ac:dyDescent="0.4">
      <c r="A261" s="13">
        <f ca="1">Start.listina!AH75</f>
        <v>0</v>
      </c>
      <c r="B261" s="13" t="str">
        <f ca="1">Start.listina!I75</f>
        <v/>
      </c>
      <c r="C261" s="195" t="str">
        <f ca="1">Start.listina!J75</f>
        <v xml:space="preserve"> </v>
      </c>
      <c r="D261" s="13" t="str">
        <f ca="1">Start.listina!K75</f>
        <v xml:space="preserve"> </v>
      </c>
      <c r="E261" s="13" t="str">
        <f ca="1">Start.listina!L75</f>
        <v xml:space="preserve"> </v>
      </c>
      <c r="F261" s="13"/>
      <c r="G261" s="89" t="str">
        <f ca="1">IF(N(A261)&gt;0,VLOOKUP(A261,Body!$A$4:$F$259,5,0),"")</f>
        <v/>
      </c>
      <c r="H261" s="4" t="str">
        <f ca="1">IF(N(A261)&gt;0,VLOOKUP(A261,Body!$A$4:$F$259,6,0),"")</f>
        <v/>
      </c>
      <c r="I261" s="4" t="str">
        <f ca="1">IF(N(A261)&gt;0,VLOOKUP(A261,Body!$A$4:$F$259,2,0),"")</f>
        <v/>
      </c>
    </row>
    <row r="262" spans="1:9" x14ac:dyDescent="0.4">
      <c r="A262" s="13"/>
      <c r="B262" s="13" t="str">
        <f ca="1">Start.listina!O75</f>
        <v/>
      </c>
      <c r="C262" s="13" t="str">
        <f ca="1">Start.listina!P75</f>
        <v xml:space="preserve"> </v>
      </c>
      <c r="D262" s="13" t="str">
        <f ca="1">Start.listina!Q75</f>
        <v xml:space="preserve"> </v>
      </c>
      <c r="E262" s="13" t="str">
        <f ca="1">Start.listina!R75</f>
        <v xml:space="preserve"> </v>
      </c>
      <c r="F262" s="13"/>
      <c r="G262" s="89"/>
      <c r="H262" s="4"/>
      <c r="I262" s="4"/>
    </row>
    <row r="263" spans="1:9" x14ac:dyDescent="0.4">
      <c r="A263" s="13"/>
      <c r="B263" s="13" t="str">
        <f ca="1">Start.listina!U75</f>
        <v/>
      </c>
      <c r="C263" s="13" t="str">
        <f ca="1">Start.listina!V75</f>
        <v xml:space="preserve"> </v>
      </c>
      <c r="D263" s="13" t="str">
        <f ca="1">Start.listina!W75</f>
        <v xml:space="preserve"> </v>
      </c>
      <c r="E263" s="13" t="str">
        <f ca="1">Start.listina!X75</f>
        <v xml:space="preserve"> </v>
      </c>
      <c r="F263" s="13"/>
      <c r="G263" s="89"/>
      <c r="H263" s="4"/>
      <c r="I263" s="4"/>
    </row>
    <row r="264" spans="1:9" x14ac:dyDescent="0.4">
      <c r="A264" s="13"/>
      <c r="B264" s="13" t="str">
        <f ca="1">Start.listina!AA75</f>
        <v/>
      </c>
      <c r="C264" s="13" t="str">
        <f ca="1">Start.listina!AB75</f>
        <v xml:space="preserve"> </v>
      </c>
      <c r="D264" s="13" t="str">
        <f ca="1">Start.listina!AC75</f>
        <v xml:space="preserve"> </v>
      </c>
      <c r="E264" s="13" t="str">
        <f ca="1">Start.listina!AD75</f>
        <v xml:space="preserve"> </v>
      </c>
      <c r="F264" s="13"/>
      <c r="G264" s="89"/>
      <c r="H264" s="4"/>
      <c r="I264" s="4"/>
    </row>
    <row r="265" spans="1:9" x14ac:dyDescent="0.4">
      <c r="A265" s="13">
        <f ca="1">Start.listina!AH76</f>
        <v>0</v>
      </c>
      <c r="B265" s="13" t="str">
        <f ca="1">Start.listina!I76</f>
        <v/>
      </c>
      <c r="C265" s="195" t="str">
        <f ca="1">Start.listina!J76</f>
        <v xml:space="preserve"> </v>
      </c>
      <c r="D265" s="13" t="str">
        <f ca="1">Start.listina!K76</f>
        <v xml:space="preserve"> </v>
      </c>
      <c r="E265" s="13" t="str">
        <f ca="1">Start.listina!L76</f>
        <v xml:space="preserve"> </v>
      </c>
      <c r="F265" s="13"/>
      <c r="G265" s="89" t="str">
        <f ca="1">IF(N(A265)&gt;0,VLOOKUP(A265,Body!$A$4:$F$259,5,0),"")</f>
        <v/>
      </c>
      <c r="H265" s="4" t="str">
        <f ca="1">IF(N(A265)&gt;0,VLOOKUP(A265,Body!$A$4:$F$259,6,0),"")</f>
        <v/>
      </c>
      <c r="I265" s="4" t="str">
        <f ca="1">IF(N(A265)&gt;0,VLOOKUP(A265,Body!$A$4:$F$259,2,0),"")</f>
        <v/>
      </c>
    </row>
    <row r="266" spans="1:9" x14ac:dyDescent="0.4">
      <c r="A266" s="13"/>
      <c r="B266" s="13" t="str">
        <f ca="1">Start.listina!O76</f>
        <v/>
      </c>
      <c r="C266" s="13" t="str">
        <f ca="1">Start.listina!P76</f>
        <v xml:space="preserve"> </v>
      </c>
      <c r="D266" s="13" t="str">
        <f ca="1">Start.listina!Q76</f>
        <v xml:space="preserve"> </v>
      </c>
      <c r="E266" s="13" t="str">
        <f ca="1">Start.listina!R76</f>
        <v xml:space="preserve"> </v>
      </c>
      <c r="F266" s="13"/>
      <c r="G266" s="89"/>
      <c r="H266" s="4"/>
      <c r="I266" s="4"/>
    </row>
    <row r="267" spans="1:9" x14ac:dyDescent="0.4">
      <c r="A267" s="13"/>
      <c r="B267" s="13" t="str">
        <f ca="1">Start.listina!U76</f>
        <v/>
      </c>
      <c r="C267" s="13" t="str">
        <f ca="1">Start.listina!V76</f>
        <v xml:space="preserve"> </v>
      </c>
      <c r="D267" s="13" t="str">
        <f ca="1">Start.listina!W76</f>
        <v xml:space="preserve"> </v>
      </c>
      <c r="E267" s="13" t="str">
        <f ca="1">Start.listina!X76</f>
        <v xml:space="preserve"> </v>
      </c>
      <c r="F267" s="13"/>
      <c r="G267" s="89"/>
      <c r="H267" s="4"/>
      <c r="I267" s="4"/>
    </row>
    <row r="268" spans="1:9" x14ac:dyDescent="0.4">
      <c r="A268" s="13"/>
      <c r="B268" s="13" t="str">
        <f ca="1">Start.listina!AA76</f>
        <v/>
      </c>
      <c r="C268" s="13" t="str">
        <f ca="1">Start.listina!AB76</f>
        <v xml:space="preserve"> </v>
      </c>
      <c r="D268" s="13" t="str">
        <f ca="1">Start.listina!AC76</f>
        <v xml:space="preserve"> </v>
      </c>
      <c r="E268" s="13" t="str">
        <f ca="1">Start.listina!AD76</f>
        <v xml:space="preserve"> </v>
      </c>
      <c r="F268" s="13"/>
      <c r="G268" s="89"/>
      <c r="H268" s="4"/>
      <c r="I268" s="4"/>
    </row>
    <row r="269" spans="1:9" x14ac:dyDescent="0.4">
      <c r="A269" s="13">
        <f ca="1">Start.listina!AH77</f>
        <v>0</v>
      </c>
      <c r="B269" s="13" t="str">
        <f ca="1">Start.listina!I77</f>
        <v/>
      </c>
      <c r="C269" s="195" t="str">
        <f ca="1">Start.listina!J77</f>
        <v xml:space="preserve"> </v>
      </c>
      <c r="D269" s="13" t="str">
        <f ca="1">Start.listina!K77</f>
        <v xml:space="preserve"> </v>
      </c>
      <c r="E269" s="13" t="str">
        <f ca="1">Start.listina!L77</f>
        <v xml:space="preserve"> </v>
      </c>
      <c r="F269" s="13"/>
      <c r="G269" s="89" t="str">
        <f ca="1">IF(N(A269)&gt;0,VLOOKUP(A269,Body!$A$4:$F$259,5,0),"")</f>
        <v/>
      </c>
      <c r="H269" s="4" t="str">
        <f ca="1">IF(N(A269)&gt;0,VLOOKUP(A269,Body!$A$4:$F$259,6,0),"")</f>
        <v/>
      </c>
      <c r="I269" s="4" t="str">
        <f ca="1">IF(N(A269)&gt;0,VLOOKUP(A269,Body!$A$4:$F$259,2,0),"")</f>
        <v/>
      </c>
    </row>
    <row r="270" spans="1:9" x14ac:dyDescent="0.4">
      <c r="A270" s="13"/>
      <c r="B270" s="13" t="str">
        <f ca="1">Start.listina!O77</f>
        <v/>
      </c>
      <c r="C270" s="13" t="str">
        <f ca="1">Start.listina!P77</f>
        <v xml:space="preserve"> </v>
      </c>
      <c r="D270" s="13" t="str">
        <f ca="1">Start.listina!Q77</f>
        <v xml:space="preserve"> </v>
      </c>
      <c r="E270" s="13" t="str">
        <f ca="1">Start.listina!R77</f>
        <v xml:space="preserve"> </v>
      </c>
      <c r="F270" s="13"/>
      <c r="G270" s="89"/>
      <c r="H270" s="4"/>
      <c r="I270" s="4"/>
    </row>
    <row r="271" spans="1:9" x14ac:dyDescent="0.4">
      <c r="A271" s="13"/>
      <c r="B271" s="13" t="str">
        <f ca="1">Start.listina!U77</f>
        <v/>
      </c>
      <c r="C271" s="13" t="str">
        <f ca="1">Start.listina!V77</f>
        <v xml:space="preserve"> </v>
      </c>
      <c r="D271" s="13" t="str">
        <f ca="1">Start.listina!W77</f>
        <v xml:space="preserve"> </v>
      </c>
      <c r="E271" s="13" t="str">
        <f ca="1">Start.listina!X77</f>
        <v xml:space="preserve"> </v>
      </c>
      <c r="F271" s="13"/>
      <c r="G271" s="89"/>
      <c r="H271" s="4"/>
      <c r="I271" s="4"/>
    </row>
    <row r="272" spans="1:9" x14ac:dyDescent="0.4">
      <c r="A272" s="13"/>
      <c r="B272" s="13" t="str">
        <f ca="1">Start.listina!AA77</f>
        <v/>
      </c>
      <c r="C272" s="13" t="str">
        <f ca="1">Start.listina!AB77</f>
        <v xml:space="preserve"> </v>
      </c>
      <c r="D272" s="13" t="str">
        <f ca="1">Start.listina!AC77</f>
        <v xml:space="preserve"> </v>
      </c>
      <c r="E272" s="13" t="str">
        <f ca="1">Start.listina!AD77</f>
        <v xml:space="preserve"> </v>
      </c>
      <c r="F272" s="13"/>
      <c r="G272" s="89"/>
      <c r="H272" s="4"/>
      <c r="I272" s="4"/>
    </row>
    <row r="273" spans="1:9" x14ac:dyDescent="0.4">
      <c r="A273" s="13">
        <f ca="1">Start.listina!AH78</f>
        <v>0</v>
      </c>
      <c r="B273" s="13" t="str">
        <f ca="1">Start.listina!I78</f>
        <v/>
      </c>
      <c r="C273" s="195" t="str">
        <f ca="1">Start.listina!J78</f>
        <v xml:space="preserve"> </v>
      </c>
      <c r="D273" s="13" t="str">
        <f ca="1">Start.listina!K78</f>
        <v xml:space="preserve"> </v>
      </c>
      <c r="E273" s="13" t="str">
        <f ca="1">Start.listina!L78</f>
        <v xml:space="preserve"> </v>
      </c>
      <c r="F273" s="13"/>
      <c r="G273" s="89" t="str">
        <f ca="1">IF(N(A273)&gt;0,VLOOKUP(A273,Body!$A$4:$F$259,5,0),"")</f>
        <v/>
      </c>
      <c r="H273" s="4" t="str">
        <f ca="1">IF(N(A273)&gt;0,VLOOKUP(A273,Body!$A$4:$F$259,6,0),"")</f>
        <v/>
      </c>
      <c r="I273" s="4" t="str">
        <f ca="1">IF(N(A273)&gt;0,VLOOKUP(A273,Body!$A$4:$F$259,2,0),"")</f>
        <v/>
      </c>
    </row>
    <row r="274" spans="1:9" x14ac:dyDescent="0.4">
      <c r="A274" s="13"/>
      <c r="B274" s="13" t="str">
        <f ca="1">Start.listina!O78</f>
        <v/>
      </c>
      <c r="C274" s="13" t="str">
        <f ca="1">Start.listina!P78</f>
        <v xml:space="preserve"> </v>
      </c>
      <c r="D274" s="13" t="str">
        <f ca="1">Start.listina!Q78</f>
        <v xml:space="preserve"> </v>
      </c>
      <c r="E274" s="13" t="str">
        <f ca="1">Start.listina!R78</f>
        <v xml:space="preserve"> </v>
      </c>
      <c r="F274" s="13"/>
      <c r="G274" s="89"/>
      <c r="H274" s="4"/>
      <c r="I274" s="4"/>
    </row>
    <row r="275" spans="1:9" x14ac:dyDescent="0.4">
      <c r="A275" s="13"/>
      <c r="B275" s="13" t="str">
        <f ca="1">Start.listina!U78</f>
        <v/>
      </c>
      <c r="C275" s="13" t="str">
        <f ca="1">Start.listina!V78</f>
        <v xml:space="preserve"> </v>
      </c>
      <c r="D275" s="13" t="str">
        <f ca="1">Start.listina!W78</f>
        <v xml:space="preserve"> </v>
      </c>
      <c r="E275" s="13" t="str">
        <f ca="1">Start.listina!X78</f>
        <v xml:space="preserve"> </v>
      </c>
      <c r="F275" s="13"/>
      <c r="G275" s="89"/>
      <c r="H275" s="4"/>
      <c r="I275" s="4"/>
    </row>
    <row r="276" spans="1:9" x14ac:dyDescent="0.4">
      <c r="A276" s="13"/>
      <c r="B276" s="13" t="str">
        <f ca="1">Start.listina!AA78</f>
        <v/>
      </c>
      <c r="C276" s="13" t="str">
        <f ca="1">Start.listina!AB78</f>
        <v xml:space="preserve"> </v>
      </c>
      <c r="D276" s="13" t="str">
        <f ca="1">Start.listina!AC78</f>
        <v xml:space="preserve"> </v>
      </c>
      <c r="E276" s="13" t="str">
        <f ca="1">Start.listina!AD78</f>
        <v xml:space="preserve"> </v>
      </c>
      <c r="F276" s="13"/>
      <c r="G276" s="89"/>
      <c r="H276" s="4"/>
      <c r="I276" s="4"/>
    </row>
    <row r="277" spans="1:9" x14ac:dyDescent="0.4">
      <c r="A277" s="13">
        <f ca="1">Start.listina!AH79</f>
        <v>0</v>
      </c>
      <c r="B277" s="13" t="str">
        <f ca="1">Start.listina!I79</f>
        <v/>
      </c>
      <c r="C277" s="195" t="str">
        <f ca="1">Start.listina!J79</f>
        <v xml:space="preserve"> </v>
      </c>
      <c r="D277" s="13" t="str">
        <f ca="1">Start.listina!K79</f>
        <v xml:space="preserve"> </v>
      </c>
      <c r="E277" s="13" t="str">
        <f ca="1">Start.listina!L79</f>
        <v xml:space="preserve"> </v>
      </c>
      <c r="F277" s="13"/>
      <c r="G277" s="89" t="str">
        <f ca="1">IF(N(A277)&gt;0,VLOOKUP(A277,Body!$A$4:$F$259,5,0),"")</f>
        <v/>
      </c>
      <c r="H277" s="4" t="str">
        <f ca="1">IF(N(A277)&gt;0,VLOOKUP(A277,Body!$A$4:$F$259,6,0),"")</f>
        <v/>
      </c>
      <c r="I277" s="4" t="str">
        <f ca="1">IF(N(A277)&gt;0,VLOOKUP(A277,Body!$A$4:$F$259,2,0),"")</f>
        <v/>
      </c>
    </row>
    <row r="278" spans="1:9" x14ac:dyDescent="0.4">
      <c r="A278" s="13"/>
      <c r="B278" s="13" t="str">
        <f ca="1">Start.listina!O79</f>
        <v/>
      </c>
      <c r="C278" s="13" t="str">
        <f ca="1">Start.listina!P79</f>
        <v xml:space="preserve"> </v>
      </c>
      <c r="D278" s="13" t="str">
        <f ca="1">Start.listina!Q79</f>
        <v xml:space="preserve"> </v>
      </c>
      <c r="E278" s="13" t="str">
        <f ca="1">Start.listina!R79</f>
        <v xml:space="preserve"> </v>
      </c>
      <c r="F278" s="13"/>
      <c r="G278" s="89"/>
      <c r="H278" s="4"/>
      <c r="I278" s="4"/>
    </row>
    <row r="279" spans="1:9" x14ac:dyDescent="0.4">
      <c r="A279" s="13"/>
      <c r="B279" s="13" t="str">
        <f ca="1">Start.listina!U79</f>
        <v/>
      </c>
      <c r="C279" s="13" t="str">
        <f ca="1">Start.listina!V79</f>
        <v xml:space="preserve"> </v>
      </c>
      <c r="D279" s="13" t="str">
        <f ca="1">Start.listina!W79</f>
        <v xml:space="preserve"> </v>
      </c>
      <c r="E279" s="13" t="str">
        <f ca="1">Start.listina!X79</f>
        <v xml:space="preserve"> </v>
      </c>
      <c r="F279" s="13"/>
      <c r="G279" s="89"/>
      <c r="H279" s="4"/>
      <c r="I279" s="4"/>
    </row>
    <row r="280" spans="1:9" x14ac:dyDescent="0.4">
      <c r="A280" s="13"/>
      <c r="B280" s="13" t="str">
        <f ca="1">Start.listina!AA79</f>
        <v/>
      </c>
      <c r="C280" s="13" t="str">
        <f ca="1">Start.listina!AB79</f>
        <v xml:space="preserve"> </v>
      </c>
      <c r="D280" s="13" t="str">
        <f ca="1">Start.listina!AC79</f>
        <v xml:space="preserve"> </v>
      </c>
      <c r="E280" s="13" t="str">
        <f ca="1">Start.listina!AD79</f>
        <v xml:space="preserve"> </v>
      </c>
      <c r="F280" s="13"/>
      <c r="G280" s="89"/>
      <c r="H280" s="4"/>
      <c r="I280" s="4"/>
    </row>
    <row r="281" spans="1:9" x14ac:dyDescent="0.4">
      <c r="A281" s="13">
        <f ca="1">Start.listina!AH80</f>
        <v>0</v>
      </c>
      <c r="B281" s="13" t="str">
        <f ca="1">Start.listina!I80</f>
        <v/>
      </c>
      <c r="C281" s="195" t="str">
        <f ca="1">Start.listina!J80</f>
        <v xml:space="preserve"> </v>
      </c>
      <c r="D281" s="13" t="str">
        <f ca="1">Start.listina!K80</f>
        <v xml:space="preserve"> </v>
      </c>
      <c r="E281" s="13" t="str">
        <f ca="1">Start.listina!L80</f>
        <v xml:space="preserve"> </v>
      </c>
      <c r="F281" s="13"/>
      <c r="G281" s="89" t="str">
        <f ca="1">IF(N(A281)&gt;0,VLOOKUP(A281,Body!$A$4:$F$259,5,0),"")</f>
        <v/>
      </c>
      <c r="H281" s="4" t="str">
        <f ca="1">IF(N(A281)&gt;0,VLOOKUP(A281,Body!$A$4:$F$259,6,0),"")</f>
        <v/>
      </c>
      <c r="I281" s="4" t="str">
        <f ca="1">IF(N(A281)&gt;0,VLOOKUP(A281,Body!$A$4:$F$259,2,0),"")</f>
        <v/>
      </c>
    </row>
    <row r="282" spans="1:9" x14ac:dyDescent="0.4">
      <c r="A282" s="13"/>
      <c r="B282" s="13" t="str">
        <f ca="1">Start.listina!O80</f>
        <v/>
      </c>
      <c r="C282" s="13" t="str">
        <f ca="1">Start.listina!P80</f>
        <v xml:space="preserve"> </v>
      </c>
      <c r="D282" s="13" t="str">
        <f ca="1">Start.listina!Q80</f>
        <v xml:space="preserve"> </v>
      </c>
      <c r="E282" s="13" t="str">
        <f ca="1">Start.listina!R80</f>
        <v xml:space="preserve"> </v>
      </c>
      <c r="F282" s="13"/>
      <c r="G282" s="89"/>
      <c r="H282" s="4"/>
      <c r="I282" s="4"/>
    </row>
    <row r="283" spans="1:9" x14ac:dyDescent="0.4">
      <c r="A283" s="13"/>
      <c r="B283" s="13" t="str">
        <f ca="1">Start.listina!U80</f>
        <v/>
      </c>
      <c r="C283" s="13" t="str">
        <f ca="1">Start.listina!V80</f>
        <v xml:space="preserve"> </v>
      </c>
      <c r="D283" s="13" t="str">
        <f ca="1">Start.listina!W80</f>
        <v xml:space="preserve"> </v>
      </c>
      <c r="E283" s="13" t="str">
        <f ca="1">Start.listina!X80</f>
        <v xml:space="preserve"> </v>
      </c>
      <c r="F283" s="13"/>
      <c r="G283" s="89"/>
      <c r="H283" s="4"/>
      <c r="I283" s="4"/>
    </row>
    <row r="284" spans="1:9" x14ac:dyDescent="0.4">
      <c r="A284" s="13"/>
      <c r="B284" s="13" t="str">
        <f ca="1">Start.listina!AA80</f>
        <v/>
      </c>
      <c r="C284" s="13" t="str">
        <f ca="1">Start.listina!AB80</f>
        <v xml:space="preserve"> </v>
      </c>
      <c r="D284" s="13" t="str">
        <f ca="1">Start.listina!AC80</f>
        <v xml:space="preserve"> </v>
      </c>
      <c r="E284" s="13" t="str">
        <f ca="1">Start.listina!AD80</f>
        <v xml:space="preserve"> </v>
      </c>
      <c r="F284" s="13"/>
      <c r="G284" s="89"/>
      <c r="H284" s="4"/>
      <c r="I284" s="4"/>
    </row>
    <row r="285" spans="1:9" x14ac:dyDescent="0.4">
      <c r="A285" s="13">
        <f ca="1">Start.listina!AH81</f>
        <v>0</v>
      </c>
      <c r="B285" s="13" t="str">
        <f ca="1">Start.listina!I81</f>
        <v/>
      </c>
      <c r="C285" s="195" t="str">
        <f ca="1">Start.listina!J81</f>
        <v xml:space="preserve"> </v>
      </c>
      <c r="D285" s="13" t="str">
        <f ca="1">Start.listina!K81</f>
        <v xml:space="preserve"> </v>
      </c>
      <c r="E285" s="13" t="str">
        <f ca="1">Start.listina!L81</f>
        <v xml:space="preserve"> </v>
      </c>
      <c r="F285" s="13"/>
      <c r="G285" s="89" t="str">
        <f ca="1">IF(N(A285)&gt;0,VLOOKUP(A285,Body!$A$4:$F$259,5,0),"")</f>
        <v/>
      </c>
      <c r="H285" s="4" t="str">
        <f ca="1">IF(N(A285)&gt;0,VLOOKUP(A285,Body!$A$4:$F$259,6,0),"")</f>
        <v/>
      </c>
      <c r="I285" s="4" t="str">
        <f ca="1">IF(N(A285)&gt;0,VLOOKUP(A285,Body!$A$4:$F$259,2,0),"")</f>
        <v/>
      </c>
    </row>
    <row r="286" spans="1:9" x14ac:dyDescent="0.4">
      <c r="A286" s="13"/>
      <c r="B286" s="13" t="str">
        <f ca="1">Start.listina!O81</f>
        <v/>
      </c>
      <c r="C286" s="13" t="str">
        <f ca="1">Start.listina!P81</f>
        <v xml:space="preserve"> </v>
      </c>
      <c r="D286" s="13" t="str">
        <f ca="1">Start.listina!Q81</f>
        <v xml:space="preserve"> </v>
      </c>
      <c r="E286" s="13" t="str">
        <f ca="1">Start.listina!R81</f>
        <v xml:space="preserve"> </v>
      </c>
      <c r="F286" s="13"/>
      <c r="G286" s="89"/>
      <c r="H286" s="4"/>
      <c r="I286" s="4"/>
    </row>
    <row r="287" spans="1:9" x14ac:dyDescent="0.4">
      <c r="A287" s="13"/>
      <c r="B287" s="13" t="str">
        <f ca="1">Start.listina!U81</f>
        <v/>
      </c>
      <c r="C287" s="13" t="str">
        <f ca="1">Start.listina!V81</f>
        <v xml:space="preserve"> </v>
      </c>
      <c r="D287" s="13" t="str">
        <f ca="1">Start.listina!W81</f>
        <v xml:space="preserve"> </v>
      </c>
      <c r="E287" s="13" t="str">
        <f ca="1">Start.listina!X81</f>
        <v xml:space="preserve"> </v>
      </c>
      <c r="F287" s="13"/>
      <c r="G287" s="89"/>
      <c r="H287" s="4"/>
      <c r="I287" s="4"/>
    </row>
    <row r="288" spans="1:9" x14ac:dyDescent="0.4">
      <c r="A288" s="13"/>
      <c r="B288" s="13" t="str">
        <f ca="1">Start.listina!AA81</f>
        <v/>
      </c>
      <c r="C288" s="13" t="str">
        <f ca="1">Start.listina!AB81</f>
        <v xml:space="preserve"> </v>
      </c>
      <c r="D288" s="13" t="str">
        <f ca="1">Start.listina!AC81</f>
        <v xml:space="preserve"> </v>
      </c>
      <c r="E288" s="13" t="str">
        <f ca="1">Start.listina!AD81</f>
        <v xml:space="preserve"> </v>
      </c>
      <c r="F288" s="13"/>
      <c r="G288" s="89"/>
      <c r="H288" s="4"/>
      <c r="I288" s="4"/>
    </row>
    <row r="289" spans="1:9" x14ac:dyDescent="0.4">
      <c r="A289" s="13">
        <f ca="1">Start.listina!AH82</f>
        <v>0</v>
      </c>
      <c r="B289" s="13" t="str">
        <f ca="1">Start.listina!I82</f>
        <v/>
      </c>
      <c r="C289" s="195" t="str">
        <f ca="1">Start.listina!J82</f>
        <v xml:space="preserve"> </v>
      </c>
      <c r="D289" s="13" t="str">
        <f ca="1">Start.listina!K82</f>
        <v xml:space="preserve"> </v>
      </c>
      <c r="E289" s="13" t="str">
        <f ca="1">Start.listina!L82</f>
        <v xml:space="preserve"> </v>
      </c>
      <c r="F289" s="13"/>
      <c r="G289" s="89" t="str">
        <f ca="1">IF(N(A289)&gt;0,VLOOKUP(A289,Body!$A$4:$F$259,5,0),"")</f>
        <v/>
      </c>
      <c r="H289" s="4" t="str">
        <f ca="1">IF(N(A289)&gt;0,VLOOKUP(A289,Body!$A$4:$F$259,6,0),"")</f>
        <v/>
      </c>
      <c r="I289" s="4" t="str">
        <f ca="1">IF(N(A289)&gt;0,VLOOKUP(A289,Body!$A$4:$F$259,2,0),"")</f>
        <v/>
      </c>
    </row>
    <row r="290" spans="1:9" x14ac:dyDescent="0.4">
      <c r="A290" s="13"/>
      <c r="B290" s="13" t="str">
        <f ca="1">Start.listina!O82</f>
        <v/>
      </c>
      <c r="C290" s="13" t="str">
        <f ca="1">Start.listina!P82</f>
        <v xml:space="preserve"> </v>
      </c>
      <c r="D290" s="13" t="str">
        <f ca="1">Start.listina!Q82</f>
        <v xml:space="preserve"> </v>
      </c>
      <c r="E290" s="13" t="str">
        <f ca="1">Start.listina!R82</f>
        <v xml:space="preserve"> </v>
      </c>
      <c r="F290" s="13"/>
      <c r="G290" s="89"/>
      <c r="H290" s="4"/>
      <c r="I290" s="4"/>
    </row>
    <row r="291" spans="1:9" x14ac:dyDescent="0.4">
      <c r="A291" s="13"/>
      <c r="B291" s="13" t="str">
        <f ca="1">Start.listina!U82</f>
        <v/>
      </c>
      <c r="C291" s="13" t="str">
        <f ca="1">Start.listina!V82</f>
        <v xml:space="preserve"> </v>
      </c>
      <c r="D291" s="13" t="str">
        <f ca="1">Start.listina!W82</f>
        <v xml:space="preserve"> </v>
      </c>
      <c r="E291" s="13" t="str">
        <f ca="1">Start.listina!X82</f>
        <v xml:space="preserve"> </v>
      </c>
      <c r="F291" s="13"/>
      <c r="G291" s="89"/>
      <c r="H291" s="4"/>
      <c r="I291" s="4"/>
    </row>
    <row r="292" spans="1:9" x14ac:dyDescent="0.4">
      <c r="A292" s="13"/>
      <c r="B292" s="13" t="str">
        <f ca="1">Start.listina!AA82</f>
        <v/>
      </c>
      <c r="C292" s="13" t="str">
        <f ca="1">Start.listina!AB82</f>
        <v xml:space="preserve"> </v>
      </c>
      <c r="D292" s="13" t="str">
        <f ca="1">Start.listina!AC82</f>
        <v xml:space="preserve"> </v>
      </c>
      <c r="E292" s="13" t="str">
        <f ca="1">Start.listina!AD82</f>
        <v xml:space="preserve"> </v>
      </c>
      <c r="F292" s="13"/>
      <c r="G292" s="89"/>
      <c r="H292" s="4"/>
      <c r="I292" s="4"/>
    </row>
    <row r="293" spans="1:9" x14ac:dyDescent="0.4">
      <c r="A293" s="13">
        <f ca="1">Start.listina!AH83</f>
        <v>0</v>
      </c>
      <c r="B293" s="13" t="str">
        <f ca="1">Start.listina!I83</f>
        <v/>
      </c>
      <c r="C293" s="195" t="str">
        <f ca="1">Start.listina!J83</f>
        <v xml:space="preserve"> </v>
      </c>
      <c r="D293" s="13" t="str">
        <f ca="1">Start.listina!K83</f>
        <v xml:space="preserve"> </v>
      </c>
      <c r="E293" s="13" t="str">
        <f ca="1">Start.listina!L83</f>
        <v xml:space="preserve"> </v>
      </c>
      <c r="F293" s="13"/>
      <c r="G293" s="89" t="str">
        <f ca="1">IF(N(A293)&gt;0,VLOOKUP(A293,Body!$A$4:$F$259,5,0),"")</f>
        <v/>
      </c>
      <c r="H293" s="4" t="str">
        <f ca="1">IF(N(A293)&gt;0,VLOOKUP(A293,Body!$A$4:$F$259,6,0),"")</f>
        <v/>
      </c>
      <c r="I293" s="4" t="str">
        <f ca="1">IF(N(A293)&gt;0,VLOOKUP(A293,Body!$A$4:$F$259,2,0),"")</f>
        <v/>
      </c>
    </row>
    <row r="294" spans="1:9" x14ac:dyDescent="0.4">
      <c r="A294" s="13"/>
      <c r="B294" s="13" t="str">
        <f ca="1">Start.listina!O83</f>
        <v/>
      </c>
      <c r="C294" s="13" t="str">
        <f ca="1">Start.listina!P83</f>
        <v xml:space="preserve"> </v>
      </c>
      <c r="D294" s="13" t="str">
        <f ca="1">Start.listina!Q83</f>
        <v xml:space="preserve"> </v>
      </c>
      <c r="E294" s="13" t="str">
        <f ca="1">Start.listina!R83</f>
        <v xml:space="preserve"> </v>
      </c>
      <c r="F294" s="13"/>
      <c r="G294" s="89"/>
      <c r="H294" s="4"/>
      <c r="I294" s="4"/>
    </row>
    <row r="295" spans="1:9" x14ac:dyDescent="0.4">
      <c r="A295" s="13"/>
      <c r="B295" s="13" t="str">
        <f ca="1">Start.listina!U83</f>
        <v/>
      </c>
      <c r="C295" s="13" t="str">
        <f ca="1">Start.listina!V83</f>
        <v xml:space="preserve"> </v>
      </c>
      <c r="D295" s="13" t="str">
        <f ca="1">Start.listina!W83</f>
        <v xml:space="preserve"> </v>
      </c>
      <c r="E295" s="13" t="str">
        <f ca="1">Start.listina!X83</f>
        <v xml:space="preserve"> </v>
      </c>
      <c r="F295" s="13"/>
      <c r="G295" s="89"/>
      <c r="H295" s="4"/>
      <c r="I295" s="4"/>
    </row>
    <row r="296" spans="1:9" x14ac:dyDescent="0.4">
      <c r="A296" s="13"/>
      <c r="B296" s="13" t="str">
        <f ca="1">Start.listina!AA83</f>
        <v/>
      </c>
      <c r="C296" s="13" t="str">
        <f ca="1">Start.listina!AB83</f>
        <v xml:space="preserve"> </v>
      </c>
      <c r="D296" s="13" t="str">
        <f ca="1">Start.listina!AC83</f>
        <v xml:space="preserve"> </v>
      </c>
      <c r="E296" s="13" t="str">
        <f ca="1">Start.listina!AD83</f>
        <v xml:space="preserve"> </v>
      </c>
      <c r="F296" s="13"/>
      <c r="G296" s="89"/>
      <c r="H296" s="4"/>
      <c r="I296" s="4"/>
    </row>
    <row r="297" spans="1:9" x14ac:dyDescent="0.4">
      <c r="A297" s="13">
        <f ca="1">Start.listina!AH84</f>
        <v>0</v>
      </c>
      <c r="B297" s="13" t="str">
        <f ca="1">Start.listina!I84</f>
        <v/>
      </c>
      <c r="C297" s="195" t="str">
        <f ca="1">Start.listina!J84</f>
        <v xml:space="preserve"> </v>
      </c>
      <c r="D297" s="13" t="str">
        <f ca="1">Start.listina!K84</f>
        <v xml:space="preserve"> </v>
      </c>
      <c r="E297" s="13" t="str">
        <f ca="1">Start.listina!L84</f>
        <v xml:space="preserve"> </v>
      </c>
      <c r="F297" s="13"/>
      <c r="G297" s="89" t="str">
        <f ca="1">IF(N(A297)&gt;0,VLOOKUP(A297,Body!$A$4:$F$259,5,0),"")</f>
        <v/>
      </c>
      <c r="H297" s="4" t="str">
        <f ca="1">IF(N(A297)&gt;0,VLOOKUP(A297,Body!$A$4:$F$259,6,0),"")</f>
        <v/>
      </c>
      <c r="I297" s="4" t="str">
        <f ca="1">IF(N(A297)&gt;0,VLOOKUP(A297,Body!$A$4:$F$259,2,0),"")</f>
        <v/>
      </c>
    </row>
    <row r="298" spans="1:9" x14ac:dyDescent="0.4">
      <c r="A298" s="13"/>
      <c r="B298" s="13" t="str">
        <f ca="1">Start.listina!O84</f>
        <v/>
      </c>
      <c r="C298" s="13" t="str">
        <f ca="1">Start.listina!P84</f>
        <v xml:space="preserve"> </v>
      </c>
      <c r="D298" s="13" t="str">
        <f ca="1">Start.listina!Q84</f>
        <v xml:space="preserve"> </v>
      </c>
      <c r="E298" s="13" t="str">
        <f ca="1">Start.listina!R84</f>
        <v xml:space="preserve"> </v>
      </c>
      <c r="F298" s="13"/>
      <c r="G298" s="89"/>
      <c r="H298" s="4"/>
      <c r="I298" s="4"/>
    </row>
    <row r="299" spans="1:9" x14ac:dyDescent="0.4">
      <c r="A299" s="13"/>
      <c r="B299" s="13" t="str">
        <f ca="1">Start.listina!U84</f>
        <v/>
      </c>
      <c r="C299" s="13" t="str">
        <f ca="1">Start.listina!V84</f>
        <v xml:space="preserve"> </v>
      </c>
      <c r="D299" s="13" t="str">
        <f ca="1">Start.listina!W84</f>
        <v xml:space="preserve"> </v>
      </c>
      <c r="E299" s="13" t="str">
        <f ca="1">Start.listina!X84</f>
        <v xml:space="preserve"> </v>
      </c>
      <c r="F299" s="13"/>
      <c r="G299" s="89"/>
      <c r="H299" s="4"/>
      <c r="I299" s="4"/>
    </row>
    <row r="300" spans="1:9" x14ac:dyDescent="0.4">
      <c r="A300" s="13"/>
      <c r="B300" s="13" t="str">
        <f ca="1">Start.listina!AA84</f>
        <v/>
      </c>
      <c r="C300" s="13" t="str">
        <f ca="1">Start.listina!AB84</f>
        <v xml:space="preserve"> </v>
      </c>
      <c r="D300" s="13" t="str">
        <f ca="1">Start.listina!AC84</f>
        <v xml:space="preserve"> </v>
      </c>
      <c r="E300" s="13" t="str">
        <f ca="1">Start.listina!AD84</f>
        <v xml:space="preserve"> </v>
      </c>
      <c r="F300" s="13"/>
      <c r="G300" s="89"/>
      <c r="H300" s="4"/>
      <c r="I300" s="4"/>
    </row>
    <row r="301" spans="1:9" x14ac:dyDescent="0.4">
      <c r="A301" s="13">
        <f ca="1">Start.listina!AH85</f>
        <v>0</v>
      </c>
      <c r="B301" s="13" t="str">
        <f ca="1">Start.listina!I85</f>
        <v/>
      </c>
      <c r="C301" s="195" t="str">
        <f ca="1">Start.listina!J85</f>
        <v xml:space="preserve"> </v>
      </c>
      <c r="D301" s="13" t="str">
        <f ca="1">Start.listina!K85</f>
        <v xml:space="preserve"> </v>
      </c>
      <c r="E301" s="13" t="str">
        <f ca="1">Start.listina!L85</f>
        <v xml:space="preserve"> </v>
      </c>
      <c r="F301" s="13"/>
      <c r="G301" s="89" t="str">
        <f ca="1">IF(N(A301)&gt;0,VLOOKUP(A301,Body!$A$4:$F$259,5,0),"")</f>
        <v/>
      </c>
      <c r="H301" s="4" t="str">
        <f ca="1">IF(N(A301)&gt;0,VLOOKUP(A301,Body!$A$4:$F$259,6,0),"")</f>
        <v/>
      </c>
      <c r="I301" s="4" t="str">
        <f ca="1">IF(N(A301)&gt;0,VLOOKUP(A301,Body!$A$4:$F$259,2,0),"")</f>
        <v/>
      </c>
    </row>
    <row r="302" spans="1:9" x14ac:dyDescent="0.4">
      <c r="A302" s="13"/>
      <c r="B302" s="13" t="str">
        <f ca="1">Start.listina!O85</f>
        <v/>
      </c>
      <c r="C302" s="13" t="str">
        <f ca="1">Start.listina!P85</f>
        <v xml:space="preserve"> </v>
      </c>
      <c r="D302" s="13" t="str">
        <f ca="1">Start.listina!Q85</f>
        <v xml:space="preserve"> </v>
      </c>
      <c r="E302" s="13" t="str">
        <f ca="1">Start.listina!R85</f>
        <v xml:space="preserve"> </v>
      </c>
      <c r="F302" s="13"/>
      <c r="G302" s="89"/>
      <c r="H302" s="4"/>
      <c r="I302" s="4"/>
    </row>
    <row r="303" spans="1:9" x14ac:dyDescent="0.4">
      <c r="A303" s="13"/>
      <c r="B303" s="13" t="str">
        <f ca="1">Start.listina!U85</f>
        <v/>
      </c>
      <c r="C303" s="13" t="str">
        <f ca="1">Start.listina!V85</f>
        <v xml:space="preserve"> </v>
      </c>
      <c r="D303" s="13" t="str">
        <f ca="1">Start.listina!W85</f>
        <v xml:space="preserve"> </v>
      </c>
      <c r="E303" s="13" t="str">
        <f ca="1">Start.listina!X85</f>
        <v xml:space="preserve"> </v>
      </c>
      <c r="F303" s="13"/>
      <c r="G303" s="89"/>
      <c r="H303" s="4"/>
      <c r="I303" s="4"/>
    </row>
    <row r="304" spans="1:9" x14ac:dyDescent="0.4">
      <c r="A304" s="13"/>
      <c r="B304" s="13" t="str">
        <f ca="1">Start.listina!AA85</f>
        <v/>
      </c>
      <c r="C304" s="13" t="str">
        <f ca="1">Start.listina!AB85</f>
        <v xml:space="preserve"> </v>
      </c>
      <c r="D304" s="13" t="str">
        <f ca="1">Start.listina!AC85</f>
        <v xml:space="preserve"> </v>
      </c>
      <c r="E304" s="13" t="str">
        <f ca="1">Start.listina!AD85</f>
        <v xml:space="preserve"> </v>
      </c>
      <c r="F304" s="13"/>
      <c r="G304" s="89"/>
      <c r="H304" s="4"/>
      <c r="I304" s="4"/>
    </row>
    <row r="305" spans="1:9" x14ac:dyDescent="0.4">
      <c r="A305" s="13">
        <f ca="1">Start.listina!AH86</f>
        <v>0</v>
      </c>
      <c r="B305" s="13" t="str">
        <f ca="1">Start.listina!I86</f>
        <v/>
      </c>
      <c r="C305" s="195" t="str">
        <f ca="1">Start.listina!J86</f>
        <v xml:space="preserve"> </v>
      </c>
      <c r="D305" s="13" t="str">
        <f ca="1">Start.listina!K86</f>
        <v xml:space="preserve"> </v>
      </c>
      <c r="E305" s="13" t="str">
        <f ca="1">Start.listina!L86</f>
        <v xml:space="preserve"> </v>
      </c>
      <c r="F305" s="13"/>
      <c r="G305" s="89" t="str">
        <f ca="1">IF(N(A305)&gt;0,VLOOKUP(A305,Body!$A$4:$F$259,5,0),"")</f>
        <v/>
      </c>
      <c r="H305" s="4" t="str">
        <f ca="1">IF(N(A305)&gt;0,VLOOKUP(A305,Body!$A$4:$F$259,6,0),"")</f>
        <v/>
      </c>
      <c r="I305" s="4" t="str">
        <f ca="1">IF(N(A305)&gt;0,VLOOKUP(A305,Body!$A$4:$F$259,2,0),"")</f>
        <v/>
      </c>
    </row>
    <row r="306" spans="1:9" x14ac:dyDescent="0.4">
      <c r="A306" s="13"/>
      <c r="B306" s="13" t="str">
        <f ca="1">Start.listina!O86</f>
        <v/>
      </c>
      <c r="C306" s="13" t="str">
        <f ca="1">Start.listina!P86</f>
        <v xml:space="preserve"> </v>
      </c>
      <c r="D306" s="13" t="str">
        <f ca="1">Start.listina!Q86</f>
        <v xml:space="preserve"> </v>
      </c>
      <c r="E306" s="13" t="str">
        <f ca="1">Start.listina!R86</f>
        <v xml:space="preserve"> </v>
      </c>
      <c r="F306" s="13"/>
      <c r="G306" s="89"/>
      <c r="H306" s="4"/>
      <c r="I306" s="4"/>
    </row>
    <row r="307" spans="1:9" x14ac:dyDescent="0.4">
      <c r="A307" s="13"/>
      <c r="B307" s="13" t="str">
        <f ca="1">Start.listina!U86</f>
        <v/>
      </c>
      <c r="C307" s="13" t="str">
        <f ca="1">Start.listina!V86</f>
        <v xml:space="preserve"> </v>
      </c>
      <c r="D307" s="13" t="str">
        <f ca="1">Start.listina!W86</f>
        <v xml:space="preserve"> </v>
      </c>
      <c r="E307" s="13" t="str">
        <f ca="1">Start.listina!X86</f>
        <v xml:space="preserve"> </v>
      </c>
      <c r="F307" s="13"/>
      <c r="G307" s="89"/>
      <c r="H307" s="4"/>
      <c r="I307" s="4"/>
    </row>
    <row r="308" spans="1:9" x14ac:dyDescent="0.4">
      <c r="A308" s="13"/>
      <c r="B308" s="13" t="str">
        <f ca="1">Start.listina!AA86</f>
        <v/>
      </c>
      <c r="C308" s="13" t="str">
        <f ca="1">Start.listina!AB86</f>
        <v xml:space="preserve"> </v>
      </c>
      <c r="D308" s="13" t="str">
        <f ca="1">Start.listina!AC86</f>
        <v xml:space="preserve"> </v>
      </c>
      <c r="E308" s="13" t="str">
        <f ca="1">Start.listina!AD86</f>
        <v xml:space="preserve"> </v>
      </c>
      <c r="F308" s="13"/>
      <c r="G308" s="89"/>
      <c r="H308" s="4"/>
      <c r="I308" s="4"/>
    </row>
    <row r="309" spans="1:9" x14ac:dyDescent="0.4">
      <c r="A309" s="13">
        <f ca="1">Start.listina!AH87</f>
        <v>0</v>
      </c>
      <c r="B309" s="13" t="str">
        <f ca="1">Start.listina!I87</f>
        <v/>
      </c>
      <c r="C309" s="195" t="str">
        <f ca="1">Start.listina!J87</f>
        <v xml:space="preserve"> </v>
      </c>
      <c r="D309" s="13" t="str">
        <f ca="1">Start.listina!K87</f>
        <v xml:space="preserve"> </v>
      </c>
      <c r="E309" s="13" t="str">
        <f ca="1">Start.listina!L87</f>
        <v xml:space="preserve"> </v>
      </c>
      <c r="F309" s="13"/>
      <c r="G309" s="89" t="str">
        <f ca="1">IF(N(A309)&gt;0,VLOOKUP(A309,Body!$A$4:$F$259,5,0),"")</f>
        <v/>
      </c>
      <c r="H309" s="4" t="str">
        <f ca="1">IF(N(A309)&gt;0,VLOOKUP(A309,Body!$A$4:$F$259,6,0),"")</f>
        <v/>
      </c>
      <c r="I309" s="4" t="str">
        <f ca="1">IF(N(A309)&gt;0,VLOOKUP(A309,Body!$A$4:$F$259,2,0),"")</f>
        <v/>
      </c>
    </row>
    <row r="310" spans="1:9" x14ac:dyDescent="0.4">
      <c r="A310" s="13"/>
      <c r="B310" s="13" t="str">
        <f ca="1">Start.listina!O87</f>
        <v/>
      </c>
      <c r="C310" s="13" t="str">
        <f ca="1">Start.listina!P87</f>
        <v xml:space="preserve"> </v>
      </c>
      <c r="D310" s="13" t="str">
        <f ca="1">Start.listina!Q87</f>
        <v xml:space="preserve"> </v>
      </c>
      <c r="E310" s="13" t="str">
        <f ca="1">Start.listina!R87</f>
        <v xml:space="preserve"> </v>
      </c>
      <c r="F310" s="13"/>
      <c r="G310" s="89"/>
      <c r="H310" s="4"/>
      <c r="I310" s="4"/>
    </row>
    <row r="311" spans="1:9" x14ac:dyDescent="0.4">
      <c r="A311" s="13"/>
      <c r="B311" s="13" t="str">
        <f ca="1">Start.listina!U87</f>
        <v/>
      </c>
      <c r="C311" s="13" t="str">
        <f ca="1">Start.listina!V87</f>
        <v xml:space="preserve"> </v>
      </c>
      <c r="D311" s="13" t="str">
        <f ca="1">Start.listina!W87</f>
        <v xml:space="preserve"> </v>
      </c>
      <c r="E311" s="13" t="str">
        <f ca="1">Start.listina!X87</f>
        <v xml:space="preserve"> </v>
      </c>
      <c r="F311" s="13"/>
      <c r="G311" s="89"/>
      <c r="H311" s="4"/>
      <c r="I311" s="4"/>
    </row>
    <row r="312" spans="1:9" x14ac:dyDescent="0.4">
      <c r="A312" s="13"/>
      <c r="B312" s="13" t="str">
        <f ca="1">Start.listina!AA87</f>
        <v/>
      </c>
      <c r="C312" s="13" t="str">
        <f ca="1">Start.listina!AB87</f>
        <v xml:space="preserve"> </v>
      </c>
      <c r="D312" s="13" t="str">
        <f ca="1">Start.listina!AC87</f>
        <v xml:space="preserve"> </v>
      </c>
      <c r="E312" s="13" t="str">
        <f ca="1">Start.listina!AD87</f>
        <v xml:space="preserve"> </v>
      </c>
      <c r="F312" s="13"/>
      <c r="G312" s="89"/>
      <c r="H312" s="4"/>
      <c r="I312" s="4"/>
    </row>
    <row r="313" spans="1:9" x14ac:dyDescent="0.4">
      <c r="A313" s="13">
        <f ca="1">Start.listina!AH88</f>
        <v>0</v>
      </c>
      <c r="B313" s="13" t="str">
        <f ca="1">Start.listina!I88</f>
        <v/>
      </c>
      <c r="C313" s="195" t="str">
        <f ca="1">Start.listina!J88</f>
        <v xml:space="preserve"> </v>
      </c>
      <c r="D313" s="13" t="str">
        <f ca="1">Start.listina!K88</f>
        <v xml:space="preserve"> </v>
      </c>
      <c r="E313" s="13" t="str">
        <f ca="1">Start.listina!L88</f>
        <v xml:space="preserve"> </v>
      </c>
      <c r="F313" s="13"/>
      <c r="G313" s="89" t="str">
        <f ca="1">IF(N(A313)&gt;0,VLOOKUP(A313,Body!$A$4:$F$259,5,0),"")</f>
        <v/>
      </c>
      <c r="H313" s="4" t="str">
        <f ca="1">IF(N(A313)&gt;0,VLOOKUP(A313,Body!$A$4:$F$259,6,0),"")</f>
        <v/>
      </c>
      <c r="I313" s="4" t="str">
        <f ca="1">IF(N(A313)&gt;0,VLOOKUP(A313,Body!$A$4:$F$259,2,0),"")</f>
        <v/>
      </c>
    </row>
    <row r="314" spans="1:9" x14ac:dyDescent="0.4">
      <c r="A314" s="13"/>
      <c r="B314" s="13" t="str">
        <f ca="1">Start.listina!O88</f>
        <v/>
      </c>
      <c r="C314" s="13" t="str">
        <f ca="1">Start.listina!P88</f>
        <v xml:space="preserve"> </v>
      </c>
      <c r="D314" s="13" t="str">
        <f ca="1">Start.listina!Q88</f>
        <v xml:space="preserve"> </v>
      </c>
      <c r="E314" s="13" t="str">
        <f ca="1">Start.listina!R88</f>
        <v xml:space="preserve"> </v>
      </c>
      <c r="F314" s="13"/>
      <c r="G314" s="89"/>
      <c r="H314" s="4"/>
      <c r="I314" s="4"/>
    </row>
    <row r="315" spans="1:9" x14ac:dyDescent="0.4">
      <c r="A315" s="13"/>
      <c r="B315" s="13" t="str">
        <f ca="1">Start.listina!U88</f>
        <v/>
      </c>
      <c r="C315" s="13" t="str">
        <f ca="1">Start.listina!V88</f>
        <v xml:space="preserve"> </v>
      </c>
      <c r="D315" s="13" t="str">
        <f ca="1">Start.listina!W88</f>
        <v xml:space="preserve"> </v>
      </c>
      <c r="E315" s="13" t="str">
        <f ca="1">Start.listina!X88</f>
        <v xml:space="preserve"> </v>
      </c>
      <c r="F315" s="13"/>
      <c r="G315" s="89"/>
      <c r="H315" s="4"/>
      <c r="I315" s="4"/>
    </row>
    <row r="316" spans="1:9" x14ac:dyDescent="0.4">
      <c r="A316" s="13"/>
      <c r="B316" s="13" t="str">
        <f ca="1">Start.listina!AA88</f>
        <v/>
      </c>
      <c r="C316" s="13" t="str">
        <f ca="1">Start.listina!AB88</f>
        <v xml:space="preserve"> </v>
      </c>
      <c r="D316" s="13" t="str">
        <f ca="1">Start.listina!AC88</f>
        <v xml:space="preserve"> </v>
      </c>
      <c r="E316" s="13" t="str">
        <f ca="1">Start.listina!AD88</f>
        <v xml:space="preserve"> </v>
      </c>
      <c r="F316" s="13"/>
      <c r="G316" s="89"/>
      <c r="H316" s="4"/>
      <c r="I316" s="4"/>
    </row>
    <row r="317" spans="1:9" x14ac:dyDescent="0.4">
      <c r="A317" s="13">
        <f ca="1">Start.listina!AH89</f>
        <v>0</v>
      </c>
      <c r="B317" s="13" t="str">
        <f ca="1">Start.listina!I89</f>
        <v/>
      </c>
      <c r="C317" s="195" t="str">
        <f ca="1">Start.listina!J89</f>
        <v xml:space="preserve"> </v>
      </c>
      <c r="D317" s="13" t="str">
        <f ca="1">Start.listina!K89</f>
        <v xml:space="preserve"> </v>
      </c>
      <c r="E317" s="13" t="str">
        <f ca="1">Start.listina!L89</f>
        <v xml:space="preserve"> </v>
      </c>
      <c r="F317" s="13"/>
      <c r="G317" s="89" t="str">
        <f ca="1">IF(N(A317)&gt;0,VLOOKUP(A317,Body!$A$4:$F$259,5,0),"")</f>
        <v/>
      </c>
      <c r="H317" s="4" t="str">
        <f ca="1">IF(N(A317)&gt;0,VLOOKUP(A317,Body!$A$4:$F$259,6,0),"")</f>
        <v/>
      </c>
      <c r="I317" s="4" t="str">
        <f ca="1">IF(N(A317)&gt;0,VLOOKUP(A317,Body!$A$4:$F$259,2,0),"")</f>
        <v/>
      </c>
    </row>
    <row r="318" spans="1:9" x14ac:dyDescent="0.4">
      <c r="A318" s="13"/>
      <c r="B318" s="13" t="str">
        <f ca="1">Start.listina!O89</f>
        <v/>
      </c>
      <c r="C318" s="13" t="str">
        <f ca="1">Start.listina!P89</f>
        <v xml:space="preserve"> </v>
      </c>
      <c r="D318" s="13" t="str">
        <f ca="1">Start.listina!Q89</f>
        <v xml:space="preserve"> </v>
      </c>
      <c r="E318" s="13" t="str">
        <f ca="1">Start.listina!R89</f>
        <v xml:space="preserve"> </v>
      </c>
      <c r="F318" s="13"/>
      <c r="G318" s="89"/>
      <c r="H318" s="4"/>
      <c r="I318" s="4"/>
    </row>
    <row r="319" spans="1:9" x14ac:dyDescent="0.4">
      <c r="A319" s="13"/>
      <c r="B319" s="13" t="str">
        <f ca="1">Start.listina!U89</f>
        <v/>
      </c>
      <c r="C319" s="13" t="str">
        <f ca="1">Start.listina!V89</f>
        <v xml:space="preserve"> </v>
      </c>
      <c r="D319" s="13" t="str">
        <f ca="1">Start.listina!W89</f>
        <v xml:space="preserve"> </v>
      </c>
      <c r="E319" s="13" t="str">
        <f ca="1">Start.listina!X89</f>
        <v xml:space="preserve"> </v>
      </c>
      <c r="F319" s="13"/>
      <c r="G319" s="89"/>
      <c r="H319" s="4"/>
      <c r="I319" s="4"/>
    </row>
    <row r="320" spans="1:9" x14ac:dyDescent="0.4">
      <c r="A320" s="13"/>
      <c r="B320" s="13" t="str">
        <f ca="1">Start.listina!AA89</f>
        <v/>
      </c>
      <c r="C320" s="13" t="str">
        <f ca="1">Start.listina!AB89</f>
        <v xml:space="preserve"> </v>
      </c>
      <c r="D320" s="13" t="str">
        <f ca="1">Start.listina!AC89</f>
        <v xml:space="preserve"> </v>
      </c>
      <c r="E320" s="13" t="str">
        <f ca="1">Start.listina!AD89</f>
        <v xml:space="preserve"> </v>
      </c>
      <c r="F320" s="13"/>
      <c r="G320" s="89"/>
      <c r="H320" s="4"/>
      <c r="I320" s="4"/>
    </row>
    <row r="321" spans="1:9" x14ac:dyDescent="0.4">
      <c r="A321" s="13">
        <f ca="1">Start.listina!AH90</f>
        <v>0</v>
      </c>
      <c r="B321" s="13" t="str">
        <f ca="1">Start.listina!I90</f>
        <v/>
      </c>
      <c r="C321" s="195" t="str">
        <f ca="1">Start.listina!J90</f>
        <v xml:space="preserve"> </v>
      </c>
      <c r="D321" s="13" t="str">
        <f ca="1">Start.listina!K90</f>
        <v xml:space="preserve"> </v>
      </c>
      <c r="E321" s="13" t="str">
        <f ca="1">Start.listina!L90</f>
        <v xml:space="preserve"> </v>
      </c>
      <c r="F321" s="13"/>
      <c r="G321" s="89" t="str">
        <f ca="1">IF(N(A321)&gt;0,VLOOKUP(A321,Body!$A$4:$F$259,5,0),"")</f>
        <v/>
      </c>
      <c r="H321" s="4" t="str">
        <f ca="1">IF(N(A321)&gt;0,VLOOKUP(A321,Body!$A$4:$F$259,6,0),"")</f>
        <v/>
      </c>
      <c r="I321" s="4" t="str">
        <f ca="1">IF(N(A321)&gt;0,VLOOKUP(A321,Body!$A$4:$F$259,2,0),"")</f>
        <v/>
      </c>
    </row>
    <row r="322" spans="1:9" x14ac:dyDescent="0.4">
      <c r="A322" s="13"/>
      <c r="B322" s="13" t="str">
        <f ca="1">Start.listina!O90</f>
        <v/>
      </c>
      <c r="C322" s="13" t="str">
        <f ca="1">Start.listina!P90</f>
        <v xml:space="preserve"> </v>
      </c>
      <c r="D322" s="13" t="str">
        <f ca="1">Start.listina!Q90</f>
        <v xml:space="preserve"> </v>
      </c>
      <c r="E322" s="13" t="str">
        <f ca="1">Start.listina!R90</f>
        <v xml:space="preserve"> </v>
      </c>
      <c r="F322" s="13"/>
      <c r="G322" s="89"/>
      <c r="H322" s="4"/>
      <c r="I322" s="4"/>
    </row>
    <row r="323" spans="1:9" x14ac:dyDescent="0.4">
      <c r="A323" s="13"/>
      <c r="B323" s="13" t="str">
        <f ca="1">Start.listina!U90</f>
        <v/>
      </c>
      <c r="C323" s="13" t="str">
        <f ca="1">Start.listina!V90</f>
        <v xml:space="preserve"> </v>
      </c>
      <c r="D323" s="13" t="str">
        <f ca="1">Start.listina!W90</f>
        <v xml:space="preserve"> </v>
      </c>
      <c r="E323" s="13" t="str">
        <f ca="1">Start.listina!X90</f>
        <v xml:space="preserve"> </v>
      </c>
      <c r="F323" s="13"/>
      <c r="G323" s="89"/>
      <c r="H323" s="4"/>
      <c r="I323" s="4"/>
    </row>
    <row r="324" spans="1:9" x14ac:dyDescent="0.4">
      <c r="A324" s="13"/>
      <c r="B324" s="13" t="str">
        <f ca="1">Start.listina!AA90</f>
        <v/>
      </c>
      <c r="C324" s="13" t="str">
        <f ca="1">Start.listina!AB90</f>
        <v xml:space="preserve"> </v>
      </c>
      <c r="D324" s="13" t="str">
        <f ca="1">Start.listina!AC90</f>
        <v xml:space="preserve"> </v>
      </c>
      <c r="E324" s="13" t="str">
        <f ca="1">Start.listina!AD90</f>
        <v xml:space="preserve"> </v>
      </c>
      <c r="F324" s="13"/>
      <c r="G324" s="89"/>
      <c r="H324" s="4"/>
      <c r="I324" s="4"/>
    </row>
    <row r="325" spans="1:9" x14ac:dyDescent="0.4">
      <c r="A325" s="13">
        <f ca="1">Start.listina!AH91</f>
        <v>0</v>
      </c>
      <c r="B325" s="13" t="str">
        <f ca="1">Start.listina!I91</f>
        <v/>
      </c>
      <c r="C325" s="195" t="str">
        <f ca="1">Start.listina!J91</f>
        <v xml:space="preserve"> </v>
      </c>
      <c r="D325" s="13" t="str">
        <f ca="1">Start.listina!K91</f>
        <v xml:space="preserve"> </v>
      </c>
      <c r="E325" s="13" t="str">
        <f ca="1">Start.listina!L91</f>
        <v xml:space="preserve"> </v>
      </c>
      <c r="F325" s="13"/>
      <c r="G325" s="89" t="str">
        <f ca="1">IF(N(A325)&gt;0,VLOOKUP(A325,Body!$A$4:$F$259,5,0),"")</f>
        <v/>
      </c>
      <c r="H325" s="4" t="str">
        <f ca="1">IF(N(A325)&gt;0,VLOOKUP(A325,Body!$A$4:$F$259,6,0),"")</f>
        <v/>
      </c>
      <c r="I325" s="4" t="str">
        <f ca="1">IF(N(A325)&gt;0,VLOOKUP(A325,Body!$A$4:$F$259,2,0),"")</f>
        <v/>
      </c>
    </row>
    <row r="326" spans="1:9" x14ac:dyDescent="0.4">
      <c r="A326" s="13"/>
      <c r="B326" s="13" t="str">
        <f ca="1">Start.listina!O91</f>
        <v/>
      </c>
      <c r="C326" s="13" t="str">
        <f ca="1">Start.listina!P91</f>
        <v xml:space="preserve"> </v>
      </c>
      <c r="D326" s="13" t="str">
        <f ca="1">Start.listina!Q91</f>
        <v xml:space="preserve"> </v>
      </c>
      <c r="E326" s="13" t="str">
        <f ca="1">Start.listina!R91</f>
        <v xml:space="preserve"> </v>
      </c>
      <c r="F326" s="13"/>
      <c r="G326" s="89"/>
      <c r="H326" s="4"/>
      <c r="I326" s="4"/>
    </row>
    <row r="327" spans="1:9" x14ac:dyDescent="0.4">
      <c r="A327" s="13"/>
      <c r="B327" s="13" t="str">
        <f ca="1">Start.listina!U91</f>
        <v/>
      </c>
      <c r="C327" s="13" t="str">
        <f ca="1">Start.listina!V91</f>
        <v xml:space="preserve"> </v>
      </c>
      <c r="D327" s="13" t="str">
        <f ca="1">Start.listina!W91</f>
        <v xml:space="preserve"> </v>
      </c>
      <c r="E327" s="13" t="str">
        <f ca="1">Start.listina!X91</f>
        <v xml:space="preserve"> </v>
      </c>
      <c r="F327" s="13"/>
      <c r="G327" s="89"/>
      <c r="H327" s="4"/>
      <c r="I327" s="4"/>
    </row>
    <row r="328" spans="1:9" x14ac:dyDescent="0.4">
      <c r="A328" s="13"/>
      <c r="B328" s="13" t="str">
        <f ca="1">Start.listina!AA91</f>
        <v/>
      </c>
      <c r="C328" s="13" t="str">
        <f ca="1">Start.listina!AB91</f>
        <v xml:space="preserve"> </v>
      </c>
      <c r="D328" s="13" t="str">
        <f ca="1">Start.listina!AC91</f>
        <v xml:space="preserve"> </v>
      </c>
      <c r="E328" s="13" t="str">
        <f ca="1">Start.listina!AD91</f>
        <v xml:space="preserve"> </v>
      </c>
      <c r="F328" s="13"/>
      <c r="G328" s="89"/>
      <c r="H328" s="4"/>
      <c r="I328" s="4"/>
    </row>
    <row r="329" spans="1:9" x14ac:dyDescent="0.4">
      <c r="A329" s="13">
        <f ca="1">Start.listina!AH92</f>
        <v>0</v>
      </c>
      <c r="B329" s="13" t="str">
        <f ca="1">Start.listina!I92</f>
        <v/>
      </c>
      <c r="C329" s="195" t="str">
        <f ca="1">Start.listina!J92</f>
        <v xml:space="preserve"> </v>
      </c>
      <c r="D329" s="13" t="str">
        <f ca="1">Start.listina!K92</f>
        <v xml:space="preserve"> </v>
      </c>
      <c r="E329" s="13" t="str">
        <f ca="1">Start.listina!L92</f>
        <v xml:space="preserve"> </v>
      </c>
      <c r="F329" s="13"/>
      <c r="G329" s="89" t="str">
        <f ca="1">IF(N(A329)&gt;0,VLOOKUP(A329,Body!$A$4:$F$259,5,0),"")</f>
        <v/>
      </c>
      <c r="H329" s="4" t="str">
        <f ca="1">IF(N(A329)&gt;0,VLOOKUP(A329,Body!$A$4:$F$259,6,0),"")</f>
        <v/>
      </c>
      <c r="I329" s="4" t="str">
        <f ca="1">IF(N(A329)&gt;0,VLOOKUP(A329,Body!$A$4:$F$259,2,0),"")</f>
        <v/>
      </c>
    </row>
    <row r="330" spans="1:9" x14ac:dyDescent="0.4">
      <c r="A330" s="13"/>
      <c r="B330" s="13" t="str">
        <f ca="1">Start.listina!O92</f>
        <v/>
      </c>
      <c r="C330" s="13" t="str">
        <f ca="1">Start.listina!P92</f>
        <v xml:space="preserve"> </v>
      </c>
      <c r="D330" s="13" t="str">
        <f ca="1">Start.listina!Q92</f>
        <v xml:space="preserve"> </v>
      </c>
      <c r="E330" s="13" t="str">
        <f ca="1">Start.listina!R92</f>
        <v xml:space="preserve"> </v>
      </c>
      <c r="F330" s="13"/>
      <c r="G330" s="89"/>
      <c r="H330" s="4"/>
      <c r="I330" s="4"/>
    </row>
    <row r="331" spans="1:9" x14ac:dyDescent="0.4">
      <c r="A331" s="13"/>
      <c r="B331" s="13" t="str">
        <f ca="1">Start.listina!U92</f>
        <v/>
      </c>
      <c r="C331" s="13" t="str">
        <f ca="1">Start.listina!V92</f>
        <v xml:space="preserve"> </v>
      </c>
      <c r="D331" s="13" t="str">
        <f ca="1">Start.listina!W92</f>
        <v xml:space="preserve"> </v>
      </c>
      <c r="E331" s="13" t="str">
        <f ca="1">Start.listina!X92</f>
        <v xml:space="preserve"> </v>
      </c>
      <c r="F331" s="13"/>
      <c r="G331" s="89"/>
      <c r="H331" s="4"/>
      <c r="I331" s="4"/>
    </row>
    <row r="332" spans="1:9" x14ac:dyDescent="0.4">
      <c r="A332" s="13"/>
      <c r="B332" s="13" t="str">
        <f ca="1">Start.listina!AA92</f>
        <v/>
      </c>
      <c r="C332" s="13" t="str">
        <f ca="1">Start.listina!AB92</f>
        <v xml:space="preserve"> </v>
      </c>
      <c r="D332" s="13" t="str">
        <f ca="1">Start.listina!AC92</f>
        <v xml:space="preserve"> </v>
      </c>
      <c r="E332" s="13" t="str">
        <f ca="1">Start.listina!AD92</f>
        <v xml:space="preserve"> </v>
      </c>
      <c r="F332" s="13"/>
      <c r="G332" s="89"/>
      <c r="H332" s="4"/>
      <c r="I332" s="4"/>
    </row>
    <row r="333" spans="1:9" x14ac:dyDescent="0.4">
      <c r="A333" s="13">
        <f ca="1">Start.listina!AH93</f>
        <v>0</v>
      </c>
      <c r="B333" s="13" t="str">
        <f ca="1">Start.listina!I93</f>
        <v/>
      </c>
      <c r="C333" s="195" t="str">
        <f ca="1">Start.listina!J93</f>
        <v xml:space="preserve"> </v>
      </c>
      <c r="D333" s="13" t="str">
        <f ca="1">Start.listina!K93</f>
        <v xml:space="preserve"> </v>
      </c>
      <c r="E333" s="13" t="str">
        <f ca="1">Start.listina!L93</f>
        <v xml:space="preserve"> </v>
      </c>
      <c r="F333" s="13"/>
      <c r="G333" s="89" t="str">
        <f ca="1">IF(N(A333)&gt;0,VLOOKUP(A333,Body!$A$4:$F$259,5,0),"")</f>
        <v/>
      </c>
      <c r="H333" s="4" t="str">
        <f ca="1">IF(N(A333)&gt;0,VLOOKUP(A333,Body!$A$4:$F$259,6,0),"")</f>
        <v/>
      </c>
      <c r="I333" s="4" t="str">
        <f ca="1">IF(N(A333)&gt;0,VLOOKUP(A333,Body!$A$4:$F$259,2,0),"")</f>
        <v/>
      </c>
    </row>
    <row r="334" spans="1:9" x14ac:dyDescent="0.4">
      <c r="A334" s="13"/>
      <c r="B334" s="13" t="str">
        <f ca="1">Start.listina!O93</f>
        <v/>
      </c>
      <c r="C334" s="13" t="str">
        <f ca="1">Start.listina!P93</f>
        <v xml:space="preserve"> </v>
      </c>
      <c r="D334" s="13" t="str">
        <f ca="1">Start.listina!Q93</f>
        <v xml:space="preserve"> </v>
      </c>
      <c r="E334" s="13" t="str">
        <f ca="1">Start.listina!R93</f>
        <v xml:space="preserve"> </v>
      </c>
      <c r="F334" s="13"/>
      <c r="G334" s="89"/>
      <c r="H334" s="4"/>
      <c r="I334" s="4"/>
    </row>
    <row r="335" spans="1:9" x14ac:dyDescent="0.4">
      <c r="A335" s="13"/>
      <c r="B335" s="13" t="str">
        <f ca="1">Start.listina!U93</f>
        <v/>
      </c>
      <c r="C335" s="13" t="str">
        <f ca="1">Start.listina!V93</f>
        <v xml:space="preserve"> </v>
      </c>
      <c r="D335" s="13" t="str">
        <f ca="1">Start.listina!W93</f>
        <v xml:space="preserve"> </v>
      </c>
      <c r="E335" s="13" t="str">
        <f ca="1">Start.listina!X93</f>
        <v xml:space="preserve"> </v>
      </c>
      <c r="F335" s="13"/>
      <c r="G335" s="89"/>
      <c r="H335" s="4"/>
      <c r="I335" s="4"/>
    </row>
    <row r="336" spans="1:9" x14ac:dyDescent="0.4">
      <c r="A336" s="13"/>
      <c r="B336" s="13" t="str">
        <f ca="1">Start.listina!AA93</f>
        <v/>
      </c>
      <c r="C336" s="13" t="str">
        <f ca="1">Start.listina!AB93</f>
        <v xml:space="preserve"> </v>
      </c>
      <c r="D336" s="13" t="str">
        <f ca="1">Start.listina!AC93</f>
        <v xml:space="preserve"> </v>
      </c>
      <c r="E336" s="13" t="str">
        <f ca="1">Start.listina!AD93</f>
        <v xml:space="preserve"> </v>
      </c>
      <c r="F336" s="13"/>
      <c r="G336" s="89"/>
      <c r="H336" s="4"/>
      <c r="I336" s="4"/>
    </row>
    <row r="337" spans="1:9" x14ac:dyDescent="0.4">
      <c r="A337" s="13">
        <f ca="1">Start.listina!AH94</f>
        <v>0</v>
      </c>
      <c r="B337" s="13" t="str">
        <f ca="1">Start.listina!I94</f>
        <v/>
      </c>
      <c r="C337" s="195" t="str">
        <f ca="1">Start.listina!J94</f>
        <v xml:space="preserve"> </v>
      </c>
      <c r="D337" s="13" t="str">
        <f ca="1">Start.listina!K94</f>
        <v xml:space="preserve"> </v>
      </c>
      <c r="E337" s="13" t="str">
        <f ca="1">Start.listina!L94</f>
        <v xml:space="preserve"> </v>
      </c>
      <c r="F337" s="13"/>
      <c r="G337" s="89" t="str">
        <f ca="1">IF(N(A337)&gt;0,VLOOKUP(A337,Body!$A$4:$F$259,5,0),"")</f>
        <v/>
      </c>
      <c r="H337" s="4" t="str">
        <f ca="1">IF(N(A337)&gt;0,VLOOKUP(A337,Body!$A$4:$F$259,6,0),"")</f>
        <v/>
      </c>
      <c r="I337" s="4" t="str">
        <f ca="1">IF(N(A337)&gt;0,VLOOKUP(A337,Body!$A$4:$F$259,2,0),"")</f>
        <v/>
      </c>
    </row>
    <row r="338" spans="1:9" x14ac:dyDescent="0.4">
      <c r="A338" s="13"/>
      <c r="B338" s="13" t="str">
        <f ca="1">Start.listina!O94</f>
        <v/>
      </c>
      <c r="C338" s="13" t="str">
        <f ca="1">Start.listina!P94</f>
        <v xml:space="preserve"> </v>
      </c>
      <c r="D338" s="13" t="str">
        <f ca="1">Start.listina!Q94</f>
        <v xml:space="preserve"> </v>
      </c>
      <c r="E338" s="13" t="str">
        <f ca="1">Start.listina!R94</f>
        <v xml:space="preserve"> </v>
      </c>
      <c r="F338" s="13"/>
      <c r="G338" s="89"/>
      <c r="H338" s="4"/>
      <c r="I338" s="4"/>
    </row>
    <row r="339" spans="1:9" x14ac:dyDescent="0.4">
      <c r="A339" s="13"/>
      <c r="B339" s="13" t="str">
        <f ca="1">Start.listina!U94</f>
        <v/>
      </c>
      <c r="C339" s="13" t="str">
        <f ca="1">Start.listina!V94</f>
        <v xml:space="preserve"> </v>
      </c>
      <c r="D339" s="13" t="str">
        <f ca="1">Start.listina!W94</f>
        <v xml:space="preserve"> </v>
      </c>
      <c r="E339" s="13" t="str">
        <f ca="1">Start.listina!X94</f>
        <v xml:space="preserve"> </v>
      </c>
      <c r="F339" s="13"/>
      <c r="G339" s="89"/>
      <c r="H339" s="4"/>
      <c r="I339" s="4"/>
    </row>
    <row r="340" spans="1:9" x14ac:dyDescent="0.4">
      <c r="A340" s="13"/>
      <c r="B340" s="13" t="str">
        <f ca="1">Start.listina!AA94</f>
        <v/>
      </c>
      <c r="C340" s="13" t="str">
        <f ca="1">Start.listina!AB94</f>
        <v xml:space="preserve"> </v>
      </c>
      <c r="D340" s="13" t="str">
        <f ca="1">Start.listina!AC94</f>
        <v xml:space="preserve"> </v>
      </c>
      <c r="E340" s="13" t="str">
        <f ca="1">Start.listina!AD94</f>
        <v xml:space="preserve"> </v>
      </c>
      <c r="F340" s="13"/>
      <c r="G340" s="89"/>
      <c r="H340" s="4"/>
      <c r="I340" s="4"/>
    </row>
    <row r="341" spans="1:9" x14ac:dyDescent="0.4">
      <c r="A341" s="13">
        <f ca="1">Start.listina!AH95</f>
        <v>0</v>
      </c>
      <c r="B341" s="13" t="str">
        <f ca="1">Start.listina!I95</f>
        <v/>
      </c>
      <c r="C341" s="195" t="str">
        <f ca="1">Start.listina!J95</f>
        <v xml:space="preserve"> </v>
      </c>
      <c r="D341" s="13" t="str">
        <f ca="1">Start.listina!K95</f>
        <v xml:space="preserve"> </v>
      </c>
      <c r="E341" s="13" t="str">
        <f ca="1">Start.listina!L95</f>
        <v xml:space="preserve"> </v>
      </c>
      <c r="F341" s="13"/>
      <c r="G341" s="89" t="str">
        <f ca="1">IF(N(A341)&gt;0,VLOOKUP(A341,Body!$A$4:$F$259,5,0),"")</f>
        <v/>
      </c>
      <c r="H341" s="4" t="str">
        <f ca="1">IF(N(A341)&gt;0,VLOOKUP(A341,Body!$A$4:$F$259,6,0),"")</f>
        <v/>
      </c>
      <c r="I341" s="4" t="str">
        <f ca="1">IF(N(A341)&gt;0,VLOOKUP(A341,Body!$A$4:$F$259,2,0),"")</f>
        <v/>
      </c>
    </row>
    <row r="342" spans="1:9" x14ac:dyDescent="0.4">
      <c r="A342" s="13"/>
      <c r="B342" s="13" t="str">
        <f ca="1">Start.listina!O95</f>
        <v/>
      </c>
      <c r="C342" s="13" t="str">
        <f ca="1">Start.listina!P95</f>
        <v xml:space="preserve"> </v>
      </c>
      <c r="D342" s="13" t="str">
        <f ca="1">Start.listina!Q95</f>
        <v xml:space="preserve"> </v>
      </c>
      <c r="E342" s="13" t="str">
        <f ca="1">Start.listina!R95</f>
        <v xml:space="preserve"> </v>
      </c>
      <c r="F342" s="13"/>
      <c r="G342" s="89"/>
      <c r="H342" s="4"/>
      <c r="I342" s="4"/>
    </row>
    <row r="343" spans="1:9" x14ac:dyDescent="0.4">
      <c r="A343" s="13"/>
      <c r="B343" s="13" t="str">
        <f ca="1">Start.listina!U95</f>
        <v/>
      </c>
      <c r="C343" s="13" t="str">
        <f ca="1">Start.listina!V95</f>
        <v xml:space="preserve"> </v>
      </c>
      <c r="D343" s="13" t="str">
        <f ca="1">Start.listina!W95</f>
        <v xml:space="preserve"> </v>
      </c>
      <c r="E343" s="13" t="str">
        <f ca="1">Start.listina!X95</f>
        <v xml:space="preserve"> </v>
      </c>
      <c r="F343" s="13"/>
      <c r="G343" s="89"/>
      <c r="H343" s="4"/>
      <c r="I343" s="4"/>
    </row>
    <row r="344" spans="1:9" x14ac:dyDescent="0.4">
      <c r="A344" s="13"/>
      <c r="B344" s="13" t="str">
        <f ca="1">Start.listina!AA95</f>
        <v/>
      </c>
      <c r="C344" s="13" t="str">
        <f ca="1">Start.listina!AB95</f>
        <v xml:space="preserve"> </v>
      </c>
      <c r="D344" s="13" t="str">
        <f ca="1">Start.listina!AC95</f>
        <v xml:space="preserve"> </v>
      </c>
      <c r="E344" s="13" t="str">
        <f ca="1">Start.listina!AD95</f>
        <v xml:space="preserve"> </v>
      </c>
      <c r="F344" s="13"/>
      <c r="G344" s="89"/>
      <c r="H344" s="4"/>
      <c r="I344" s="4"/>
    </row>
    <row r="345" spans="1:9" x14ac:dyDescent="0.4">
      <c r="A345" s="13">
        <f ca="1">Start.listina!AH96</f>
        <v>0</v>
      </c>
      <c r="B345" s="13" t="str">
        <f ca="1">Start.listina!I96</f>
        <v/>
      </c>
      <c r="C345" s="195" t="str">
        <f ca="1">Start.listina!J96</f>
        <v xml:space="preserve"> </v>
      </c>
      <c r="D345" s="13" t="str">
        <f ca="1">Start.listina!K96</f>
        <v xml:space="preserve"> </v>
      </c>
      <c r="E345" s="13" t="str">
        <f ca="1">Start.listina!L96</f>
        <v xml:space="preserve"> </v>
      </c>
      <c r="F345" s="13"/>
      <c r="G345" s="89" t="str">
        <f ca="1">IF(N(A345)&gt;0,VLOOKUP(A345,Body!$A$4:$F$259,5,0),"")</f>
        <v/>
      </c>
      <c r="H345" s="4" t="str">
        <f ca="1">IF(N(A345)&gt;0,VLOOKUP(A345,Body!$A$4:$F$259,6,0),"")</f>
        <v/>
      </c>
      <c r="I345" s="4" t="str">
        <f ca="1">IF(N(A345)&gt;0,VLOOKUP(A345,Body!$A$4:$F$259,2,0),"")</f>
        <v/>
      </c>
    </row>
    <row r="346" spans="1:9" x14ac:dyDescent="0.4">
      <c r="A346" s="13"/>
      <c r="B346" s="13" t="str">
        <f ca="1">Start.listina!O96</f>
        <v/>
      </c>
      <c r="C346" s="13" t="str">
        <f ca="1">Start.listina!P96</f>
        <v xml:space="preserve"> </v>
      </c>
      <c r="D346" s="13" t="str">
        <f ca="1">Start.listina!Q96</f>
        <v xml:space="preserve"> </v>
      </c>
      <c r="E346" s="13" t="str">
        <f ca="1">Start.listina!R96</f>
        <v xml:space="preserve"> </v>
      </c>
      <c r="F346" s="13"/>
      <c r="G346" s="89"/>
      <c r="H346" s="4"/>
      <c r="I346" s="4"/>
    </row>
    <row r="347" spans="1:9" x14ac:dyDescent="0.4">
      <c r="A347" s="13"/>
      <c r="B347" s="13" t="str">
        <f ca="1">Start.listina!U96</f>
        <v/>
      </c>
      <c r="C347" s="13" t="str">
        <f ca="1">Start.listina!V96</f>
        <v xml:space="preserve"> </v>
      </c>
      <c r="D347" s="13" t="str">
        <f ca="1">Start.listina!W96</f>
        <v xml:space="preserve"> </v>
      </c>
      <c r="E347" s="13" t="str">
        <f ca="1">Start.listina!X96</f>
        <v xml:space="preserve"> </v>
      </c>
      <c r="F347" s="13"/>
      <c r="G347" s="89"/>
      <c r="H347" s="4"/>
      <c r="I347" s="4"/>
    </row>
    <row r="348" spans="1:9" x14ac:dyDescent="0.4">
      <c r="A348" s="13"/>
      <c r="B348" s="13" t="str">
        <f ca="1">Start.listina!AA96</f>
        <v/>
      </c>
      <c r="C348" s="13" t="str">
        <f ca="1">Start.listina!AB96</f>
        <v xml:space="preserve"> </v>
      </c>
      <c r="D348" s="13" t="str">
        <f ca="1">Start.listina!AC96</f>
        <v xml:space="preserve"> </v>
      </c>
      <c r="E348" s="13" t="str">
        <f ca="1">Start.listina!AD96</f>
        <v xml:space="preserve"> </v>
      </c>
      <c r="F348" s="13"/>
      <c r="G348" s="89"/>
      <c r="H348" s="4"/>
      <c r="I348" s="4"/>
    </row>
    <row r="349" spans="1:9" x14ac:dyDescent="0.4">
      <c r="A349" s="13">
        <f ca="1">Start.listina!AH97</f>
        <v>0</v>
      </c>
      <c r="B349" s="13" t="str">
        <f ca="1">Start.listina!I97</f>
        <v/>
      </c>
      <c r="C349" s="195" t="str">
        <f ca="1">Start.listina!J97</f>
        <v xml:space="preserve"> </v>
      </c>
      <c r="D349" s="13" t="str">
        <f ca="1">Start.listina!K97</f>
        <v xml:space="preserve"> </v>
      </c>
      <c r="E349" s="13" t="str">
        <f ca="1">Start.listina!L97</f>
        <v xml:space="preserve"> </v>
      </c>
      <c r="F349" s="13"/>
      <c r="G349" s="89" t="str">
        <f ca="1">IF(N(A349)&gt;0,VLOOKUP(A349,Body!$A$4:$F$259,5,0),"")</f>
        <v/>
      </c>
      <c r="H349" s="4" t="str">
        <f ca="1">IF(N(A349)&gt;0,VLOOKUP(A349,Body!$A$4:$F$259,6,0),"")</f>
        <v/>
      </c>
      <c r="I349" s="4" t="str">
        <f ca="1">IF(N(A349)&gt;0,VLOOKUP(A349,Body!$A$4:$F$259,2,0),"")</f>
        <v/>
      </c>
    </row>
    <row r="350" spans="1:9" x14ac:dyDescent="0.4">
      <c r="A350" s="13"/>
      <c r="B350" s="13" t="str">
        <f ca="1">Start.listina!O97</f>
        <v/>
      </c>
      <c r="C350" s="13" t="str">
        <f ca="1">Start.listina!P97</f>
        <v xml:space="preserve"> </v>
      </c>
      <c r="D350" s="13" t="str">
        <f ca="1">Start.listina!Q97</f>
        <v xml:space="preserve"> </v>
      </c>
      <c r="E350" s="13" t="str">
        <f ca="1">Start.listina!R97</f>
        <v xml:space="preserve"> </v>
      </c>
      <c r="F350" s="13"/>
      <c r="G350" s="89"/>
      <c r="H350" s="4"/>
      <c r="I350" s="4"/>
    </row>
    <row r="351" spans="1:9" x14ac:dyDescent="0.4">
      <c r="A351" s="13"/>
      <c r="B351" s="13" t="str">
        <f ca="1">Start.listina!U97</f>
        <v/>
      </c>
      <c r="C351" s="13" t="str">
        <f ca="1">Start.listina!V97</f>
        <v xml:space="preserve"> </v>
      </c>
      <c r="D351" s="13" t="str">
        <f ca="1">Start.listina!W97</f>
        <v xml:space="preserve"> </v>
      </c>
      <c r="E351" s="13" t="str">
        <f ca="1">Start.listina!X97</f>
        <v xml:space="preserve"> </v>
      </c>
      <c r="F351" s="13"/>
      <c r="G351" s="89"/>
      <c r="H351" s="4"/>
      <c r="I351" s="4"/>
    </row>
    <row r="352" spans="1:9" x14ac:dyDescent="0.4">
      <c r="A352" s="13"/>
      <c r="B352" s="13" t="str">
        <f ca="1">Start.listina!AA97</f>
        <v/>
      </c>
      <c r="C352" s="13" t="str">
        <f ca="1">Start.listina!AB97</f>
        <v xml:space="preserve"> </v>
      </c>
      <c r="D352" s="13" t="str">
        <f ca="1">Start.listina!AC97</f>
        <v xml:space="preserve"> </v>
      </c>
      <c r="E352" s="13" t="str">
        <f ca="1">Start.listina!AD97</f>
        <v xml:space="preserve"> </v>
      </c>
      <c r="F352" s="13"/>
      <c r="G352" s="89"/>
      <c r="H352" s="4"/>
      <c r="I352" s="4"/>
    </row>
    <row r="353" spans="1:9" x14ac:dyDescent="0.4">
      <c r="A353" s="13">
        <f ca="1">Start.listina!AH98</f>
        <v>0</v>
      </c>
      <c r="B353" s="13" t="str">
        <f ca="1">Start.listina!I98</f>
        <v/>
      </c>
      <c r="C353" s="195" t="str">
        <f ca="1">Start.listina!J98</f>
        <v xml:space="preserve"> </v>
      </c>
      <c r="D353" s="13" t="str">
        <f ca="1">Start.listina!K98</f>
        <v xml:space="preserve"> </v>
      </c>
      <c r="E353" s="13" t="str">
        <f ca="1">Start.listina!L98</f>
        <v xml:space="preserve"> </v>
      </c>
      <c r="F353" s="13"/>
      <c r="G353" s="89" t="str">
        <f ca="1">IF(N(A353)&gt;0,VLOOKUP(A353,Body!$A$4:$F$259,5,0),"")</f>
        <v/>
      </c>
      <c r="H353" s="4" t="str">
        <f ca="1">IF(N(A353)&gt;0,VLOOKUP(A353,Body!$A$4:$F$259,6,0),"")</f>
        <v/>
      </c>
      <c r="I353" s="4" t="str">
        <f ca="1">IF(N(A353)&gt;0,VLOOKUP(A353,Body!$A$4:$F$259,2,0),"")</f>
        <v/>
      </c>
    </row>
    <row r="354" spans="1:9" x14ac:dyDescent="0.4">
      <c r="A354" s="13"/>
      <c r="B354" s="13" t="str">
        <f ca="1">Start.listina!O98</f>
        <v/>
      </c>
      <c r="C354" s="13" t="str">
        <f ca="1">Start.listina!P98</f>
        <v xml:space="preserve"> </v>
      </c>
      <c r="D354" s="13" t="str">
        <f ca="1">Start.listina!Q98</f>
        <v xml:space="preserve"> </v>
      </c>
      <c r="E354" s="13" t="str">
        <f ca="1">Start.listina!R98</f>
        <v xml:space="preserve"> </v>
      </c>
      <c r="F354" s="13"/>
      <c r="G354" s="89"/>
      <c r="H354" s="4"/>
      <c r="I354" s="4"/>
    </row>
    <row r="355" spans="1:9" x14ac:dyDescent="0.4">
      <c r="A355" s="13"/>
      <c r="B355" s="13" t="str">
        <f ca="1">Start.listina!U98</f>
        <v/>
      </c>
      <c r="C355" s="13" t="str">
        <f ca="1">Start.listina!V98</f>
        <v xml:space="preserve"> </v>
      </c>
      <c r="D355" s="13" t="str">
        <f ca="1">Start.listina!W98</f>
        <v xml:space="preserve"> </v>
      </c>
      <c r="E355" s="13" t="str">
        <f ca="1">Start.listina!X98</f>
        <v xml:space="preserve"> </v>
      </c>
      <c r="F355" s="13"/>
      <c r="G355" s="89"/>
      <c r="H355" s="4"/>
      <c r="I355" s="4"/>
    </row>
    <row r="356" spans="1:9" x14ac:dyDescent="0.4">
      <c r="A356" s="13"/>
      <c r="B356" s="13" t="str">
        <f ca="1">Start.listina!AA98</f>
        <v/>
      </c>
      <c r="C356" s="13" t="str">
        <f ca="1">Start.listina!AB98</f>
        <v xml:space="preserve"> </v>
      </c>
      <c r="D356" s="13" t="str">
        <f ca="1">Start.listina!AC98</f>
        <v xml:space="preserve"> </v>
      </c>
      <c r="E356" s="13" t="str">
        <f ca="1">Start.listina!AD98</f>
        <v xml:space="preserve"> </v>
      </c>
      <c r="F356" s="13"/>
      <c r="G356" s="89"/>
      <c r="H356" s="4"/>
      <c r="I356" s="4"/>
    </row>
    <row r="357" spans="1:9" x14ac:dyDescent="0.4">
      <c r="A357" s="13">
        <f ca="1">Start.listina!AH99</f>
        <v>0</v>
      </c>
      <c r="B357" s="13" t="str">
        <f ca="1">Start.listina!I99</f>
        <v/>
      </c>
      <c r="C357" s="195" t="str">
        <f ca="1">Start.listina!J99</f>
        <v xml:space="preserve"> </v>
      </c>
      <c r="D357" s="13" t="str">
        <f ca="1">Start.listina!K99</f>
        <v xml:space="preserve"> </v>
      </c>
      <c r="E357" s="13" t="str">
        <f ca="1">Start.listina!L99</f>
        <v xml:space="preserve"> </v>
      </c>
      <c r="F357" s="13"/>
      <c r="G357" s="89" t="str">
        <f ca="1">IF(N(A357)&gt;0,VLOOKUP(A357,Body!$A$4:$F$259,5,0),"")</f>
        <v/>
      </c>
      <c r="H357" s="4" t="str">
        <f ca="1">IF(N(A357)&gt;0,VLOOKUP(A357,Body!$A$4:$F$259,6,0),"")</f>
        <v/>
      </c>
      <c r="I357" s="4" t="str">
        <f ca="1">IF(N(A357)&gt;0,VLOOKUP(A357,Body!$A$4:$F$259,2,0),"")</f>
        <v/>
      </c>
    </row>
    <row r="358" spans="1:9" x14ac:dyDescent="0.4">
      <c r="A358" s="13"/>
      <c r="B358" s="13" t="str">
        <f ca="1">Start.listina!O99</f>
        <v/>
      </c>
      <c r="C358" s="13" t="str">
        <f ca="1">Start.listina!P99</f>
        <v xml:space="preserve"> </v>
      </c>
      <c r="D358" s="13" t="str">
        <f ca="1">Start.listina!Q99</f>
        <v xml:space="preserve"> </v>
      </c>
      <c r="E358" s="13" t="str">
        <f ca="1">Start.listina!R99</f>
        <v xml:space="preserve"> </v>
      </c>
      <c r="F358" s="13"/>
      <c r="G358" s="89"/>
      <c r="H358" s="4"/>
      <c r="I358" s="4"/>
    </row>
    <row r="359" spans="1:9" x14ac:dyDescent="0.4">
      <c r="A359" s="13"/>
      <c r="B359" s="13" t="str">
        <f ca="1">Start.listina!U99</f>
        <v/>
      </c>
      <c r="C359" s="13" t="str">
        <f ca="1">Start.listina!V99</f>
        <v xml:space="preserve"> </v>
      </c>
      <c r="D359" s="13" t="str">
        <f ca="1">Start.listina!W99</f>
        <v xml:space="preserve"> </v>
      </c>
      <c r="E359" s="13" t="str">
        <f ca="1">Start.listina!X99</f>
        <v xml:space="preserve"> </v>
      </c>
      <c r="F359" s="13"/>
      <c r="G359" s="89"/>
      <c r="H359" s="4"/>
      <c r="I359" s="4"/>
    </row>
    <row r="360" spans="1:9" x14ac:dyDescent="0.4">
      <c r="A360" s="13"/>
      <c r="B360" s="13" t="str">
        <f ca="1">Start.listina!AA99</f>
        <v/>
      </c>
      <c r="C360" s="13" t="str">
        <f ca="1">Start.listina!AB99</f>
        <v xml:space="preserve"> </v>
      </c>
      <c r="D360" s="13" t="str">
        <f ca="1">Start.listina!AC99</f>
        <v xml:space="preserve"> </v>
      </c>
      <c r="E360" s="13" t="str">
        <f ca="1">Start.listina!AD99</f>
        <v xml:space="preserve"> </v>
      </c>
      <c r="F360" s="13"/>
      <c r="G360" s="89"/>
      <c r="H360" s="4"/>
      <c r="I360" s="4"/>
    </row>
    <row r="361" spans="1:9" x14ac:dyDescent="0.4">
      <c r="A361" s="13">
        <f ca="1">Start.listina!AH100</f>
        <v>0</v>
      </c>
      <c r="B361" s="13" t="str">
        <f ca="1">Start.listina!I100</f>
        <v/>
      </c>
      <c r="C361" s="195" t="str">
        <f ca="1">Start.listina!J100</f>
        <v xml:space="preserve"> </v>
      </c>
      <c r="D361" s="13" t="str">
        <f ca="1">Start.listina!K100</f>
        <v xml:space="preserve"> </v>
      </c>
      <c r="E361" s="13" t="str">
        <f ca="1">Start.listina!L100</f>
        <v xml:space="preserve"> </v>
      </c>
      <c r="F361" s="13"/>
      <c r="G361" s="89" t="str">
        <f ca="1">IF(N(A361)&gt;0,VLOOKUP(A361,Body!$A$4:$F$259,5,0),"")</f>
        <v/>
      </c>
      <c r="H361" s="4" t="str">
        <f ca="1">IF(N(A361)&gt;0,VLOOKUP(A361,Body!$A$4:$F$259,6,0),"")</f>
        <v/>
      </c>
      <c r="I361" s="4" t="str">
        <f ca="1">IF(N(A361)&gt;0,VLOOKUP(A361,Body!$A$4:$F$259,2,0),"")</f>
        <v/>
      </c>
    </row>
    <row r="362" spans="1:9" x14ac:dyDescent="0.4">
      <c r="A362" s="13"/>
      <c r="B362" s="13" t="str">
        <f ca="1">Start.listina!O100</f>
        <v/>
      </c>
      <c r="C362" s="13" t="str">
        <f ca="1">Start.listina!P100</f>
        <v xml:space="preserve"> </v>
      </c>
      <c r="D362" s="13" t="str">
        <f ca="1">Start.listina!Q100</f>
        <v xml:space="preserve"> </v>
      </c>
      <c r="E362" s="13" t="str">
        <f ca="1">Start.listina!R100</f>
        <v xml:space="preserve"> </v>
      </c>
      <c r="F362" s="13"/>
      <c r="G362" s="89"/>
      <c r="H362" s="4"/>
      <c r="I362" s="4"/>
    </row>
    <row r="363" spans="1:9" x14ac:dyDescent="0.4">
      <c r="A363" s="13"/>
      <c r="B363" s="13" t="str">
        <f ca="1">Start.listina!U100</f>
        <v/>
      </c>
      <c r="C363" s="13" t="str">
        <f ca="1">Start.listina!V100</f>
        <v xml:space="preserve"> </v>
      </c>
      <c r="D363" s="13" t="str">
        <f ca="1">Start.listina!W100</f>
        <v xml:space="preserve"> </v>
      </c>
      <c r="E363" s="13" t="str">
        <f ca="1">Start.listina!X100</f>
        <v xml:space="preserve"> </v>
      </c>
      <c r="F363" s="13"/>
      <c r="G363" s="89"/>
      <c r="H363" s="4"/>
      <c r="I363" s="4"/>
    </row>
    <row r="364" spans="1:9" x14ac:dyDescent="0.4">
      <c r="A364" s="13"/>
      <c r="B364" s="13" t="str">
        <f ca="1">Start.listina!AA100</f>
        <v/>
      </c>
      <c r="C364" s="13" t="str">
        <f ca="1">Start.listina!AB100</f>
        <v xml:space="preserve"> </v>
      </c>
      <c r="D364" s="13" t="str">
        <f ca="1">Start.listina!AC100</f>
        <v xml:space="preserve"> </v>
      </c>
      <c r="E364" s="13" t="str">
        <f ca="1">Start.listina!AD100</f>
        <v xml:space="preserve"> </v>
      </c>
      <c r="F364" s="13"/>
      <c r="G364" s="89"/>
      <c r="H364" s="4"/>
      <c r="I364" s="4"/>
    </row>
    <row r="365" spans="1:9" x14ac:dyDescent="0.4">
      <c r="A365" s="13">
        <f ca="1">Start.listina!AH101</f>
        <v>0</v>
      </c>
      <c r="B365" s="13" t="str">
        <f ca="1">Start.listina!I101</f>
        <v/>
      </c>
      <c r="C365" s="195" t="str">
        <f ca="1">Start.listina!J101</f>
        <v xml:space="preserve"> </v>
      </c>
      <c r="D365" s="13" t="str">
        <f ca="1">Start.listina!K101</f>
        <v xml:space="preserve"> </v>
      </c>
      <c r="E365" s="13" t="str">
        <f ca="1">Start.listina!L101</f>
        <v xml:space="preserve"> </v>
      </c>
      <c r="F365" s="13"/>
      <c r="G365" s="89" t="str">
        <f ca="1">IF(N(A365)&gt;0,VLOOKUP(A365,Body!$A$4:$F$259,5,0),"")</f>
        <v/>
      </c>
      <c r="H365" s="4" t="str">
        <f ca="1">IF(N(A365)&gt;0,VLOOKUP(A365,Body!$A$4:$F$259,6,0),"")</f>
        <v/>
      </c>
      <c r="I365" s="4" t="str">
        <f ca="1">IF(N(A365)&gt;0,VLOOKUP(A365,Body!$A$4:$F$259,2,0),"")</f>
        <v/>
      </c>
    </row>
    <row r="366" spans="1:9" x14ac:dyDescent="0.4">
      <c r="A366" s="13"/>
      <c r="B366" s="13" t="str">
        <f ca="1">Start.listina!O101</f>
        <v/>
      </c>
      <c r="C366" s="13" t="str">
        <f ca="1">Start.listina!P101</f>
        <v xml:space="preserve"> </v>
      </c>
      <c r="D366" s="13" t="str">
        <f ca="1">Start.listina!Q101</f>
        <v xml:space="preserve"> </v>
      </c>
      <c r="E366" s="13" t="str">
        <f ca="1">Start.listina!R101</f>
        <v xml:space="preserve"> </v>
      </c>
      <c r="F366" s="13"/>
      <c r="G366" s="89"/>
      <c r="H366" s="4"/>
      <c r="I366" s="4"/>
    </row>
    <row r="367" spans="1:9" x14ac:dyDescent="0.4">
      <c r="A367" s="13"/>
      <c r="B367" s="13" t="str">
        <f ca="1">Start.listina!U101</f>
        <v/>
      </c>
      <c r="C367" s="13" t="str">
        <f ca="1">Start.listina!V101</f>
        <v xml:space="preserve"> </v>
      </c>
      <c r="D367" s="13" t="str">
        <f ca="1">Start.listina!W101</f>
        <v xml:space="preserve"> </v>
      </c>
      <c r="E367" s="13" t="str">
        <f ca="1">Start.listina!X101</f>
        <v xml:space="preserve"> </v>
      </c>
      <c r="F367" s="13"/>
      <c r="G367" s="89"/>
      <c r="H367" s="4"/>
      <c r="I367" s="4"/>
    </row>
    <row r="368" spans="1:9" x14ac:dyDescent="0.4">
      <c r="A368" s="13"/>
      <c r="B368" s="13" t="str">
        <f ca="1">Start.listina!AA101</f>
        <v/>
      </c>
      <c r="C368" s="13" t="str">
        <f ca="1">Start.listina!AB101</f>
        <v xml:space="preserve"> </v>
      </c>
      <c r="D368" s="13" t="str">
        <f ca="1">Start.listina!AC101</f>
        <v xml:space="preserve"> </v>
      </c>
      <c r="E368" s="13" t="str">
        <f ca="1">Start.listina!AD101</f>
        <v xml:space="preserve"> </v>
      </c>
      <c r="F368" s="13"/>
      <c r="G368" s="89"/>
      <c r="H368" s="4"/>
      <c r="I368" s="4"/>
    </row>
    <row r="369" spans="1:9" x14ac:dyDescent="0.4">
      <c r="A369" s="13">
        <f ca="1">Start.listina!AH102</f>
        <v>0</v>
      </c>
      <c r="B369" s="13" t="str">
        <f ca="1">Start.listina!I102</f>
        <v/>
      </c>
      <c r="C369" s="195" t="str">
        <f ca="1">Start.listina!J102</f>
        <v xml:space="preserve"> </v>
      </c>
      <c r="D369" s="13" t="str">
        <f ca="1">Start.listina!K102</f>
        <v xml:space="preserve"> </v>
      </c>
      <c r="E369" s="13" t="str">
        <f ca="1">Start.listina!L102</f>
        <v xml:space="preserve"> </v>
      </c>
      <c r="F369" s="13"/>
      <c r="G369" s="89" t="str">
        <f ca="1">IF(N(A369)&gt;0,VLOOKUP(A369,Body!$A$4:$F$259,5,0),"")</f>
        <v/>
      </c>
      <c r="H369" s="4" t="str">
        <f ca="1">IF(N(A369)&gt;0,VLOOKUP(A369,Body!$A$4:$F$259,6,0),"")</f>
        <v/>
      </c>
      <c r="I369" s="4" t="str">
        <f ca="1">IF(N(A369)&gt;0,VLOOKUP(A369,Body!$A$4:$F$259,2,0),"")</f>
        <v/>
      </c>
    </row>
    <row r="370" spans="1:9" x14ac:dyDescent="0.4">
      <c r="A370" s="13"/>
      <c r="B370" s="13" t="str">
        <f ca="1">Start.listina!O102</f>
        <v/>
      </c>
      <c r="C370" s="13" t="str">
        <f ca="1">Start.listina!P102</f>
        <v xml:space="preserve"> </v>
      </c>
      <c r="D370" s="13" t="str">
        <f ca="1">Start.listina!Q102</f>
        <v xml:space="preserve"> </v>
      </c>
      <c r="E370" s="13" t="str">
        <f ca="1">Start.listina!R102</f>
        <v xml:space="preserve"> </v>
      </c>
      <c r="F370" s="13"/>
      <c r="G370" s="89"/>
      <c r="H370" s="4"/>
      <c r="I370" s="4"/>
    </row>
    <row r="371" spans="1:9" x14ac:dyDescent="0.4">
      <c r="A371" s="13"/>
      <c r="B371" s="13" t="str">
        <f ca="1">Start.listina!U102</f>
        <v/>
      </c>
      <c r="C371" s="13" t="str">
        <f ca="1">Start.listina!V102</f>
        <v xml:space="preserve"> </v>
      </c>
      <c r="D371" s="13" t="str">
        <f ca="1">Start.listina!W102</f>
        <v xml:space="preserve"> </v>
      </c>
      <c r="E371" s="13" t="str">
        <f ca="1">Start.listina!X102</f>
        <v xml:space="preserve"> </v>
      </c>
      <c r="F371" s="13"/>
      <c r="G371" s="89"/>
      <c r="H371" s="4"/>
      <c r="I371" s="4"/>
    </row>
    <row r="372" spans="1:9" x14ac:dyDescent="0.4">
      <c r="A372" s="13"/>
      <c r="B372" s="13" t="str">
        <f ca="1">Start.listina!AA102</f>
        <v/>
      </c>
      <c r="C372" s="13" t="str">
        <f ca="1">Start.listina!AB102</f>
        <v xml:space="preserve"> </v>
      </c>
      <c r="D372" s="13" t="str">
        <f ca="1">Start.listina!AC102</f>
        <v xml:space="preserve"> </v>
      </c>
      <c r="E372" s="13" t="str">
        <f ca="1">Start.listina!AD102</f>
        <v xml:space="preserve"> </v>
      </c>
      <c r="F372" s="13"/>
      <c r="G372" s="89"/>
      <c r="H372" s="4"/>
      <c r="I372" s="4"/>
    </row>
    <row r="373" spans="1:9" x14ac:dyDescent="0.4">
      <c r="A373" s="13">
        <f ca="1">Start.listina!AH103</f>
        <v>0</v>
      </c>
      <c r="B373" s="13" t="str">
        <f ca="1">Start.listina!I103</f>
        <v/>
      </c>
      <c r="C373" s="195" t="str">
        <f ca="1">Start.listina!J103</f>
        <v xml:space="preserve"> </v>
      </c>
      <c r="D373" s="13" t="str">
        <f ca="1">Start.listina!K103</f>
        <v xml:space="preserve"> </v>
      </c>
      <c r="E373" s="13" t="str">
        <f ca="1">Start.listina!L103</f>
        <v xml:space="preserve"> </v>
      </c>
      <c r="F373" s="13"/>
      <c r="G373" s="89" t="str">
        <f ca="1">IF(N(A373)&gt;0,VLOOKUP(A373,Body!$A$4:$F$259,5,0),"")</f>
        <v/>
      </c>
      <c r="H373" s="4" t="str">
        <f ca="1">IF(N(A373)&gt;0,VLOOKUP(A373,Body!$A$4:$F$259,6,0),"")</f>
        <v/>
      </c>
      <c r="I373" s="4" t="str">
        <f ca="1">IF(N(A373)&gt;0,VLOOKUP(A373,Body!$A$4:$F$259,2,0),"")</f>
        <v/>
      </c>
    </row>
    <row r="374" spans="1:9" x14ac:dyDescent="0.4">
      <c r="A374" s="13"/>
      <c r="B374" s="13" t="str">
        <f ca="1">Start.listina!O103</f>
        <v/>
      </c>
      <c r="C374" s="13" t="str">
        <f ca="1">Start.listina!P103</f>
        <v xml:space="preserve"> </v>
      </c>
      <c r="D374" s="13" t="str">
        <f ca="1">Start.listina!Q103</f>
        <v xml:space="preserve"> </v>
      </c>
      <c r="E374" s="13" t="str">
        <f ca="1">Start.listina!R103</f>
        <v xml:space="preserve"> </v>
      </c>
      <c r="F374" s="13"/>
      <c r="G374" s="89"/>
      <c r="H374" s="4"/>
      <c r="I374" s="4"/>
    </row>
    <row r="375" spans="1:9" x14ac:dyDescent="0.4">
      <c r="A375" s="13"/>
      <c r="B375" s="13" t="str">
        <f ca="1">Start.listina!U103</f>
        <v/>
      </c>
      <c r="C375" s="13" t="str">
        <f ca="1">Start.listina!V103</f>
        <v xml:space="preserve"> </v>
      </c>
      <c r="D375" s="13" t="str">
        <f ca="1">Start.listina!W103</f>
        <v xml:space="preserve"> </v>
      </c>
      <c r="E375" s="13" t="str">
        <f ca="1">Start.listina!X103</f>
        <v xml:space="preserve"> </v>
      </c>
      <c r="F375" s="13"/>
      <c r="G375" s="89"/>
      <c r="H375" s="4"/>
      <c r="I375" s="4"/>
    </row>
    <row r="376" spans="1:9" x14ac:dyDescent="0.4">
      <c r="A376" s="13"/>
      <c r="B376" s="13" t="str">
        <f ca="1">Start.listina!AA103</f>
        <v/>
      </c>
      <c r="C376" s="13" t="str">
        <f ca="1">Start.listina!AB103</f>
        <v xml:space="preserve"> </v>
      </c>
      <c r="D376" s="13" t="str">
        <f ca="1">Start.listina!AC103</f>
        <v xml:space="preserve"> </v>
      </c>
      <c r="E376" s="13" t="str">
        <f ca="1">Start.listina!AD103</f>
        <v xml:space="preserve"> </v>
      </c>
      <c r="F376" s="13"/>
      <c r="G376" s="89"/>
      <c r="H376" s="4"/>
      <c r="I376" s="4"/>
    </row>
    <row r="377" spans="1:9" x14ac:dyDescent="0.4">
      <c r="A377" s="13">
        <f ca="1">Start.listina!AH104</f>
        <v>0</v>
      </c>
      <c r="B377" s="13" t="str">
        <f ca="1">Start.listina!I104</f>
        <v/>
      </c>
      <c r="C377" s="195" t="str">
        <f ca="1">Start.listina!J104</f>
        <v xml:space="preserve"> </v>
      </c>
      <c r="D377" s="13" t="str">
        <f ca="1">Start.listina!K104</f>
        <v xml:space="preserve"> </v>
      </c>
      <c r="E377" s="13" t="str">
        <f ca="1">Start.listina!L104</f>
        <v xml:space="preserve"> </v>
      </c>
      <c r="F377" s="13"/>
      <c r="G377" s="89" t="str">
        <f ca="1">IF(N(A377)&gt;0,VLOOKUP(A377,Body!$A$4:$F$259,5,0),"")</f>
        <v/>
      </c>
      <c r="H377" s="4" t="str">
        <f ca="1">IF(N(A377)&gt;0,VLOOKUP(A377,Body!$A$4:$F$259,6,0),"")</f>
        <v/>
      </c>
      <c r="I377" s="4" t="str">
        <f ca="1">IF(N(A377)&gt;0,VLOOKUP(A377,Body!$A$4:$F$259,2,0),"")</f>
        <v/>
      </c>
    </row>
    <row r="378" spans="1:9" x14ac:dyDescent="0.4">
      <c r="A378" s="13"/>
      <c r="B378" s="13" t="str">
        <f ca="1">Start.listina!O104</f>
        <v/>
      </c>
      <c r="C378" s="13" t="str">
        <f ca="1">Start.listina!P104</f>
        <v xml:space="preserve"> </v>
      </c>
      <c r="D378" s="13" t="str">
        <f ca="1">Start.listina!Q104</f>
        <v xml:space="preserve"> </v>
      </c>
      <c r="E378" s="13" t="str">
        <f ca="1">Start.listina!R104</f>
        <v xml:space="preserve"> </v>
      </c>
      <c r="F378" s="13"/>
      <c r="G378" s="89"/>
      <c r="H378" s="4"/>
      <c r="I378" s="4"/>
    </row>
    <row r="379" spans="1:9" x14ac:dyDescent="0.4">
      <c r="A379" s="13"/>
      <c r="B379" s="13" t="str">
        <f ca="1">Start.listina!U104</f>
        <v/>
      </c>
      <c r="C379" s="13" t="str">
        <f ca="1">Start.listina!V104</f>
        <v xml:space="preserve"> </v>
      </c>
      <c r="D379" s="13" t="str">
        <f ca="1">Start.listina!W104</f>
        <v xml:space="preserve"> </v>
      </c>
      <c r="E379" s="13" t="str">
        <f ca="1">Start.listina!X104</f>
        <v xml:space="preserve"> </v>
      </c>
      <c r="F379" s="13"/>
      <c r="G379" s="89"/>
      <c r="H379" s="4"/>
      <c r="I379" s="4"/>
    </row>
    <row r="380" spans="1:9" x14ac:dyDescent="0.4">
      <c r="A380" s="13"/>
      <c r="B380" s="13" t="str">
        <f ca="1">Start.listina!AA104</f>
        <v/>
      </c>
      <c r="C380" s="13" t="str">
        <f ca="1">Start.listina!AB104</f>
        <v xml:space="preserve"> </v>
      </c>
      <c r="D380" s="13" t="str">
        <f ca="1">Start.listina!AC104</f>
        <v xml:space="preserve"> </v>
      </c>
      <c r="E380" s="13" t="str">
        <f ca="1">Start.listina!AD104</f>
        <v xml:space="preserve"> </v>
      </c>
      <c r="F380" s="13"/>
      <c r="G380" s="89"/>
      <c r="H380" s="4"/>
      <c r="I380" s="4"/>
    </row>
    <row r="381" spans="1:9" x14ac:dyDescent="0.4">
      <c r="A381" s="13">
        <f ca="1">Start.listina!AH105</f>
        <v>0</v>
      </c>
      <c r="B381" s="13" t="str">
        <f ca="1">Start.listina!I105</f>
        <v/>
      </c>
      <c r="C381" s="195" t="str">
        <f ca="1">Start.listina!J105</f>
        <v xml:space="preserve"> </v>
      </c>
      <c r="D381" s="13" t="str">
        <f ca="1">Start.listina!K105</f>
        <v xml:space="preserve"> </v>
      </c>
      <c r="E381" s="13" t="str">
        <f ca="1">Start.listina!L105</f>
        <v xml:space="preserve"> </v>
      </c>
      <c r="F381" s="13"/>
      <c r="G381" s="89" t="str">
        <f ca="1">IF(N(A381)&gt;0,VLOOKUP(A381,Body!$A$4:$F$259,5,0),"")</f>
        <v/>
      </c>
      <c r="H381" s="4" t="str">
        <f ca="1">IF(N(A381)&gt;0,VLOOKUP(A381,Body!$A$4:$F$259,6,0),"")</f>
        <v/>
      </c>
      <c r="I381" s="4" t="str">
        <f ca="1">IF(N(A381)&gt;0,VLOOKUP(A381,Body!$A$4:$F$259,2,0),"")</f>
        <v/>
      </c>
    </row>
    <row r="382" spans="1:9" x14ac:dyDescent="0.4">
      <c r="A382" s="13"/>
      <c r="B382" s="13" t="str">
        <f ca="1">Start.listina!O105</f>
        <v/>
      </c>
      <c r="C382" s="13" t="str">
        <f ca="1">Start.listina!P105</f>
        <v xml:space="preserve"> </v>
      </c>
      <c r="D382" s="13" t="str">
        <f ca="1">Start.listina!Q105</f>
        <v xml:space="preserve"> </v>
      </c>
      <c r="E382" s="13" t="str">
        <f ca="1">Start.listina!R105</f>
        <v xml:space="preserve"> </v>
      </c>
      <c r="F382" s="13"/>
      <c r="G382" s="89"/>
      <c r="H382" s="4"/>
      <c r="I382" s="4"/>
    </row>
    <row r="383" spans="1:9" x14ac:dyDescent="0.4">
      <c r="A383" s="13"/>
      <c r="B383" s="13" t="str">
        <f ca="1">Start.listina!U105</f>
        <v/>
      </c>
      <c r="C383" s="13" t="str">
        <f ca="1">Start.listina!V105</f>
        <v xml:space="preserve"> </v>
      </c>
      <c r="D383" s="13" t="str">
        <f ca="1">Start.listina!W105</f>
        <v xml:space="preserve"> </v>
      </c>
      <c r="E383" s="13" t="str">
        <f ca="1">Start.listina!X105</f>
        <v xml:space="preserve"> </v>
      </c>
      <c r="F383" s="13"/>
      <c r="G383" s="89"/>
      <c r="H383" s="4"/>
      <c r="I383" s="4"/>
    </row>
    <row r="384" spans="1:9" x14ac:dyDescent="0.4">
      <c r="A384" s="13"/>
      <c r="B384" s="13" t="str">
        <f ca="1">Start.listina!AA105</f>
        <v/>
      </c>
      <c r="C384" s="13" t="str">
        <f ca="1">Start.listina!AB105</f>
        <v xml:space="preserve"> </v>
      </c>
      <c r="D384" s="13" t="str">
        <f ca="1">Start.listina!AC105</f>
        <v xml:space="preserve"> </v>
      </c>
      <c r="E384" s="13" t="str">
        <f ca="1">Start.listina!AD105</f>
        <v xml:space="preserve"> </v>
      </c>
      <c r="F384" s="13"/>
      <c r="G384" s="89"/>
      <c r="H384" s="4"/>
      <c r="I384" s="4"/>
    </row>
    <row r="385" spans="1:9" x14ac:dyDescent="0.4">
      <c r="A385" s="13">
        <f ca="1">Start.listina!AH106</f>
        <v>0</v>
      </c>
      <c r="B385" s="13" t="str">
        <f ca="1">Start.listina!I106</f>
        <v/>
      </c>
      <c r="C385" s="195" t="str">
        <f ca="1">Start.listina!J106</f>
        <v xml:space="preserve"> </v>
      </c>
      <c r="D385" s="13" t="str">
        <f ca="1">Start.listina!K106</f>
        <v xml:space="preserve"> </v>
      </c>
      <c r="E385" s="13" t="str">
        <f ca="1">Start.listina!L106</f>
        <v xml:space="preserve"> </v>
      </c>
      <c r="F385" s="13"/>
      <c r="G385" s="89" t="str">
        <f ca="1">IF(N(A385)&gt;0,VLOOKUP(A385,Body!$A$4:$F$259,5,0),"")</f>
        <v/>
      </c>
      <c r="H385" s="4" t="str">
        <f ca="1">IF(N(A385)&gt;0,VLOOKUP(A385,Body!$A$4:$F$259,6,0),"")</f>
        <v/>
      </c>
      <c r="I385" s="4" t="str">
        <f ca="1">IF(N(A385)&gt;0,VLOOKUP(A385,Body!$A$4:$F$259,2,0),"")</f>
        <v/>
      </c>
    </row>
    <row r="386" spans="1:9" x14ac:dyDescent="0.4">
      <c r="A386" s="13"/>
      <c r="B386" s="13" t="str">
        <f ca="1">Start.listina!O106</f>
        <v/>
      </c>
      <c r="C386" s="13" t="str">
        <f ca="1">Start.listina!P106</f>
        <v xml:space="preserve"> </v>
      </c>
      <c r="D386" s="13" t="str">
        <f ca="1">Start.listina!Q106</f>
        <v xml:space="preserve"> </v>
      </c>
      <c r="E386" s="13" t="str">
        <f ca="1">Start.listina!R106</f>
        <v xml:space="preserve"> </v>
      </c>
      <c r="F386" s="13"/>
      <c r="G386" s="89"/>
      <c r="H386" s="4"/>
      <c r="I386" s="4"/>
    </row>
    <row r="387" spans="1:9" x14ac:dyDescent="0.4">
      <c r="A387" s="13"/>
      <c r="B387" s="13" t="str">
        <f ca="1">Start.listina!U106</f>
        <v/>
      </c>
      <c r="C387" s="13" t="str">
        <f ca="1">Start.listina!V106</f>
        <v xml:space="preserve"> </v>
      </c>
      <c r="D387" s="13" t="str">
        <f ca="1">Start.listina!W106</f>
        <v xml:space="preserve"> </v>
      </c>
      <c r="E387" s="13" t="str">
        <f ca="1">Start.listina!X106</f>
        <v xml:space="preserve"> </v>
      </c>
      <c r="F387" s="13"/>
      <c r="G387" s="89"/>
      <c r="H387" s="4"/>
      <c r="I387" s="4"/>
    </row>
    <row r="388" spans="1:9" x14ac:dyDescent="0.4">
      <c r="A388" s="13"/>
      <c r="B388" s="13" t="str">
        <f ca="1">Start.listina!AA106</f>
        <v/>
      </c>
      <c r="C388" s="13" t="str">
        <f ca="1">Start.listina!AB106</f>
        <v xml:space="preserve"> </v>
      </c>
      <c r="D388" s="13" t="str">
        <f ca="1">Start.listina!AC106</f>
        <v xml:space="preserve"> </v>
      </c>
      <c r="E388" s="13" t="str">
        <f ca="1">Start.listina!AD106</f>
        <v xml:space="preserve"> </v>
      </c>
      <c r="F388" s="13"/>
      <c r="G388" s="89"/>
      <c r="H388" s="4"/>
      <c r="I388" s="4"/>
    </row>
    <row r="389" spans="1:9" x14ac:dyDescent="0.4">
      <c r="A389" s="13">
        <f ca="1">Start.listina!AH107</f>
        <v>0</v>
      </c>
      <c r="B389" s="13" t="str">
        <f ca="1">Start.listina!I107</f>
        <v/>
      </c>
      <c r="C389" s="195" t="str">
        <f ca="1">Start.listina!J107</f>
        <v xml:space="preserve"> </v>
      </c>
      <c r="D389" s="13" t="str">
        <f ca="1">Start.listina!K107</f>
        <v xml:space="preserve"> </v>
      </c>
      <c r="E389" s="13" t="str">
        <f ca="1">Start.listina!L107</f>
        <v xml:space="preserve"> </v>
      </c>
      <c r="F389" s="13"/>
      <c r="G389" s="89" t="str">
        <f ca="1">IF(N(A389)&gt;0,VLOOKUP(A389,Body!$A$4:$F$259,5,0),"")</f>
        <v/>
      </c>
      <c r="H389" s="4" t="str">
        <f ca="1">IF(N(A389)&gt;0,VLOOKUP(A389,Body!$A$4:$F$259,6,0),"")</f>
        <v/>
      </c>
      <c r="I389" s="4" t="str">
        <f ca="1">IF(N(A389)&gt;0,VLOOKUP(A389,Body!$A$4:$F$259,2,0),"")</f>
        <v/>
      </c>
    </row>
    <row r="390" spans="1:9" x14ac:dyDescent="0.4">
      <c r="A390" s="13"/>
      <c r="B390" s="13" t="str">
        <f ca="1">Start.listina!O107</f>
        <v/>
      </c>
      <c r="C390" s="13" t="str">
        <f ca="1">Start.listina!P107</f>
        <v xml:space="preserve"> </v>
      </c>
      <c r="D390" s="13" t="str">
        <f ca="1">Start.listina!Q107</f>
        <v xml:space="preserve"> </v>
      </c>
      <c r="E390" s="13" t="str">
        <f ca="1">Start.listina!R107</f>
        <v xml:space="preserve"> </v>
      </c>
      <c r="F390" s="13"/>
      <c r="G390" s="89"/>
      <c r="H390" s="4"/>
      <c r="I390" s="4"/>
    </row>
    <row r="391" spans="1:9" x14ac:dyDescent="0.4">
      <c r="A391" s="13"/>
      <c r="B391" s="13" t="str">
        <f ca="1">Start.listina!U107</f>
        <v/>
      </c>
      <c r="C391" s="13" t="str">
        <f ca="1">Start.listina!V107</f>
        <v xml:space="preserve"> </v>
      </c>
      <c r="D391" s="13" t="str">
        <f ca="1">Start.listina!W107</f>
        <v xml:space="preserve"> </v>
      </c>
      <c r="E391" s="13" t="str">
        <f ca="1">Start.listina!X107</f>
        <v xml:space="preserve"> </v>
      </c>
      <c r="F391" s="13"/>
      <c r="G391" s="89"/>
      <c r="H391" s="4"/>
      <c r="I391" s="4"/>
    </row>
    <row r="392" spans="1:9" x14ac:dyDescent="0.4">
      <c r="A392" s="13"/>
      <c r="B392" s="13" t="str">
        <f ca="1">Start.listina!AA107</f>
        <v/>
      </c>
      <c r="C392" s="13" t="str">
        <f ca="1">Start.listina!AB107</f>
        <v xml:space="preserve"> </v>
      </c>
      <c r="D392" s="13" t="str">
        <f ca="1">Start.listina!AC107</f>
        <v xml:space="preserve"> </v>
      </c>
      <c r="E392" s="13" t="str">
        <f ca="1">Start.listina!AD107</f>
        <v xml:space="preserve"> </v>
      </c>
      <c r="F392" s="13"/>
      <c r="G392" s="89"/>
      <c r="H392" s="4"/>
      <c r="I392" s="4"/>
    </row>
    <row r="393" spans="1:9" x14ac:dyDescent="0.4">
      <c r="A393" s="13">
        <f ca="1">Start.listina!AH108</f>
        <v>0</v>
      </c>
      <c r="B393" s="13" t="str">
        <f ca="1">Start.listina!I108</f>
        <v/>
      </c>
      <c r="C393" s="195" t="str">
        <f ca="1">Start.listina!J108</f>
        <v xml:space="preserve"> </v>
      </c>
      <c r="D393" s="13" t="str">
        <f ca="1">Start.listina!K108</f>
        <v xml:space="preserve"> </v>
      </c>
      <c r="E393" s="13" t="str">
        <f ca="1">Start.listina!L108</f>
        <v xml:space="preserve"> </v>
      </c>
      <c r="F393" s="13"/>
      <c r="G393" s="89" t="str">
        <f ca="1">IF(N(A393)&gt;0,VLOOKUP(A393,Body!$A$4:$F$259,5,0),"")</f>
        <v/>
      </c>
      <c r="H393" s="4" t="str">
        <f ca="1">IF(N(A393)&gt;0,VLOOKUP(A393,Body!$A$4:$F$259,6,0),"")</f>
        <v/>
      </c>
      <c r="I393" s="4" t="str">
        <f ca="1">IF(N(A393)&gt;0,VLOOKUP(A393,Body!$A$4:$F$259,2,0),"")</f>
        <v/>
      </c>
    </row>
    <row r="394" spans="1:9" x14ac:dyDescent="0.4">
      <c r="A394" s="13"/>
      <c r="B394" s="13" t="str">
        <f ca="1">Start.listina!O108</f>
        <v/>
      </c>
      <c r="C394" s="13" t="str">
        <f ca="1">Start.listina!P108</f>
        <v xml:space="preserve"> </v>
      </c>
      <c r="D394" s="13" t="str">
        <f ca="1">Start.listina!Q108</f>
        <v xml:space="preserve"> </v>
      </c>
      <c r="E394" s="13" t="str">
        <f ca="1">Start.listina!R108</f>
        <v xml:space="preserve"> </v>
      </c>
      <c r="F394" s="13"/>
      <c r="G394" s="89"/>
      <c r="H394" s="4"/>
      <c r="I394" s="4"/>
    </row>
    <row r="395" spans="1:9" x14ac:dyDescent="0.4">
      <c r="A395" s="13"/>
      <c r="B395" s="13" t="str">
        <f ca="1">Start.listina!U108</f>
        <v/>
      </c>
      <c r="C395" s="13" t="str">
        <f ca="1">Start.listina!V108</f>
        <v xml:space="preserve"> </v>
      </c>
      <c r="D395" s="13" t="str">
        <f ca="1">Start.listina!W108</f>
        <v xml:space="preserve"> </v>
      </c>
      <c r="E395" s="13" t="str">
        <f ca="1">Start.listina!X108</f>
        <v xml:space="preserve"> </v>
      </c>
      <c r="F395" s="13"/>
      <c r="G395" s="89"/>
      <c r="H395" s="4"/>
      <c r="I395" s="4"/>
    </row>
    <row r="396" spans="1:9" x14ac:dyDescent="0.4">
      <c r="A396" s="13"/>
      <c r="B396" s="13" t="str">
        <f ca="1">Start.listina!AA108</f>
        <v/>
      </c>
      <c r="C396" s="13" t="str">
        <f ca="1">Start.listina!AB108</f>
        <v xml:space="preserve"> </v>
      </c>
      <c r="D396" s="13" t="str">
        <f ca="1">Start.listina!AC108</f>
        <v xml:space="preserve"> </v>
      </c>
      <c r="E396" s="13" t="str">
        <f ca="1">Start.listina!AD108</f>
        <v xml:space="preserve"> </v>
      </c>
      <c r="F396" s="13"/>
      <c r="G396" s="89"/>
      <c r="H396" s="4"/>
      <c r="I396" s="4"/>
    </row>
    <row r="397" spans="1:9" x14ac:dyDescent="0.4">
      <c r="A397" s="13">
        <f ca="1">Start.listina!AH109</f>
        <v>0</v>
      </c>
      <c r="B397" s="13" t="str">
        <f ca="1">Start.listina!I109</f>
        <v/>
      </c>
      <c r="C397" s="195" t="str">
        <f ca="1">Start.listina!J109</f>
        <v xml:space="preserve"> </v>
      </c>
      <c r="D397" s="13" t="str">
        <f ca="1">Start.listina!K109</f>
        <v xml:space="preserve"> </v>
      </c>
      <c r="E397" s="13" t="str">
        <f ca="1">Start.listina!L109</f>
        <v xml:space="preserve"> </v>
      </c>
      <c r="F397" s="13"/>
      <c r="G397" s="89" t="str">
        <f ca="1">IF(N(A397)&gt;0,VLOOKUP(A397,Body!$A$4:$F$259,5,0),"")</f>
        <v/>
      </c>
      <c r="H397" s="4" t="str">
        <f ca="1">IF(N(A397)&gt;0,VLOOKUP(A397,Body!$A$4:$F$259,6,0),"")</f>
        <v/>
      </c>
      <c r="I397" s="4" t="str">
        <f ca="1">IF(N(A397)&gt;0,VLOOKUP(A397,Body!$A$4:$F$259,2,0),"")</f>
        <v/>
      </c>
    </row>
    <row r="398" spans="1:9" x14ac:dyDescent="0.4">
      <c r="A398" s="13"/>
      <c r="B398" s="13" t="str">
        <f ca="1">Start.listina!O109</f>
        <v/>
      </c>
      <c r="C398" s="13" t="str">
        <f ca="1">Start.listina!P109</f>
        <v xml:space="preserve"> </v>
      </c>
      <c r="D398" s="13" t="str">
        <f ca="1">Start.listina!Q109</f>
        <v xml:space="preserve"> </v>
      </c>
      <c r="E398" s="13" t="str">
        <f ca="1">Start.listina!R109</f>
        <v xml:space="preserve"> </v>
      </c>
      <c r="F398" s="13"/>
      <c r="G398" s="89"/>
      <c r="H398" s="4"/>
      <c r="I398" s="4"/>
    </row>
    <row r="399" spans="1:9" x14ac:dyDescent="0.4">
      <c r="A399" s="13"/>
      <c r="B399" s="13" t="str">
        <f ca="1">Start.listina!U109</f>
        <v/>
      </c>
      <c r="C399" s="13" t="str">
        <f ca="1">Start.listina!V109</f>
        <v xml:space="preserve"> </v>
      </c>
      <c r="D399" s="13" t="str">
        <f ca="1">Start.listina!W109</f>
        <v xml:space="preserve"> </v>
      </c>
      <c r="E399" s="13" t="str">
        <f ca="1">Start.listina!X109</f>
        <v xml:space="preserve"> </v>
      </c>
      <c r="F399" s="13"/>
      <c r="G399" s="89"/>
      <c r="H399" s="4"/>
      <c r="I399" s="4"/>
    </row>
    <row r="400" spans="1:9" x14ac:dyDescent="0.4">
      <c r="A400" s="13"/>
      <c r="B400" s="13" t="str">
        <f ca="1">Start.listina!AA109</f>
        <v/>
      </c>
      <c r="C400" s="13" t="str">
        <f ca="1">Start.listina!AB109</f>
        <v xml:space="preserve"> </v>
      </c>
      <c r="D400" s="13" t="str">
        <f ca="1">Start.listina!AC109</f>
        <v xml:space="preserve"> </v>
      </c>
      <c r="E400" s="13" t="str">
        <f ca="1">Start.listina!AD109</f>
        <v xml:space="preserve"> </v>
      </c>
      <c r="F400" s="13"/>
      <c r="G400" s="89"/>
      <c r="H400" s="4"/>
      <c r="I400" s="4"/>
    </row>
    <row r="401" spans="1:9" x14ac:dyDescent="0.4">
      <c r="A401" s="13">
        <f ca="1">Start.listina!AH110</f>
        <v>0</v>
      </c>
      <c r="B401" s="13" t="str">
        <f ca="1">Start.listina!I110</f>
        <v/>
      </c>
      <c r="C401" s="195" t="str">
        <f ca="1">Start.listina!J110</f>
        <v xml:space="preserve"> </v>
      </c>
      <c r="D401" s="13" t="str">
        <f ca="1">Start.listina!K110</f>
        <v xml:space="preserve"> </v>
      </c>
      <c r="E401" s="13" t="str">
        <f ca="1">Start.listina!L110</f>
        <v xml:space="preserve"> </v>
      </c>
      <c r="F401" s="13"/>
      <c r="G401" s="89" t="str">
        <f ca="1">IF(N(A401)&gt;0,VLOOKUP(A401,Body!$A$4:$F$259,5,0),"")</f>
        <v/>
      </c>
      <c r="H401" s="4" t="str">
        <f ca="1">IF(N(A401)&gt;0,VLOOKUP(A401,Body!$A$4:$F$259,6,0),"")</f>
        <v/>
      </c>
      <c r="I401" s="4" t="str">
        <f ca="1">IF(N(A401)&gt;0,VLOOKUP(A401,Body!$A$4:$F$259,2,0),"")</f>
        <v/>
      </c>
    </row>
    <row r="402" spans="1:9" x14ac:dyDescent="0.4">
      <c r="A402" s="13"/>
      <c r="B402" s="13" t="str">
        <f ca="1">Start.listina!O110</f>
        <v/>
      </c>
      <c r="C402" s="13" t="str">
        <f ca="1">Start.listina!P110</f>
        <v xml:space="preserve"> </v>
      </c>
      <c r="D402" s="13" t="str">
        <f ca="1">Start.listina!Q110</f>
        <v xml:space="preserve"> </v>
      </c>
      <c r="E402" s="13" t="str">
        <f ca="1">Start.listina!R110</f>
        <v xml:space="preserve"> </v>
      </c>
      <c r="F402" s="13"/>
      <c r="G402" s="89"/>
      <c r="H402" s="4"/>
      <c r="I402" s="4"/>
    </row>
    <row r="403" spans="1:9" x14ac:dyDescent="0.4">
      <c r="A403" s="13"/>
      <c r="B403" s="13" t="str">
        <f ca="1">Start.listina!U110</f>
        <v/>
      </c>
      <c r="C403" s="13" t="str">
        <f ca="1">Start.listina!V110</f>
        <v xml:space="preserve"> </v>
      </c>
      <c r="D403" s="13" t="str">
        <f ca="1">Start.listina!W110</f>
        <v xml:space="preserve"> </v>
      </c>
      <c r="E403" s="13" t="str">
        <f ca="1">Start.listina!X110</f>
        <v xml:space="preserve"> </v>
      </c>
      <c r="F403" s="13"/>
      <c r="G403" s="89"/>
      <c r="H403" s="4"/>
      <c r="I403" s="4"/>
    </row>
    <row r="404" spans="1:9" x14ac:dyDescent="0.4">
      <c r="A404" s="13"/>
      <c r="B404" s="13" t="str">
        <f ca="1">Start.listina!AA110</f>
        <v/>
      </c>
      <c r="C404" s="13" t="str">
        <f ca="1">Start.listina!AB110</f>
        <v xml:space="preserve"> </v>
      </c>
      <c r="D404" s="13" t="str">
        <f ca="1">Start.listina!AC110</f>
        <v xml:space="preserve"> </v>
      </c>
      <c r="E404" s="13" t="str">
        <f ca="1">Start.listina!AD110</f>
        <v xml:space="preserve"> </v>
      </c>
      <c r="F404" s="13"/>
      <c r="G404" s="89"/>
      <c r="H404" s="4"/>
      <c r="I404" s="4"/>
    </row>
    <row r="405" spans="1:9" x14ac:dyDescent="0.4">
      <c r="A405" s="13">
        <f ca="1">Start.listina!AH111</f>
        <v>0</v>
      </c>
      <c r="B405" s="13" t="str">
        <f ca="1">Start.listina!I111</f>
        <v/>
      </c>
      <c r="C405" s="195" t="str">
        <f ca="1">Start.listina!J111</f>
        <v xml:space="preserve"> </v>
      </c>
      <c r="D405" s="13" t="str">
        <f ca="1">Start.listina!K111</f>
        <v xml:space="preserve"> </v>
      </c>
      <c r="E405" s="13" t="str">
        <f ca="1">Start.listina!L111</f>
        <v xml:space="preserve"> </v>
      </c>
      <c r="F405" s="13"/>
      <c r="G405" s="89" t="str">
        <f ca="1">IF(N(A405)&gt;0,VLOOKUP(A405,Body!$A$4:$F$259,5,0),"")</f>
        <v/>
      </c>
      <c r="H405" s="4" t="str">
        <f ca="1">IF(N(A405)&gt;0,VLOOKUP(A405,Body!$A$4:$F$259,6,0),"")</f>
        <v/>
      </c>
      <c r="I405" s="4" t="str">
        <f ca="1">IF(N(A405)&gt;0,VLOOKUP(A405,Body!$A$4:$F$259,2,0),"")</f>
        <v/>
      </c>
    </row>
    <row r="406" spans="1:9" x14ac:dyDescent="0.4">
      <c r="A406" s="13"/>
      <c r="B406" s="13" t="str">
        <f ca="1">Start.listina!O111</f>
        <v/>
      </c>
      <c r="C406" s="13" t="str">
        <f ca="1">Start.listina!P111</f>
        <v xml:space="preserve"> </v>
      </c>
      <c r="D406" s="13" t="str">
        <f ca="1">Start.listina!Q111</f>
        <v xml:space="preserve"> </v>
      </c>
      <c r="E406" s="13" t="str">
        <f ca="1">Start.listina!R111</f>
        <v xml:space="preserve"> </v>
      </c>
      <c r="F406" s="13"/>
      <c r="G406" s="89"/>
      <c r="H406" s="4"/>
      <c r="I406" s="4"/>
    </row>
    <row r="407" spans="1:9" x14ac:dyDescent="0.4">
      <c r="A407" s="13"/>
      <c r="B407" s="13" t="str">
        <f ca="1">Start.listina!U111</f>
        <v/>
      </c>
      <c r="C407" s="13" t="str">
        <f ca="1">Start.listina!V111</f>
        <v xml:space="preserve"> </v>
      </c>
      <c r="D407" s="13" t="str">
        <f ca="1">Start.listina!W111</f>
        <v xml:space="preserve"> </v>
      </c>
      <c r="E407" s="13" t="str">
        <f ca="1">Start.listina!X111</f>
        <v xml:space="preserve"> </v>
      </c>
      <c r="F407" s="13"/>
      <c r="G407" s="89"/>
      <c r="H407" s="4"/>
      <c r="I407" s="4"/>
    </row>
    <row r="408" spans="1:9" x14ac:dyDescent="0.4">
      <c r="A408" s="13"/>
      <c r="B408" s="13" t="str">
        <f ca="1">Start.listina!AA111</f>
        <v/>
      </c>
      <c r="C408" s="13" t="str">
        <f ca="1">Start.listina!AB111</f>
        <v xml:space="preserve"> </v>
      </c>
      <c r="D408" s="13" t="str">
        <f ca="1">Start.listina!AC111</f>
        <v xml:space="preserve"> </v>
      </c>
      <c r="E408" s="13" t="str">
        <f ca="1">Start.listina!AD111</f>
        <v xml:space="preserve"> </v>
      </c>
      <c r="F408" s="13"/>
      <c r="G408" s="89"/>
      <c r="H408" s="4"/>
      <c r="I408" s="4"/>
    </row>
    <row r="409" spans="1:9" x14ac:dyDescent="0.4">
      <c r="A409" s="13">
        <f ca="1">Start.listina!AH112</f>
        <v>0</v>
      </c>
      <c r="B409" s="13" t="str">
        <f ca="1">Start.listina!I112</f>
        <v/>
      </c>
      <c r="C409" s="195" t="str">
        <f ca="1">Start.listina!J112</f>
        <v xml:space="preserve"> </v>
      </c>
      <c r="D409" s="13" t="str">
        <f ca="1">Start.listina!K112</f>
        <v xml:space="preserve"> </v>
      </c>
      <c r="E409" s="13" t="str">
        <f ca="1">Start.listina!L112</f>
        <v xml:space="preserve"> </v>
      </c>
      <c r="F409" s="13"/>
      <c r="G409" s="89" t="str">
        <f ca="1">IF(N(A409)&gt;0,VLOOKUP(A409,Body!$A$4:$F$259,5,0),"")</f>
        <v/>
      </c>
      <c r="H409" s="4" t="str">
        <f ca="1">IF(N(A409)&gt;0,VLOOKUP(A409,Body!$A$4:$F$259,6,0),"")</f>
        <v/>
      </c>
      <c r="I409" s="4" t="str">
        <f ca="1">IF(N(A409)&gt;0,VLOOKUP(A409,Body!$A$4:$F$259,2,0),"")</f>
        <v/>
      </c>
    </row>
    <row r="410" spans="1:9" x14ac:dyDescent="0.4">
      <c r="A410" s="13"/>
      <c r="B410" s="13" t="str">
        <f ca="1">Start.listina!O112</f>
        <v/>
      </c>
      <c r="C410" s="13" t="str">
        <f ca="1">Start.listina!P112</f>
        <v xml:space="preserve"> </v>
      </c>
      <c r="D410" s="13" t="str">
        <f ca="1">Start.listina!Q112</f>
        <v xml:space="preserve"> </v>
      </c>
      <c r="E410" s="13" t="str">
        <f ca="1">Start.listina!R112</f>
        <v xml:space="preserve"> </v>
      </c>
      <c r="F410" s="13"/>
      <c r="G410" s="89"/>
      <c r="H410" s="4"/>
      <c r="I410" s="4"/>
    </row>
    <row r="411" spans="1:9" x14ac:dyDescent="0.4">
      <c r="A411" s="13"/>
      <c r="B411" s="13" t="str">
        <f ca="1">Start.listina!U112</f>
        <v/>
      </c>
      <c r="C411" s="13" t="str">
        <f ca="1">Start.listina!V112</f>
        <v xml:space="preserve"> </v>
      </c>
      <c r="D411" s="13" t="str">
        <f ca="1">Start.listina!W112</f>
        <v xml:space="preserve"> </v>
      </c>
      <c r="E411" s="13" t="str">
        <f ca="1">Start.listina!X112</f>
        <v xml:space="preserve"> </v>
      </c>
      <c r="F411" s="13"/>
      <c r="G411" s="89"/>
      <c r="H411" s="4"/>
      <c r="I411" s="4"/>
    </row>
    <row r="412" spans="1:9" x14ac:dyDescent="0.4">
      <c r="A412" s="13"/>
      <c r="B412" s="13" t="str">
        <f ca="1">Start.listina!AA112</f>
        <v/>
      </c>
      <c r="C412" s="13" t="str">
        <f ca="1">Start.listina!AB112</f>
        <v xml:space="preserve"> </v>
      </c>
      <c r="D412" s="13" t="str">
        <f ca="1">Start.listina!AC112</f>
        <v xml:space="preserve"> </v>
      </c>
      <c r="E412" s="13" t="str">
        <f ca="1">Start.listina!AD112</f>
        <v xml:space="preserve"> </v>
      </c>
      <c r="F412" s="13"/>
      <c r="G412" s="89"/>
      <c r="H412" s="4"/>
      <c r="I412" s="4"/>
    </row>
    <row r="413" spans="1:9" x14ac:dyDescent="0.4">
      <c r="A413" s="13">
        <f ca="1">Start.listina!AH113</f>
        <v>0</v>
      </c>
      <c r="B413" s="13" t="str">
        <f ca="1">Start.listina!I113</f>
        <v/>
      </c>
      <c r="C413" s="195" t="str">
        <f ca="1">Start.listina!J113</f>
        <v xml:space="preserve"> </v>
      </c>
      <c r="D413" s="13" t="str">
        <f ca="1">Start.listina!K113</f>
        <v xml:space="preserve"> </v>
      </c>
      <c r="E413" s="13" t="str">
        <f ca="1">Start.listina!L113</f>
        <v xml:space="preserve"> </v>
      </c>
      <c r="F413" s="13"/>
      <c r="G413" s="89" t="str">
        <f ca="1">IF(N(A413)&gt;0,VLOOKUP(A413,Body!$A$4:$F$259,5,0),"")</f>
        <v/>
      </c>
      <c r="H413" s="4" t="str">
        <f ca="1">IF(N(A413)&gt;0,VLOOKUP(A413,Body!$A$4:$F$259,6,0),"")</f>
        <v/>
      </c>
      <c r="I413" s="4" t="str">
        <f ca="1">IF(N(A413)&gt;0,VLOOKUP(A413,Body!$A$4:$F$259,2,0),"")</f>
        <v/>
      </c>
    </row>
    <row r="414" spans="1:9" x14ac:dyDescent="0.4">
      <c r="A414" s="13"/>
      <c r="B414" s="13" t="str">
        <f ca="1">Start.listina!O113</f>
        <v/>
      </c>
      <c r="C414" s="13" t="str">
        <f ca="1">Start.listina!P113</f>
        <v xml:space="preserve"> </v>
      </c>
      <c r="D414" s="13" t="str">
        <f ca="1">Start.listina!Q113</f>
        <v xml:space="preserve"> </v>
      </c>
      <c r="E414" s="13" t="str">
        <f ca="1">Start.listina!R113</f>
        <v xml:space="preserve"> </v>
      </c>
      <c r="F414" s="13"/>
      <c r="G414" s="89"/>
      <c r="H414" s="4"/>
      <c r="I414" s="4"/>
    </row>
    <row r="415" spans="1:9" x14ac:dyDescent="0.4">
      <c r="A415" s="13"/>
      <c r="B415" s="13" t="str">
        <f ca="1">Start.listina!U113</f>
        <v/>
      </c>
      <c r="C415" s="13" t="str">
        <f ca="1">Start.listina!V113</f>
        <v xml:space="preserve"> </v>
      </c>
      <c r="D415" s="13" t="str">
        <f ca="1">Start.listina!W113</f>
        <v xml:space="preserve"> </v>
      </c>
      <c r="E415" s="13" t="str">
        <f ca="1">Start.listina!X113</f>
        <v xml:space="preserve"> </v>
      </c>
      <c r="F415" s="13"/>
      <c r="G415" s="89"/>
      <c r="H415" s="4"/>
      <c r="I415" s="4"/>
    </row>
    <row r="416" spans="1:9" x14ac:dyDescent="0.4">
      <c r="A416" s="13"/>
      <c r="B416" s="13" t="str">
        <f ca="1">Start.listina!AA113</f>
        <v/>
      </c>
      <c r="C416" s="13" t="str">
        <f ca="1">Start.listina!AB113</f>
        <v xml:space="preserve"> </v>
      </c>
      <c r="D416" s="13" t="str">
        <f ca="1">Start.listina!AC113</f>
        <v xml:space="preserve"> </v>
      </c>
      <c r="E416" s="13" t="str">
        <f ca="1">Start.listina!AD113</f>
        <v xml:space="preserve"> </v>
      </c>
      <c r="F416" s="13"/>
      <c r="G416" s="89"/>
      <c r="H416" s="4"/>
      <c r="I416" s="4"/>
    </row>
    <row r="417" spans="1:9" x14ac:dyDescent="0.4">
      <c r="A417" s="13">
        <f ca="1">Start.listina!AH114</f>
        <v>0</v>
      </c>
      <c r="B417" s="13" t="str">
        <f ca="1">Start.listina!I114</f>
        <v/>
      </c>
      <c r="C417" s="195" t="str">
        <f ca="1">Start.listina!J114</f>
        <v xml:space="preserve"> </v>
      </c>
      <c r="D417" s="13" t="str">
        <f ca="1">Start.listina!K114</f>
        <v xml:space="preserve"> </v>
      </c>
      <c r="E417" s="13" t="str">
        <f ca="1">Start.listina!L114</f>
        <v xml:space="preserve"> </v>
      </c>
      <c r="F417" s="13"/>
      <c r="G417" s="89" t="str">
        <f ca="1">IF(N(A417)&gt;0,VLOOKUP(A417,Body!$A$4:$F$259,5,0),"")</f>
        <v/>
      </c>
      <c r="H417" s="4" t="str">
        <f ca="1">IF(N(A417)&gt;0,VLOOKUP(A417,Body!$A$4:$F$259,6,0),"")</f>
        <v/>
      </c>
      <c r="I417" s="4" t="str">
        <f ca="1">IF(N(A417)&gt;0,VLOOKUP(A417,Body!$A$4:$F$259,2,0),"")</f>
        <v/>
      </c>
    </row>
    <row r="418" spans="1:9" x14ac:dyDescent="0.4">
      <c r="A418" s="13"/>
      <c r="B418" s="13" t="str">
        <f ca="1">Start.listina!O114</f>
        <v/>
      </c>
      <c r="C418" s="13" t="str">
        <f ca="1">Start.listina!P114</f>
        <v xml:space="preserve"> </v>
      </c>
      <c r="D418" s="13" t="str">
        <f ca="1">Start.listina!Q114</f>
        <v xml:space="preserve"> </v>
      </c>
      <c r="E418" s="13" t="str">
        <f ca="1">Start.listina!R114</f>
        <v xml:space="preserve"> </v>
      </c>
      <c r="F418" s="13"/>
      <c r="G418" s="89"/>
      <c r="H418" s="4"/>
      <c r="I418" s="4"/>
    </row>
    <row r="419" spans="1:9" x14ac:dyDescent="0.4">
      <c r="A419" s="13"/>
      <c r="B419" s="13" t="str">
        <f ca="1">Start.listina!U114</f>
        <v/>
      </c>
      <c r="C419" s="13" t="str">
        <f ca="1">Start.listina!V114</f>
        <v xml:space="preserve"> </v>
      </c>
      <c r="D419" s="13" t="str">
        <f ca="1">Start.listina!W114</f>
        <v xml:space="preserve"> </v>
      </c>
      <c r="E419" s="13" t="str">
        <f ca="1">Start.listina!X114</f>
        <v xml:space="preserve"> </v>
      </c>
      <c r="F419" s="13"/>
      <c r="G419" s="89"/>
      <c r="H419" s="4"/>
      <c r="I419" s="4"/>
    </row>
    <row r="420" spans="1:9" x14ac:dyDescent="0.4">
      <c r="A420" s="13"/>
      <c r="B420" s="13" t="str">
        <f ca="1">Start.listina!AA114</f>
        <v/>
      </c>
      <c r="C420" s="13" t="str">
        <f ca="1">Start.listina!AB114</f>
        <v xml:space="preserve"> </v>
      </c>
      <c r="D420" s="13" t="str">
        <f ca="1">Start.listina!AC114</f>
        <v xml:space="preserve"> </v>
      </c>
      <c r="E420" s="13" t="str">
        <f ca="1">Start.listina!AD114</f>
        <v xml:space="preserve"> </v>
      </c>
      <c r="F420" s="13"/>
      <c r="G420" s="89"/>
      <c r="H420" s="4"/>
      <c r="I420" s="4"/>
    </row>
    <row r="421" spans="1:9" x14ac:dyDescent="0.4">
      <c r="A421" s="13">
        <f ca="1">Start.listina!AH115</f>
        <v>0</v>
      </c>
      <c r="B421" s="13" t="str">
        <f ca="1">Start.listina!I115</f>
        <v/>
      </c>
      <c r="C421" s="195" t="str">
        <f ca="1">Start.listina!J115</f>
        <v xml:space="preserve"> </v>
      </c>
      <c r="D421" s="13" t="str">
        <f ca="1">Start.listina!K115</f>
        <v xml:space="preserve"> </v>
      </c>
      <c r="E421" s="13" t="str">
        <f ca="1">Start.listina!L115</f>
        <v xml:space="preserve"> </v>
      </c>
      <c r="F421" s="13"/>
      <c r="G421" s="89" t="str">
        <f ca="1">IF(N(A421)&gt;0,VLOOKUP(A421,Body!$A$4:$F$259,5,0),"")</f>
        <v/>
      </c>
      <c r="H421" s="4" t="str">
        <f ca="1">IF(N(A421)&gt;0,VLOOKUP(A421,Body!$A$4:$F$259,6,0),"")</f>
        <v/>
      </c>
      <c r="I421" s="4" t="str">
        <f ca="1">IF(N(A421)&gt;0,VLOOKUP(A421,Body!$A$4:$F$259,2,0),"")</f>
        <v/>
      </c>
    </row>
    <row r="422" spans="1:9" x14ac:dyDescent="0.4">
      <c r="A422" s="13"/>
      <c r="B422" s="13" t="str">
        <f ca="1">Start.listina!O115</f>
        <v/>
      </c>
      <c r="C422" s="13" t="str">
        <f ca="1">Start.listina!P115</f>
        <v xml:space="preserve"> </v>
      </c>
      <c r="D422" s="13" t="str">
        <f ca="1">Start.listina!Q115</f>
        <v xml:space="preserve"> </v>
      </c>
      <c r="E422" s="13" t="str">
        <f ca="1">Start.listina!R115</f>
        <v xml:space="preserve"> </v>
      </c>
      <c r="F422" s="13"/>
      <c r="G422" s="89"/>
      <c r="H422" s="4"/>
      <c r="I422" s="4"/>
    </row>
    <row r="423" spans="1:9" x14ac:dyDescent="0.4">
      <c r="A423" s="13"/>
      <c r="B423" s="13" t="str">
        <f ca="1">Start.listina!U115</f>
        <v/>
      </c>
      <c r="C423" s="13" t="str">
        <f ca="1">Start.listina!V115</f>
        <v xml:space="preserve"> </v>
      </c>
      <c r="D423" s="13" t="str">
        <f ca="1">Start.listina!W115</f>
        <v xml:space="preserve"> </v>
      </c>
      <c r="E423" s="13" t="str">
        <f ca="1">Start.listina!X115</f>
        <v xml:space="preserve"> </v>
      </c>
      <c r="F423" s="13"/>
      <c r="G423" s="89"/>
      <c r="H423" s="4"/>
      <c r="I423" s="4"/>
    </row>
    <row r="424" spans="1:9" x14ac:dyDescent="0.4">
      <c r="A424" s="13"/>
      <c r="B424" s="13" t="str">
        <f ca="1">Start.listina!AA115</f>
        <v/>
      </c>
      <c r="C424" s="13" t="str">
        <f ca="1">Start.listina!AB115</f>
        <v xml:space="preserve"> </v>
      </c>
      <c r="D424" s="13" t="str">
        <f ca="1">Start.listina!AC115</f>
        <v xml:space="preserve"> </v>
      </c>
      <c r="E424" s="13" t="str">
        <f ca="1">Start.listina!AD115</f>
        <v xml:space="preserve"> </v>
      </c>
      <c r="F424" s="13"/>
      <c r="G424" s="89"/>
      <c r="H424" s="4"/>
      <c r="I424" s="4"/>
    </row>
    <row r="425" spans="1:9" x14ac:dyDescent="0.4">
      <c r="A425" s="13">
        <f ca="1">Start.listina!AH116</f>
        <v>0</v>
      </c>
      <c r="B425" s="13" t="str">
        <f ca="1">Start.listina!I116</f>
        <v/>
      </c>
      <c r="C425" s="195" t="str">
        <f ca="1">Start.listina!J116</f>
        <v xml:space="preserve"> </v>
      </c>
      <c r="D425" s="13" t="str">
        <f ca="1">Start.listina!K116</f>
        <v xml:space="preserve"> </v>
      </c>
      <c r="E425" s="13" t="str">
        <f ca="1">Start.listina!L116</f>
        <v xml:space="preserve"> </v>
      </c>
      <c r="F425" s="13"/>
      <c r="G425" s="89" t="str">
        <f ca="1">IF(N(A425)&gt;0,VLOOKUP(A425,Body!$A$4:$F$259,5,0),"")</f>
        <v/>
      </c>
      <c r="H425" s="4" t="str">
        <f ca="1">IF(N(A425)&gt;0,VLOOKUP(A425,Body!$A$4:$F$259,6,0),"")</f>
        <v/>
      </c>
      <c r="I425" s="4" t="str">
        <f ca="1">IF(N(A425)&gt;0,VLOOKUP(A425,Body!$A$4:$F$259,2,0),"")</f>
        <v/>
      </c>
    </row>
    <row r="426" spans="1:9" x14ac:dyDescent="0.4">
      <c r="A426" s="13"/>
      <c r="B426" s="13" t="str">
        <f ca="1">Start.listina!O116</f>
        <v/>
      </c>
      <c r="C426" s="13" t="str">
        <f ca="1">Start.listina!P116</f>
        <v xml:space="preserve"> </v>
      </c>
      <c r="D426" s="13" t="str">
        <f ca="1">Start.listina!Q116</f>
        <v xml:space="preserve"> </v>
      </c>
      <c r="E426" s="13" t="str">
        <f ca="1">Start.listina!R116</f>
        <v xml:space="preserve"> </v>
      </c>
      <c r="F426" s="13"/>
      <c r="G426" s="89"/>
      <c r="H426" s="4"/>
      <c r="I426" s="4"/>
    </row>
    <row r="427" spans="1:9" x14ac:dyDescent="0.4">
      <c r="A427" s="13"/>
      <c r="B427" s="13" t="str">
        <f ca="1">Start.listina!U116</f>
        <v/>
      </c>
      <c r="C427" s="13" t="str">
        <f ca="1">Start.listina!V116</f>
        <v xml:space="preserve"> </v>
      </c>
      <c r="D427" s="13" t="str">
        <f ca="1">Start.listina!W116</f>
        <v xml:space="preserve"> </v>
      </c>
      <c r="E427" s="13" t="str">
        <f ca="1">Start.listina!X116</f>
        <v xml:space="preserve"> </v>
      </c>
      <c r="F427" s="13"/>
      <c r="G427" s="89"/>
      <c r="H427" s="4"/>
      <c r="I427" s="4"/>
    </row>
    <row r="428" spans="1:9" x14ac:dyDescent="0.4">
      <c r="A428" s="13"/>
      <c r="B428" s="13" t="str">
        <f ca="1">Start.listina!AA116</f>
        <v/>
      </c>
      <c r="C428" s="13" t="str">
        <f ca="1">Start.listina!AB116</f>
        <v xml:space="preserve"> </v>
      </c>
      <c r="D428" s="13" t="str">
        <f ca="1">Start.listina!AC116</f>
        <v xml:space="preserve"> </v>
      </c>
      <c r="E428" s="13" t="str">
        <f ca="1">Start.listina!AD116</f>
        <v xml:space="preserve"> </v>
      </c>
      <c r="F428" s="13"/>
      <c r="G428" s="89"/>
      <c r="H428" s="4"/>
      <c r="I428" s="4"/>
    </row>
    <row r="429" spans="1:9" x14ac:dyDescent="0.4">
      <c r="A429" s="13">
        <f ca="1">Start.listina!AH117</f>
        <v>0</v>
      </c>
      <c r="B429" s="13" t="str">
        <f ca="1">Start.listina!I117</f>
        <v/>
      </c>
      <c r="C429" s="195" t="str">
        <f ca="1">Start.listina!J117</f>
        <v xml:space="preserve"> </v>
      </c>
      <c r="D429" s="13" t="str">
        <f ca="1">Start.listina!K117</f>
        <v xml:space="preserve"> </v>
      </c>
      <c r="E429" s="13" t="str">
        <f ca="1">Start.listina!L117</f>
        <v xml:space="preserve"> </v>
      </c>
      <c r="F429" s="13"/>
      <c r="G429" s="89" t="str">
        <f ca="1">IF(N(A429)&gt;0,VLOOKUP(A429,Body!$A$4:$F$259,5,0),"")</f>
        <v/>
      </c>
      <c r="H429" s="4" t="str">
        <f ca="1">IF(N(A429)&gt;0,VLOOKUP(A429,Body!$A$4:$F$259,6,0),"")</f>
        <v/>
      </c>
      <c r="I429" s="4" t="str">
        <f ca="1">IF(N(A429)&gt;0,VLOOKUP(A429,Body!$A$4:$F$259,2,0),"")</f>
        <v/>
      </c>
    </row>
    <row r="430" spans="1:9" x14ac:dyDescent="0.4">
      <c r="A430" s="13"/>
      <c r="B430" s="13" t="str">
        <f ca="1">Start.listina!O117</f>
        <v/>
      </c>
      <c r="C430" s="13" t="str">
        <f ca="1">Start.listina!P117</f>
        <v xml:space="preserve"> </v>
      </c>
      <c r="D430" s="13" t="str">
        <f ca="1">Start.listina!Q117</f>
        <v xml:space="preserve"> </v>
      </c>
      <c r="E430" s="13" t="str">
        <f ca="1">Start.listina!R117</f>
        <v xml:space="preserve"> </v>
      </c>
      <c r="F430" s="13"/>
      <c r="G430" s="89"/>
      <c r="H430" s="4"/>
      <c r="I430" s="4"/>
    </row>
    <row r="431" spans="1:9" x14ac:dyDescent="0.4">
      <c r="A431" s="13"/>
      <c r="B431" s="13" t="str">
        <f ca="1">Start.listina!U117</f>
        <v/>
      </c>
      <c r="C431" s="13" t="str">
        <f ca="1">Start.listina!V117</f>
        <v xml:space="preserve"> </v>
      </c>
      <c r="D431" s="13" t="str">
        <f ca="1">Start.listina!W117</f>
        <v xml:space="preserve"> </v>
      </c>
      <c r="E431" s="13" t="str">
        <f ca="1">Start.listina!X117</f>
        <v xml:space="preserve"> </v>
      </c>
      <c r="F431" s="13"/>
      <c r="G431" s="89"/>
      <c r="H431" s="4"/>
      <c r="I431" s="4"/>
    </row>
    <row r="432" spans="1:9" x14ac:dyDescent="0.4">
      <c r="A432" s="13"/>
      <c r="B432" s="13" t="str">
        <f ca="1">Start.listina!AA117</f>
        <v/>
      </c>
      <c r="C432" s="13" t="str">
        <f ca="1">Start.listina!AB117</f>
        <v xml:space="preserve"> </v>
      </c>
      <c r="D432" s="13" t="str">
        <f ca="1">Start.listina!AC117</f>
        <v xml:space="preserve"> </v>
      </c>
      <c r="E432" s="13" t="str">
        <f ca="1">Start.listina!AD117</f>
        <v xml:space="preserve"> </v>
      </c>
      <c r="F432" s="13"/>
      <c r="G432" s="89"/>
      <c r="H432" s="4"/>
      <c r="I432" s="4"/>
    </row>
    <row r="433" spans="1:9" x14ac:dyDescent="0.4">
      <c r="A433" s="13">
        <f ca="1">Start.listina!AH118</f>
        <v>0</v>
      </c>
      <c r="B433" s="13" t="str">
        <f ca="1">Start.listina!I118</f>
        <v/>
      </c>
      <c r="C433" s="195" t="str">
        <f ca="1">Start.listina!J118</f>
        <v xml:space="preserve"> </v>
      </c>
      <c r="D433" s="13" t="str">
        <f ca="1">Start.listina!K118</f>
        <v xml:space="preserve"> </v>
      </c>
      <c r="E433" s="13" t="str">
        <f ca="1">Start.listina!L118</f>
        <v xml:space="preserve"> </v>
      </c>
      <c r="F433" s="13"/>
      <c r="G433" s="89" t="str">
        <f ca="1">IF(N(A433)&gt;0,VLOOKUP(A433,Body!$A$4:$F$259,5,0),"")</f>
        <v/>
      </c>
      <c r="H433" s="4" t="str">
        <f ca="1">IF(N(A433)&gt;0,VLOOKUP(A433,Body!$A$4:$F$259,6,0),"")</f>
        <v/>
      </c>
      <c r="I433" s="4" t="str">
        <f ca="1">IF(N(A433)&gt;0,VLOOKUP(A433,Body!$A$4:$F$259,2,0),"")</f>
        <v/>
      </c>
    </row>
    <row r="434" spans="1:9" x14ac:dyDescent="0.4">
      <c r="A434" s="13"/>
      <c r="B434" s="13" t="str">
        <f ca="1">Start.listina!O118</f>
        <v/>
      </c>
      <c r="C434" s="13" t="str">
        <f ca="1">Start.listina!P118</f>
        <v xml:space="preserve"> </v>
      </c>
      <c r="D434" s="13" t="str">
        <f ca="1">Start.listina!Q118</f>
        <v xml:space="preserve"> </v>
      </c>
      <c r="E434" s="13" t="str">
        <f ca="1">Start.listina!R118</f>
        <v xml:space="preserve"> </v>
      </c>
      <c r="F434" s="13"/>
      <c r="G434" s="89"/>
      <c r="H434" s="4"/>
      <c r="I434" s="4"/>
    </row>
    <row r="435" spans="1:9" x14ac:dyDescent="0.4">
      <c r="A435" s="13"/>
      <c r="B435" s="13" t="str">
        <f ca="1">Start.listina!U118</f>
        <v/>
      </c>
      <c r="C435" s="13" t="str">
        <f ca="1">Start.listina!V118</f>
        <v xml:space="preserve"> </v>
      </c>
      <c r="D435" s="13" t="str">
        <f ca="1">Start.listina!W118</f>
        <v xml:space="preserve"> </v>
      </c>
      <c r="E435" s="13" t="str">
        <f ca="1">Start.listina!X118</f>
        <v xml:space="preserve"> </v>
      </c>
      <c r="F435" s="13"/>
      <c r="G435" s="89"/>
      <c r="H435" s="4"/>
      <c r="I435" s="4"/>
    </row>
    <row r="436" spans="1:9" x14ac:dyDescent="0.4">
      <c r="A436" s="13"/>
      <c r="B436" s="13" t="str">
        <f ca="1">Start.listina!AA118</f>
        <v/>
      </c>
      <c r="C436" s="13" t="str">
        <f ca="1">Start.listina!AB118</f>
        <v xml:space="preserve"> </v>
      </c>
      <c r="D436" s="13" t="str">
        <f ca="1">Start.listina!AC118</f>
        <v xml:space="preserve"> </v>
      </c>
      <c r="E436" s="13" t="str">
        <f ca="1">Start.listina!AD118</f>
        <v xml:space="preserve"> </v>
      </c>
      <c r="F436" s="13"/>
      <c r="G436" s="89"/>
      <c r="H436" s="4"/>
      <c r="I436" s="4"/>
    </row>
    <row r="437" spans="1:9" x14ac:dyDescent="0.4">
      <c r="A437" s="13">
        <f ca="1">Start.listina!AH119</f>
        <v>0</v>
      </c>
      <c r="B437" s="13" t="str">
        <f ca="1">Start.listina!I119</f>
        <v/>
      </c>
      <c r="C437" s="195" t="str">
        <f ca="1">Start.listina!J119</f>
        <v xml:space="preserve"> </v>
      </c>
      <c r="D437" s="13" t="str">
        <f ca="1">Start.listina!K119</f>
        <v xml:space="preserve"> </v>
      </c>
      <c r="E437" s="13" t="str">
        <f ca="1">Start.listina!L119</f>
        <v xml:space="preserve"> </v>
      </c>
      <c r="F437" s="13"/>
      <c r="G437" s="89" t="str">
        <f ca="1">IF(N(A437)&gt;0,VLOOKUP(A437,Body!$A$4:$F$259,5,0),"")</f>
        <v/>
      </c>
      <c r="H437" s="4" t="str">
        <f ca="1">IF(N(A437)&gt;0,VLOOKUP(A437,Body!$A$4:$F$259,6,0),"")</f>
        <v/>
      </c>
      <c r="I437" s="4" t="str">
        <f ca="1">IF(N(A437)&gt;0,VLOOKUP(A437,Body!$A$4:$F$259,2,0),"")</f>
        <v/>
      </c>
    </row>
    <row r="438" spans="1:9" x14ac:dyDescent="0.4">
      <c r="A438" s="13"/>
      <c r="B438" s="13" t="str">
        <f ca="1">Start.listina!O119</f>
        <v/>
      </c>
      <c r="C438" s="13" t="str">
        <f ca="1">Start.listina!P119</f>
        <v xml:space="preserve"> </v>
      </c>
      <c r="D438" s="13" t="str">
        <f ca="1">Start.listina!Q119</f>
        <v xml:space="preserve"> </v>
      </c>
      <c r="E438" s="13" t="str">
        <f ca="1">Start.listina!R119</f>
        <v xml:space="preserve"> </v>
      </c>
      <c r="F438" s="13"/>
      <c r="G438" s="89"/>
      <c r="H438" s="4"/>
      <c r="I438" s="4"/>
    </row>
    <row r="439" spans="1:9" x14ac:dyDescent="0.4">
      <c r="A439" s="13"/>
      <c r="B439" s="13" t="str">
        <f ca="1">Start.listina!U119</f>
        <v/>
      </c>
      <c r="C439" s="13" t="str">
        <f ca="1">Start.listina!V119</f>
        <v xml:space="preserve"> </v>
      </c>
      <c r="D439" s="13" t="str">
        <f ca="1">Start.listina!W119</f>
        <v xml:space="preserve"> </v>
      </c>
      <c r="E439" s="13" t="str">
        <f ca="1">Start.listina!X119</f>
        <v xml:space="preserve"> </v>
      </c>
      <c r="F439" s="13"/>
      <c r="G439" s="89"/>
      <c r="H439" s="4"/>
      <c r="I439" s="4"/>
    </row>
    <row r="440" spans="1:9" x14ac:dyDescent="0.4">
      <c r="A440" s="13"/>
      <c r="B440" s="13" t="str">
        <f ca="1">Start.listina!AA119</f>
        <v/>
      </c>
      <c r="C440" s="13" t="str">
        <f ca="1">Start.listina!AB119</f>
        <v xml:space="preserve"> </v>
      </c>
      <c r="D440" s="13" t="str">
        <f ca="1">Start.listina!AC119</f>
        <v xml:space="preserve"> </v>
      </c>
      <c r="E440" s="13" t="str">
        <f ca="1">Start.listina!AD119</f>
        <v xml:space="preserve"> </v>
      </c>
      <c r="F440" s="13"/>
      <c r="G440" s="89"/>
      <c r="H440" s="4"/>
      <c r="I440" s="4"/>
    </row>
    <row r="441" spans="1:9" x14ac:dyDescent="0.4">
      <c r="A441" s="13">
        <f ca="1">Start.listina!AH120</f>
        <v>0</v>
      </c>
      <c r="B441" s="13" t="str">
        <f ca="1">Start.listina!I120</f>
        <v/>
      </c>
      <c r="C441" s="195" t="str">
        <f ca="1">Start.listina!J120</f>
        <v xml:space="preserve"> </v>
      </c>
      <c r="D441" s="13" t="str">
        <f ca="1">Start.listina!K120</f>
        <v xml:space="preserve"> </v>
      </c>
      <c r="E441" s="13" t="str">
        <f ca="1">Start.listina!L120</f>
        <v xml:space="preserve"> </v>
      </c>
      <c r="F441" s="13"/>
      <c r="G441" s="89" t="str">
        <f ca="1">IF(N(A441)&gt;0,VLOOKUP(A441,Body!$A$4:$F$259,5,0),"")</f>
        <v/>
      </c>
      <c r="H441" s="4" t="str">
        <f ca="1">IF(N(A441)&gt;0,VLOOKUP(A441,Body!$A$4:$F$259,6,0),"")</f>
        <v/>
      </c>
      <c r="I441" s="4" t="str">
        <f ca="1">IF(N(A441)&gt;0,VLOOKUP(A441,Body!$A$4:$F$259,2,0),"")</f>
        <v/>
      </c>
    </row>
    <row r="442" spans="1:9" x14ac:dyDescent="0.4">
      <c r="A442" s="13"/>
      <c r="B442" s="13" t="str">
        <f ca="1">Start.listina!O120</f>
        <v/>
      </c>
      <c r="C442" s="13" t="str">
        <f ca="1">Start.listina!P120</f>
        <v xml:space="preserve"> </v>
      </c>
      <c r="D442" s="13" t="str">
        <f ca="1">Start.listina!Q120</f>
        <v xml:space="preserve"> </v>
      </c>
      <c r="E442" s="13" t="str">
        <f ca="1">Start.listina!R120</f>
        <v xml:space="preserve"> </v>
      </c>
      <c r="F442" s="13"/>
      <c r="G442" s="89"/>
      <c r="H442" s="4"/>
      <c r="I442" s="4"/>
    </row>
    <row r="443" spans="1:9" x14ac:dyDescent="0.4">
      <c r="A443" s="13"/>
      <c r="B443" s="13" t="str">
        <f ca="1">Start.listina!U120</f>
        <v/>
      </c>
      <c r="C443" s="13" t="str">
        <f ca="1">Start.listina!V120</f>
        <v xml:space="preserve"> </v>
      </c>
      <c r="D443" s="13" t="str">
        <f ca="1">Start.listina!W120</f>
        <v xml:space="preserve"> </v>
      </c>
      <c r="E443" s="13" t="str">
        <f ca="1">Start.listina!X120</f>
        <v xml:space="preserve"> </v>
      </c>
      <c r="F443" s="13"/>
      <c r="G443" s="89"/>
      <c r="H443" s="4"/>
      <c r="I443" s="4"/>
    </row>
    <row r="444" spans="1:9" x14ac:dyDescent="0.4">
      <c r="A444" s="13"/>
      <c r="B444" s="13" t="str">
        <f ca="1">Start.listina!AA120</f>
        <v/>
      </c>
      <c r="C444" s="13" t="str">
        <f ca="1">Start.listina!AB120</f>
        <v xml:space="preserve"> </v>
      </c>
      <c r="D444" s="13" t="str">
        <f ca="1">Start.listina!AC120</f>
        <v xml:space="preserve"> </v>
      </c>
      <c r="E444" s="13" t="str">
        <f ca="1">Start.listina!AD120</f>
        <v xml:space="preserve"> </v>
      </c>
      <c r="F444" s="13"/>
      <c r="G444" s="89"/>
      <c r="H444" s="4"/>
      <c r="I444" s="4"/>
    </row>
    <row r="445" spans="1:9" x14ac:dyDescent="0.4">
      <c r="A445" s="13">
        <f ca="1">Start.listina!AH121</f>
        <v>0</v>
      </c>
      <c r="B445" s="13" t="str">
        <f ca="1">Start.listina!I121</f>
        <v/>
      </c>
      <c r="C445" s="195" t="str">
        <f ca="1">Start.listina!J121</f>
        <v xml:space="preserve"> </v>
      </c>
      <c r="D445" s="13" t="str">
        <f ca="1">Start.listina!K121</f>
        <v xml:space="preserve"> </v>
      </c>
      <c r="E445" s="13" t="str">
        <f ca="1">Start.listina!L121</f>
        <v xml:space="preserve"> </v>
      </c>
      <c r="F445" s="13"/>
      <c r="G445" s="89" t="str">
        <f ca="1">IF(N(A445)&gt;0,VLOOKUP(A445,Body!$A$4:$F$259,5,0),"")</f>
        <v/>
      </c>
      <c r="H445" s="4" t="str">
        <f ca="1">IF(N(A445)&gt;0,VLOOKUP(A445,Body!$A$4:$F$259,6,0),"")</f>
        <v/>
      </c>
      <c r="I445" s="4" t="str">
        <f ca="1">IF(N(A445)&gt;0,VLOOKUP(A445,Body!$A$4:$F$259,2,0),"")</f>
        <v/>
      </c>
    </row>
    <row r="446" spans="1:9" x14ac:dyDescent="0.4">
      <c r="A446" s="13"/>
      <c r="B446" s="13" t="str">
        <f ca="1">Start.listina!O121</f>
        <v/>
      </c>
      <c r="C446" s="13" t="str">
        <f ca="1">Start.listina!P121</f>
        <v xml:space="preserve"> </v>
      </c>
      <c r="D446" s="13" t="str">
        <f ca="1">Start.listina!Q121</f>
        <v xml:space="preserve"> </v>
      </c>
      <c r="E446" s="13" t="str">
        <f ca="1">Start.listina!R121</f>
        <v xml:space="preserve"> </v>
      </c>
      <c r="F446" s="13"/>
      <c r="G446" s="89"/>
      <c r="H446" s="4"/>
      <c r="I446" s="4"/>
    </row>
    <row r="447" spans="1:9" x14ac:dyDescent="0.4">
      <c r="A447" s="13"/>
      <c r="B447" s="13" t="str">
        <f ca="1">Start.listina!U121</f>
        <v/>
      </c>
      <c r="C447" s="13" t="str">
        <f ca="1">Start.listina!V121</f>
        <v xml:space="preserve"> </v>
      </c>
      <c r="D447" s="13" t="str">
        <f ca="1">Start.listina!W121</f>
        <v xml:space="preserve"> </v>
      </c>
      <c r="E447" s="13" t="str">
        <f ca="1">Start.listina!X121</f>
        <v xml:space="preserve"> </v>
      </c>
      <c r="F447" s="13"/>
      <c r="G447" s="89"/>
      <c r="H447" s="4"/>
      <c r="I447" s="4"/>
    </row>
    <row r="448" spans="1:9" x14ac:dyDescent="0.4">
      <c r="A448" s="13"/>
      <c r="B448" s="13" t="str">
        <f ca="1">Start.listina!AA121</f>
        <v/>
      </c>
      <c r="C448" s="13" t="str">
        <f ca="1">Start.listina!AB121</f>
        <v xml:space="preserve"> </v>
      </c>
      <c r="D448" s="13" t="str">
        <f ca="1">Start.listina!AC121</f>
        <v xml:space="preserve"> </v>
      </c>
      <c r="E448" s="13" t="str">
        <f ca="1">Start.listina!AD121</f>
        <v xml:space="preserve"> </v>
      </c>
      <c r="F448" s="13"/>
      <c r="G448" s="89"/>
      <c r="H448" s="4"/>
      <c r="I448" s="4"/>
    </row>
    <row r="449" spans="1:9" x14ac:dyDescent="0.4">
      <c r="A449" s="13">
        <f ca="1">Start.listina!AH122</f>
        <v>0</v>
      </c>
      <c r="B449" s="13" t="str">
        <f ca="1">Start.listina!I122</f>
        <v/>
      </c>
      <c r="C449" s="195" t="str">
        <f ca="1">Start.listina!J122</f>
        <v xml:space="preserve"> </v>
      </c>
      <c r="D449" s="13" t="str">
        <f ca="1">Start.listina!K122</f>
        <v xml:space="preserve"> </v>
      </c>
      <c r="E449" s="13" t="str">
        <f ca="1">Start.listina!L122</f>
        <v xml:space="preserve"> </v>
      </c>
      <c r="F449" s="13"/>
      <c r="G449" s="89" t="str">
        <f ca="1">IF(N(A449)&gt;0,VLOOKUP(A449,Body!$A$4:$F$259,5,0),"")</f>
        <v/>
      </c>
      <c r="H449" s="4" t="str">
        <f ca="1">IF(N(A449)&gt;0,VLOOKUP(A449,Body!$A$4:$F$259,6,0),"")</f>
        <v/>
      </c>
      <c r="I449" s="4" t="str">
        <f ca="1">IF(N(A449)&gt;0,VLOOKUP(A449,Body!$A$4:$F$259,2,0),"")</f>
        <v/>
      </c>
    </row>
    <row r="450" spans="1:9" x14ac:dyDescent="0.4">
      <c r="A450" s="13"/>
      <c r="B450" s="13" t="str">
        <f ca="1">Start.listina!O122</f>
        <v/>
      </c>
      <c r="C450" s="13" t="str">
        <f ca="1">Start.listina!P122</f>
        <v xml:space="preserve"> </v>
      </c>
      <c r="D450" s="13" t="str">
        <f ca="1">Start.listina!Q122</f>
        <v xml:space="preserve"> </v>
      </c>
      <c r="E450" s="13" t="str">
        <f ca="1">Start.listina!R122</f>
        <v xml:space="preserve"> </v>
      </c>
      <c r="F450" s="13"/>
      <c r="G450" s="89"/>
      <c r="H450" s="4"/>
      <c r="I450" s="4"/>
    </row>
    <row r="451" spans="1:9" x14ac:dyDescent="0.4">
      <c r="A451" s="13"/>
      <c r="B451" s="13" t="str">
        <f ca="1">Start.listina!U122</f>
        <v/>
      </c>
      <c r="C451" s="13" t="str">
        <f ca="1">Start.listina!V122</f>
        <v xml:space="preserve"> </v>
      </c>
      <c r="D451" s="13" t="str">
        <f ca="1">Start.listina!W122</f>
        <v xml:space="preserve"> </v>
      </c>
      <c r="E451" s="13" t="str">
        <f ca="1">Start.listina!X122</f>
        <v xml:space="preserve"> </v>
      </c>
      <c r="F451" s="13"/>
      <c r="G451" s="89"/>
      <c r="H451" s="4"/>
      <c r="I451" s="4"/>
    </row>
    <row r="452" spans="1:9" x14ac:dyDescent="0.4">
      <c r="A452" s="13"/>
      <c r="B452" s="13" t="str">
        <f ca="1">Start.listina!AA122</f>
        <v/>
      </c>
      <c r="C452" s="13" t="str">
        <f ca="1">Start.listina!AB122</f>
        <v xml:space="preserve"> </v>
      </c>
      <c r="D452" s="13" t="str">
        <f ca="1">Start.listina!AC122</f>
        <v xml:space="preserve"> </v>
      </c>
      <c r="E452" s="13" t="str">
        <f ca="1">Start.listina!AD122</f>
        <v xml:space="preserve"> </v>
      </c>
      <c r="F452" s="13"/>
      <c r="G452" s="89"/>
      <c r="H452" s="4"/>
      <c r="I452" s="4"/>
    </row>
    <row r="453" spans="1:9" x14ac:dyDescent="0.4">
      <c r="A453" s="13">
        <f ca="1">Start.listina!AH123</f>
        <v>0</v>
      </c>
      <c r="B453" s="13" t="str">
        <f ca="1">Start.listina!I123</f>
        <v/>
      </c>
      <c r="C453" s="195" t="str">
        <f ca="1">Start.listina!J123</f>
        <v xml:space="preserve"> </v>
      </c>
      <c r="D453" s="13" t="str">
        <f ca="1">Start.listina!K123</f>
        <v xml:space="preserve"> </v>
      </c>
      <c r="E453" s="13" t="str">
        <f ca="1">Start.listina!L123</f>
        <v xml:space="preserve"> </v>
      </c>
      <c r="F453" s="13"/>
      <c r="G453" s="89" t="str">
        <f ca="1">IF(N(A453)&gt;0,VLOOKUP(A453,Body!$A$4:$F$259,5,0),"")</f>
        <v/>
      </c>
      <c r="H453" s="4" t="str">
        <f ca="1">IF(N(A453)&gt;0,VLOOKUP(A453,Body!$A$4:$F$259,6,0),"")</f>
        <v/>
      </c>
      <c r="I453" s="4" t="str">
        <f ca="1">IF(N(A453)&gt;0,VLOOKUP(A453,Body!$A$4:$F$259,2,0),"")</f>
        <v/>
      </c>
    </row>
    <row r="454" spans="1:9" x14ac:dyDescent="0.4">
      <c r="A454" s="13"/>
      <c r="B454" s="13" t="str">
        <f ca="1">Start.listina!O123</f>
        <v/>
      </c>
      <c r="C454" s="13" t="str">
        <f ca="1">Start.listina!P123</f>
        <v xml:space="preserve"> </v>
      </c>
      <c r="D454" s="13" t="str">
        <f ca="1">Start.listina!Q123</f>
        <v xml:space="preserve"> </v>
      </c>
      <c r="E454" s="13" t="str">
        <f ca="1">Start.listina!R123</f>
        <v xml:space="preserve"> </v>
      </c>
      <c r="F454" s="13"/>
      <c r="G454" s="89"/>
      <c r="H454" s="4"/>
      <c r="I454" s="4"/>
    </row>
    <row r="455" spans="1:9" x14ac:dyDescent="0.4">
      <c r="A455" s="13"/>
      <c r="B455" s="13" t="str">
        <f ca="1">Start.listina!U123</f>
        <v/>
      </c>
      <c r="C455" s="13" t="str">
        <f ca="1">Start.listina!V123</f>
        <v xml:space="preserve"> </v>
      </c>
      <c r="D455" s="13" t="str">
        <f ca="1">Start.listina!W123</f>
        <v xml:space="preserve"> </v>
      </c>
      <c r="E455" s="13" t="str">
        <f ca="1">Start.listina!X123</f>
        <v xml:space="preserve"> </v>
      </c>
      <c r="F455" s="13"/>
      <c r="G455" s="89"/>
      <c r="H455" s="4"/>
      <c r="I455" s="4"/>
    </row>
    <row r="456" spans="1:9" x14ac:dyDescent="0.4">
      <c r="A456" s="13"/>
      <c r="B456" s="13" t="str">
        <f ca="1">Start.listina!AA123</f>
        <v/>
      </c>
      <c r="C456" s="13" t="str">
        <f ca="1">Start.listina!AB123</f>
        <v xml:space="preserve"> </v>
      </c>
      <c r="D456" s="13" t="str">
        <f ca="1">Start.listina!AC123</f>
        <v xml:space="preserve"> </v>
      </c>
      <c r="E456" s="13" t="str">
        <f ca="1">Start.listina!AD123</f>
        <v xml:space="preserve"> </v>
      </c>
      <c r="F456" s="13"/>
      <c r="G456" s="89"/>
      <c r="H456" s="4"/>
      <c r="I456" s="4"/>
    </row>
    <row r="457" spans="1:9" x14ac:dyDescent="0.4">
      <c r="A457" s="13">
        <f ca="1">Start.listina!AH124</f>
        <v>0</v>
      </c>
      <c r="B457" s="13" t="str">
        <f ca="1">Start.listina!I124</f>
        <v/>
      </c>
      <c r="C457" s="195" t="str">
        <f ca="1">Start.listina!J124</f>
        <v xml:space="preserve"> </v>
      </c>
      <c r="D457" s="13" t="str">
        <f ca="1">Start.listina!K124</f>
        <v xml:space="preserve"> </v>
      </c>
      <c r="E457" s="13" t="str">
        <f ca="1">Start.listina!L124</f>
        <v xml:space="preserve"> </v>
      </c>
      <c r="F457" s="13"/>
      <c r="G457" s="89" t="str">
        <f ca="1">IF(N(A457)&gt;0,VLOOKUP(A457,Body!$A$4:$F$259,5,0),"")</f>
        <v/>
      </c>
      <c r="H457" s="4" t="str">
        <f ca="1">IF(N(A457)&gt;0,VLOOKUP(A457,Body!$A$4:$F$259,6,0),"")</f>
        <v/>
      </c>
      <c r="I457" s="4" t="str">
        <f ca="1">IF(N(A457)&gt;0,VLOOKUP(A457,Body!$A$4:$F$259,2,0),"")</f>
        <v/>
      </c>
    </row>
    <row r="458" spans="1:9" x14ac:dyDescent="0.4">
      <c r="A458" s="13"/>
      <c r="B458" s="13" t="str">
        <f ca="1">Start.listina!O124</f>
        <v/>
      </c>
      <c r="C458" s="13" t="str">
        <f ca="1">Start.listina!P124</f>
        <v xml:space="preserve"> </v>
      </c>
      <c r="D458" s="13" t="str">
        <f ca="1">Start.listina!Q124</f>
        <v xml:space="preserve"> </v>
      </c>
      <c r="E458" s="13" t="str">
        <f ca="1">Start.listina!R124</f>
        <v xml:space="preserve"> </v>
      </c>
      <c r="F458" s="13"/>
      <c r="G458" s="89"/>
      <c r="H458" s="4"/>
      <c r="I458" s="4"/>
    </row>
    <row r="459" spans="1:9" x14ac:dyDescent="0.4">
      <c r="A459" s="13"/>
      <c r="B459" s="13" t="str">
        <f ca="1">Start.listina!U124</f>
        <v/>
      </c>
      <c r="C459" s="13" t="str">
        <f ca="1">Start.listina!V124</f>
        <v xml:space="preserve"> </v>
      </c>
      <c r="D459" s="13" t="str">
        <f ca="1">Start.listina!W124</f>
        <v xml:space="preserve"> </v>
      </c>
      <c r="E459" s="13" t="str">
        <f ca="1">Start.listina!X124</f>
        <v xml:space="preserve"> </v>
      </c>
      <c r="F459" s="13"/>
      <c r="G459" s="89"/>
      <c r="H459" s="4"/>
      <c r="I459" s="4"/>
    </row>
    <row r="460" spans="1:9" x14ac:dyDescent="0.4">
      <c r="A460" s="13"/>
      <c r="B460" s="13" t="str">
        <f ca="1">Start.listina!AA124</f>
        <v/>
      </c>
      <c r="C460" s="13" t="str">
        <f ca="1">Start.listina!AB124</f>
        <v xml:space="preserve"> </v>
      </c>
      <c r="D460" s="13" t="str">
        <f ca="1">Start.listina!AC124</f>
        <v xml:space="preserve"> </v>
      </c>
      <c r="E460" s="13" t="str">
        <f ca="1">Start.listina!AD124</f>
        <v xml:space="preserve"> </v>
      </c>
      <c r="F460" s="13"/>
      <c r="G460" s="89"/>
      <c r="H460" s="4"/>
      <c r="I460" s="4"/>
    </row>
    <row r="461" spans="1:9" x14ac:dyDescent="0.4">
      <c r="A461" s="13">
        <f ca="1">Start.listina!AH125</f>
        <v>0</v>
      </c>
      <c r="B461" s="13" t="str">
        <f ca="1">Start.listina!I125</f>
        <v/>
      </c>
      <c r="C461" s="195" t="str">
        <f ca="1">Start.listina!J125</f>
        <v xml:space="preserve"> </v>
      </c>
      <c r="D461" s="13" t="str">
        <f ca="1">Start.listina!K125</f>
        <v xml:space="preserve"> </v>
      </c>
      <c r="E461" s="13" t="str">
        <f ca="1">Start.listina!L125</f>
        <v xml:space="preserve"> </v>
      </c>
      <c r="F461" s="13"/>
      <c r="G461" s="89" t="str">
        <f ca="1">IF(N(A461)&gt;0,VLOOKUP(A461,Body!$A$4:$F$259,5,0),"")</f>
        <v/>
      </c>
      <c r="H461" s="4" t="str">
        <f ca="1">IF(N(A461)&gt;0,VLOOKUP(A461,Body!$A$4:$F$259,6,0),"")</f>
        <v/>
      </c>
      <c r="I461" s="4" t="str">
        <f ca="1">IF(N(A461)&gt;0,VLOOKUP(A461,Body!$A$4:$F$259,2,0),"")</f>
        <v/>
      </c>
    </row>
    <row r="462" spans="1:9" x14ac:dyDescent="0.4">
      <c r="A462" s="13"/>
      <c r="B462" s="13" t="str">
        <f ca="1">Start.listina!O125</f>
        <v/>
      </c>
      <c r="C462" s="13" t="str">
        <f ca="1">Start.listina!P125</f>
        <v xml:space="preserve"> </v>
      </c>
      <c r="D462" s="13" t="str">
        <f ca="1">Start.listina!Q125</f>
        <v xml:space="preserve"> </v>
      </c>
      <c r="E462" s="13" t="str">
        <f ca="1">Start.listina!R125</f>
        <v xml:space="preserve"> </v>
      </c>
      <c r="F462" s="13"/>
      <c r="G462" s="89"/>
      <c r="H462" s="4"/>
      <c r="I462" s="4"/>
    </row>
    <row r="463" spans="1:9" x14ac:dyDescent="0.4">
      <c r="A463" s="13"/>
      <c r="B463" s="13" t="str">
        <f ca="1">Start.listina!U125</f>
        <v/>
      </c>
      <c r="C463" s="13" t="str">
        <f ca="1">Start.listina!V125</f>
        <v xml:space="preserve"> </v>
      </c>
      <c r="D463" s="13" t="str">
        <f ca="1">Start.listina!W125</f>
        <v xml:space="preserve"> </v>
      </c>
      <c r="E463" s="13" t="str">
        <f ca="1">Start.listina!X125</f>
        <v xml:space="preserve"> </v>
      </c>
      <c r="F463" s="13"/>
      <c r="G463" s="89"/>
      <c r="H463" s="4"/>
      <c r="I463" s="4"/>
    </row>
    <row r="464" spans="1:9" x14ac:dyDescent="0.4">
      <c r="A464" s="13"/>
      <c r="B464" s="13" t="str">
        <f ca="1">Start.listina!AA125</f>
        <v/>
      </c>
      <c r="C464" s="13" t="str">
        <f ca="1">Start.listina!AB125</f>
        <v xml:space="preserve"> </v>
      </c>
      <c r="D464" s="13" t="str">
        <f ca="1">Start.listina!AC125</f>
        <v xml:space="preserve"> </v>
      </c>
      <c r="E464" s="13" t="str">
        <f ca="1">Start.listina!AD125</f>
        <v xml:space="preserve"> </v>
      </c>
      <c r="F464" s="13"/>
      <c r="G464" s="89"/>
      <c r="H464" s="4"/>
      <c r="I464" s="4"/>
    </row>
    <row r="465" spans="1:9" x14ac:dyDescent="0.4">
      <c r="A465" s="13">
        <f ca="1">Start.listina!AH126</f>
        <v>0</v>
      </c>
      <c r="B465" s="13" t="str">
        <f ca="1">Start.listina!I126</f>
        <v/>
      </c>
      <c r="C465" s="195" t="str">
        <f ca="1">Start.listina!J126</f>
        <v xml:space="preserve"> </v>
      </c>
      <c r="D465" s="13" t="str">
        <f ca="1">Start.listina!K126</f>
        <v xml:space="preserve"> </v>
      </c>
      <c r="E465" s="13" t="str">
        <f ca="1">Start.listina!L126</f>
        <v xml:space="preserve"> </v>
      </c>
      <c r="F465" s="13"/>
      <c r="G465" s="89" t="str">
        <f ca="1">IF(N(A465)&gt;0,VLOOKUP(A465,Body!$A$4:$F$259,5,0),"")</f>
        <v/>
      </c>
      <c r="H465" s="4" t="str">
        <f ca="1">IF(N(A465)&gt;0,VLOOKUP(A465,Body!$A$4:$F$259,6,0),"")</f>
        <v/>
      </c>
      <c r="I465" s="4" t="str">
        <f ca="1">IF(N(A465)&gt;0,VLOOKUP(A465,Body!$A$4:$F$259,2,0),"")</f>
        <v/>
      </c>
    </row>
    <row r="466" spans="1:9" x14ac:dyDescent="0.4">
      <c r="A466" s="13"/>
      <c r="B466" s="13" t="str">
        <f ca="1">Start.listina!O126</f>
        <v/>
      </c>
      <c r="C466" s="13" t="str">
        <f ca="1">Start.listina!P126</f>
        <v xml:space="preserve"> </v>
      </c>
      <c r="D466" s="13" t="str">
        <f ca="1">Start.listina!Q126</f>
        <v xml:space="preserve"> </v>
      </c>
      <c r="E466" s="13" t="str">
        <f ca="1">Start.listina!R126</f>
        <v xml:space="preserve"> </v>
      </c>
      <c r="F466" s="13"/>
      <c r="G466" s="89"/>
      <c r="H466" s="4"/>
      <c r="I466" s="4"/>
    </row>
    <row r="467" spans="1:9" x14ac:dyDescent="0.4">
      <c r="A467" s="13"/>
      <c r="B467" s="13" t="str">
        <f ca="1">Start.listina!U126</f>
        <v/>
      </c>
      <c r="C467" s="13" t="str">
        <f ca="1">Start.listina!V126</f>
        <v xml:space="preserve"> </v>
      </c>
      <c r="D467" s="13" t="str">
        <f ca="1">Start.listina!W126</f>
        <v xml:space="preserve"> </v>
      </c>
      <c r="E467" s="13" t="str">
        <f ca="1">Start.listina!X126</f>
        <v xml:space="preserve"> </v>
      </c>
      <c r="F467" s="13"/>
      <c r="G467" s="89"/>
      <c r="H467" s="4"/>
      <c r="I467" s="4"/>
    </row>
    <row r="468" spans="1:9" x14ac:dyDescent="0.4">
      <c r="A468" s="13"/>
      <c r="B468" s="13" t="str">
        <f ca="1">Start.listina!AA126</f>
        <v/>
      </c>
      <c r="C468" s="13" t="str">
        <f ca="1">Start.listina!AB126</f>
        <v xml:space="preserve"> </v>
      </c>
      <c r="D468" s="13" t="str">
        <f ca="1">Start.listina!AC126</f>
        <v xml:space="preserve"> </v>
      </c>
      <c r="E468" s="13" t="str">
        <f ca="1">Start.listina!AD126</f>
        <v xml:space="preserve"> </v>
      </c>
      <c r="F468" s="13"/>
      <c r="G468" s="89"/>
      <c r="H468" s="4"/>
      <c r="I468" s="4"/>
    </row>
    <row r="469" spans="1:9" x14ac:dyDescent="0.4">
      <c r="A469" s="13">
        <f ca="1">Start.listina!AH127</f>
        <v>0</v>
      </c>
      <c r="B469" s="13" t="str">
        <f ca="1">Start.listina!I127</f>
        <v/>
      </c>
      <c r="C469" s="195" t="str">
        <f ca="1">Start.listina!J127</f>
        <v xml:space="preserve"> </v>
      </c>
      <c r="D469" s="13" t="str">
        <f ca="1">Start.listina!K127</f>
        <v xml:space="preserve"> </v>
      </c>
      <c r="E469" s="13" t="str">
        <f ca="1">Start.listina!L127</f>
        <v xml:space="preserve"> </v>
      </c>
      <c r="F469" s="13"/>
      <c r="G469" s="89" t="str">
        <f ca="1">IF(N(A469)&gt;0,VLOOKUP(A469,Body!$A$4:$F$259,5,0),"")</f>
        <v/>
      </c>
      <c r="H469" s="4" t="str">
        <f ca="1">IF(N(A469)&gt;0,VLOOKUP(A469,Body!$A$4:$F$259,6,0),"")</f>
        <v/>
      </c>
      <c r="I469" s="4" t="str">
        <f ca="1">IF(N(A469)&gt;0,VLOOKUP(A469,Body!$A$4:$F$259,2,0),"")</f>
        <v/>
      </c>
    </row>
    <row r="470" spans="1:9" x14ac:dyDescent="0.4">
      <c r="A470" s="13"/>
      <c r="B470" s="13" t="str">
        <f ca="1">Start.listina!O127</f>
        <v/>
      </c>
      <c r="C470" s="13" t="str">
        <f ca="1">Start.listina!P127</f>
        <v xml:space="preserve"> </v>
      </c>
      <c r="D470" s="13" t="str">
        <f ca="1">Start.listina!Q127</f>
        <v xml:space="preserve"> </v>
      </c>
      <c r="E470" s="13" t="str">
        <f ca="1">Start.listina!R127</f>
        <v xml:space="preserve"> </v>
      </c>
      <c r="F470" s="13"/>
      <c r="G470" s="89"/>
      <c r="H470" s="4"/>
      <c r="I470" s="4"/>
    </row>
    <row r="471" spans="1:9" x14ac:dyDescent="0.4">
      <c r="A471" s="13"/>
      <c r="B471" s="13" t="str">
        <f ca="1">Start.listina!U127</f>
        <v/>
      </c>
      <c r="C471" s="13" t="str">
        <f ca="1">Start.listina!V127</f>
        <v xml:space="preserve"> </v>
      </c>
      <c r="D471" s="13" t="str">
        <f ca="1">Start.listina!W127</f>
        <v xml:space="preserve"> </v>
      </c>
      <c r="E471" s="13" t="str">
        <f ca="1">Start.listina!X127</f>
        <v xml:space="preserve"> </v>
      </c>
      <c r="F471" s="13"/>
      <c r="G471" s="89"/>
      <c r="H471" s="4"/>
      <c r="I471" s="4"/>
    </row>
    <row r="472" spans="1:9" x14ac:dyDescent="0.4">
      <c r="A472" s="13"/>
      <c r="B472" s="13" t="str">
        <f ca="1">Start.listina!AA127</f>
        <v/>
      </c>
      <c r="C472" s="13" t="str">
        <f ca="1">Start.listina!AB127</f>
        <v xml:space="preserve"> </v>
      </c>
      <c r="D472" s="13" t="str">
        <f ca="1">Start.listina!AC127</f>
        <v xml:space="preserve"> </v>
      </c>
      <c r="E472" s="13" t="str">
        <f ca="1">Start.listina!AD127</f>
        <v xml:space="preserve"> </v>
      </c>
      <c r="F472" s="13"/>
      <c r="G472" s="89"/>
      <c r="H472" s="4"/>
      <c r="I472" s="4"/>
    </row>
    <row r="473" spans="1:9" x14ac:dyDescent="0.4">
      <c r="A473" s="13">
        <f ca="1">Start.listina!AH128</f>
        <v>0</v>
      </c>
      <c r="B473" s="13" t="str">
        <f ca="1">Start.listina!I128</f>
        <v/>
      </c>
      <c r="C473" s="195" t="str">
        <f ca="1">Start.listina!J128</f>
        <v xml:space="preserve"> </v>
      </c>
      <c r="D473" s="13" t="str">
        <f ca="1">Start.listina!K128</f>
        <v xml:space="preserve"> </v>
      </c>
      <c r="E473" s="13" t="str">
        <f ca="1">Start.listina!L128</f>
        <v xml:space="preserve"> </v>
      </c>
      <c r="F473" s="13"/>
      <c r="G473" s="89" t="str">
        <f ca="1">IF(N(A473)&gt;0,VLOOKUP(A473,Body!$A$4:$F$259,5,0),"")</f>
        <v/>
      </c>
      <c r="H473" s="4" t="str">
        <f ca="1">IF(N(A473)&gt;0,VLOOKUP(A473,Body!$A$4:$F$259,6,0),"")</f>
        <v/>
      </c>
      <c r="I473" s="4" t="str">
        <f ca="1">IF(N(A473)&gt;0,VLOOKUP(A473,Body!$A$4:$F$259,2,0),"")</f>
        <v/>
      </c>
    </row>
    <row r="474" spans="1:9" x14ac:dyDescent="0.4">
      <c r="A474" s="13"/>
      <c r="B474" s="13" t="str">
        <f ca="1">Start.listina!O128</f>
        <v/>
      </c>
      <c r="C474" s="13" t="str">
        <f ca="1">Start.listina!P128</f>
        <v xml:space="preserve"> </v>
      </c>
      <c r="D474" s="13" t="str">
        <f ca="1">Start.listina!Q128</f>
        <v xml:space="preserve"> </v>
      </c>
      <c r="E474" s="13" t="str">
        <f ca="1">Start.listina!R128</f>
        <v xml:space="preserve"> </v>
      </c>
      <c r="F474" s="13"/>
      <c r="G474" s="89"/>
      <c r="H474" s="4"/>
      <c r="I474" s="4"/>
    </row>
    <row r="475" spans="1:9" x14ac:dyDescent="0.4">
      <c r="A475" s="13"/>
      <c r="B475" s="13" t="str">
        <f ca="1">Start.listina!U128</f>
        <v/>
      </c>
      <c r="C475" s="13" t="str">
        <f ca="1">Start.listina!V128</f>
        <v xml:space="preserve"> </v>
      </c>
      <c r="D475" s="13" t="str">
        <f ca="1">Start.listina!W128</f>
        <v xml:space="preserve"> </v>
      </c>
      <c r="E475" s="13" t="str">
        <f ca="1">Start.listina!X128</f>
        <v xml:space="preserve"> </v>
      </c>
      <c r="F475" s="13"/>
      <c r="G475" s="89"/>
      <c r="H475" s="4"/>
      <c r="I475" s="4"/>
    </row>
    <row r="476" spans="1:9" x14ac:dyDescent="0.4">
      <c r="A476" s="13"/>
      <c r="B476" s="13" t="str">
        <f ca="1">Start.listina!AA128</f>
        <v/>
      </c>
      <c r="C476" s="13" t="str">
        <f ca="1">Start.listina!AB128</f>
        <v xml:space="preserve"> </v>
      </c>
      <c r="D476" s="13" t="str">
        <f ca="1">Start.listina!AC128</f>
        <v xml:space="preserve"> </v>
      </c>
      <c r="E476" s="13" t="str">
        <f ca="1">Start.listina!AD128</f>
        <v xml:space="preserve"> </v>
      </c>
      <c r="F476" s="13"/>
      <c r="G476" s="89"/>
      <c r="H476" s="4"/>
      <c r="I476" s="4"/>
    </row>
    <row r="477" spans="1:9" x14ac:dyDescent="0.4">
      <c r="A477" s="13">
        <f ca="1">Start.listina!AH129</f>
        <v>0</v>
      </c>
      <c r="B477" s="13" t="str">
        <f ca="1">Start.listina!I129</f>
        <v/>
      </c>
      <c r="C477" s="195" t="str">
        <f ca="1">Start.listina!J129</f>
        <v xml:space="preserve"> </v>
      </c>
      <c r="D477" s="13" t="str">
        <f ca="1">Start.listina!K129</f>
        <v xml:space="preserve"> </v>
      </c>
      <c r="E477" s="13" t="str">
        <f ca="1">Start.listina!L129</f>
        <v xml:space="preserve"> </v>
      </c>
      <c r="F477" s="13"/>
      <c r="G477" s="89" t="str">
        <f ca="1">IF(N(A477)&gt;0,VLOOKUP(A477,Body!$A$4:$F$259,5,0),"")</f>
        <v/>
      </c>
      <c r="H477" s="4" t="str">
        <f ca="1">IF(N(A477)&gt;0,VLOOKUP(A477,Body!$A$4:$F$259,6,0),"")</f>
        <v/>
      </c>
      <c r="I477" s="4" t="str">
        <f ca="1">IF(N(A477)&gt;0,VLOOKUP(A477,Body!$A$4:$F$259,2,0),"")</f>
        <v/>
      </c>
    </row>
    <row r="478" spans="1:9" x14ac:dyDescent="0.4">
      <c r="A478" s="13"/>
      <c r="B478" s="13" t="str">
        <f ca="1">Start.listina!O129</f>
        <v/>
      </c>
      <c r="C478" s="13" t="str">
        <f ca="1">Start.listina!P129</f>
        <v xml:space="preserve"> </v>
      </c>
      <c r="D478" s="13" t="str">
        <f ca="1">Start.listina!Q129</f>
        <v xml:space="preserve"> </v>
      </c>
      <c r="E478" s="13" t="str">
        <f ca="1">Start.listina!R129</f>
        <v xml:space="preserve"> </v>
      </c>
      <c r="F478" s="13"/>
      <c r="G478" s="89"/>
      <c r="H478" s="4"/>
      <c r="I478" s="4"/>
    </row>
    <row r="479" spans="1:9" x14ac:dyDescent="0.4">
      <c r="A479" s="13"/>
      <c r="B479" s="13" t="str">
        <f ca="1">Start.listina!U129</f>
        <v/>
      </c>
      <c r="C479" s="13" t="str">
        <f ca="1">Start.listina!V129</f>
        <v xml:space="preserve"> </v>
      </c>
      <c r="D479" s="13" t="str">
        <f ca="1">Start.listina!W129</f>
        <v xml:space="preserve"> </v>
      </c>
      <c r="E479" s="13" t="str">
        <f ca="1">Start.listina!X129</f>
        <v xml:space="preserve"> </v>
      </c>
      <c r="F479" s="13"/>
      <c r="G479" s="89"/>
      <c r="H479" s="4"/>
      <c r="I479" s="4"/>
    </row>
    <row r="480" spans="1:9" x14ac:dyDescent="0.4">
      <c r="A480" s="13"/>
      <c r="B480" s="13" t="str">
        <f ca="1">Start.listina!AA129</f>
        <v/>
      </c>
      <c r="C480" s="13" t="str">
        <f ca="1">Start.listina!AB129</f>
        <v xml:space="preserve"> </v>
      </c>
      <c r="D480" s="13" t="str">
        <f ca="1">Start.listina!AC129</f>
        <v xml:space="preserve"> </v>
      </c>
      <c r="E480" s="13" t="str">
        <f ca="1">Start.listina!AD129</f>
        <v xml:space="preserve"> </v>
      </c>
      <c r="F480" s="13"/>
      <c r="G480" s="89"/>
      <c r="H480" s="4"/>
      <c r="I480" s="4"/>
    </row>
    <row r="481" spans="1:9" x14ac:dyDescent="0.4">
      <c r="A481" s="13">
        <f ca="1">Start.listina!AH130</f>
        <v>0</v>
      </c>
      <c r="B481" s="13" t="str">
        <f ca="1">Start.listina!I130</f>
        <v/>
      </c>
      <c r="C481" s="195" t="str">
        <f ca="1">Start.listina!J130</f>
        <v xml:space="preserve"> </v>
      </c>
      <c r="D481" s="13" t="str">
        <f ca="1">Start.listina!K130</f>
        <v xml:space="preserve"> </v>
      </c>
      <c r="E481" s="13" t="str">
        <f ca="1">Start.listina!L130</f>
        <v xml:space="preserve"> </v>
      </c>
      <c r="F481" s="13"/>
      <c r="G481" s="89" t="str">
        <f ca="1">IF(N(A481)&gt;0,VLOOKUP(A481,Body!$A$4:$F$259,5,0),"")</f>
        <v/>
      </c>
      <c r="H481" s="4" t="str">
        <f ca="1">IF(N(A481)&gt;0,VLOOKUP(A481,Body!$A$4:$F$259,6,0),"")</f>
        <v/>
      </c>
      <c r="I481" s="4" t="str">
        <f ca="1">IF(N(A481)&gt;0,VLOOKUP(A481,Body!$A$4:$F$259,2,0),"")</f>
        <v/>
      </c>
    </row>
    <row r="482" spans="1:9" x14ac:dyDescent="0.4">
      <c r="A482" s="13"/>
      <c r="B482" s="13" t="str">
        <f ca="1">Start.listina!O130</f>
        <v/>
      </c>
      <c r="C482" s="13" t="str">
        <f ca="1">Start.listina!P130</f>
        <v xml:space="preserve"> </v>
      </c>
      <c r="D482" s="13" t="str">
        <f ca="1">Start.listina!Q130</f>
        <v xml:space="preserve"> </v>
      </c>
      <c r="E482" s="13" t="str">
        <f ca="1">Start.listina!R130</f>
        <v xml:space="preserve"> </v>
      </c>
      <c r="F482" s="13"/>
      <c r="G482" s="89"/>
      <c r="H482" s="4"/>
      <c r="I482" s="4"/>
    </row>
    <row r="483" spans="1:9" x14ac:dyDescent="0.4">
      <c r="A483" s="13"/>
      <c r="B483" s="13" t="str">
        <f ca="1">Start.listina!U130</f>
        <v/>
      </c>
      <c r="C483" s="13" t="str">
        <f ca="1">Start.listina!V130</f>
        <v xml:space="preserve"> </v>
      </c>
      <c r="D483" s="13" t="str">
        <f ca="1">Start.listina!W130</f>
        <v xml:space="preserve"> </v>
      </c>
      <c r="E483" s="13" t="str">
        <f ca="1">Start.listina!X130</f>
        <v xml:space="preserve"> </v>
      </c>
      <c r="F483" s="13"/>
      <c r="G483" s="89"/>
      <c r="H483" s="4"/>
      <c r="I483" s="4"/>
    </row>
    <row r="484" spans="1:9" x14ac:dyDescent="0.4">
      <c r="A484" s="13"/>
      <c r="B484" s="13" t="str">
        <f ca="1">Start.listina!AA130</f>
        <v/>
      </c>
      <c r="C484" s="13" t="str">
        <f ca="1">Start.listina!AB130</f>
        <v xml:space="preserve"> </v>
      </c>
      <c r="D484" s="13" t="str">
        <f ca="1">Start.listina!AC130</f>
        <v xml:space="preserve"> </v>
      </c>
      <c r="E484" s="13" t="str">
        <f ca="1">Start.listina!AD130</f>
        <v xml:space="preserve"> </v>
      </c>
      <c r="F484" s="13"/>
      <c r="G484" s="89"/>
      <c r="H484" s="4"/>
      <c r="I484" s="4"/>
    </row>
    <row r="485" spans="1:9" x14ac:dyDescent="0.4">
      <c r="A485" s="13">
        <f ca="1">Start.listina!AH131</f>
        <v>0</v>
      </c>
      <c r="B485" s="13" t="str">
        <f ca="1">Start.listina!I131</f>
        <v/>
      </c>
      <c r="C485" s="195" t="str">
        <f ca="1">Start.listina!J131</f>
        <v xml:space="preserve"> </v>
      </c>
      <c r="D485" s="13" t="str">
        <f ca="1">Start.listina!K131</f>
        <v xml:space="preserve"> </v>
      </c>
      <c r="E485" s="13" t="str">
        <f ca="1">Start.listina!L131</f>
        <v xml:space="preserve"> </v>
      </c>
      <c r="F485" s="13"/>
      <c r="G485" s="89" t="str">
        <f ca="1">IF(N(A485)&gt;0,VLOOKUP(A485,Body!$A$4:$F$259,5,0),"")</f>
        <v/>
      </c>
      <c r="H485" s="4" t="str">
        <f ca="1">IF(N(A485)&gt;0,VLOOKUP(A485,Body!$A$4:$F$259,6,0),"")</f>
        <v/>
      </c>
      <c r="I485" s="4" t="str">
        <f ca="1">IF(N(A485)&gt;0,VLOOKUP(A485,Body!$A$4:$F$259,2,0),"")</f>
        <v/>
      </c>
    </row>
    <row r="486" spans="1:9" x14ac:dyDescent="0.4">
      <c r="A486" s="13"/>
      <c r="B486" s="13" t="str">
        <f ca="1">Start.listina!O131</f>
        <v/>
      </c>
      <c r="C486" s="13" t="str">
        <f ca="1">Start.listina!P131</f>
        <v xml:space="preserve"> </v>
      </c>
      <c r="D486" s="13" t="str">
        <f ca="1">Start.listina!Q131</f>
        <v xml:space="preserve"> </v>
      </c>
      <c r="E486" s="13" t="str">
        <f ca="1">Start.listina!R131</f>
        <v xml:space="preserve"> </v>
      </c>
      <c r="F486" s="13"/>
      <c r="G486" s="89"/>
      <c r="H486" s="4"/>
      <c r="I486" s="4"/>
    </row>
    <row r="487" spans="1:9" x14ac:dyDescent="0.4">
      <c r="A487" s="13"/>
      <c r="B487" s="13" t="str">
        <f ca="1">Start.listina!U131</f>
        <v/>
      </c>
      <c r="C487" s="13" t="str">
        <f ca="1">Start.listina!V131</f>
        <v xml:space="preserve"> </v>
      </c>
      <c r="D487" s="13" t="str">
        <f ca="1">Start.listina!W131</f>
        <v xml:space="preserve"> </v>
      </c>
      <c r="E487" s="13" t="str">
        <f ca="1">Start.listina!X131</f>
        <v xml:space="preserve"> </v>
      </c>
      <c r="F487" s="13"/>
      <c r="G487" s="89"/>
      <c r="H487" s="4"/>
      <c r="I487" s="4"/>
    </row>
    <row r="488" spans="1:9" x14ac:dyDescent="0.4">
      <c r="A488" s="13"/>
      <c r="B488" s="13" t="str">
        <f ca="1">Start.listina!AA131</f>
        <v/>
      </c>
      <c r="C488" s="13" t="str">
        <f ca="1">Start.listina!AB131</f>
        <v xml:space="preserve"> </v>
      </c>
      <c r="D488" s="13" t="str">
        <f ca="1">Start.listina!AC131</f>
        <v xml:space="preserve"> </v>
      </c>
      <c r="E488" s="13" t="str">
        <f ca="1">Start.listina!AD131</f>
        <v xml:space="preserve"> </v>
      </c>
      <c r="F488" s="13"/>
      <c r="G488" s="89"/>
      <c r="H488" s="4"/>
      <c r="I488" s="4"/>
    </row>
    <row r="489" spans="1:9" x14ac:dyDescent="0.4">
      <c r="A489" s="13">
        <f ca="1">Start.listina!AH132</f>
        <v>0</v>
      </c>
      <c r="B489" s="13" t="str">
        <f ca="1">Start.listina!I132</f>
        <v/>
      </c>
      <c r="C489" s="195" t="str">
        <f ca="1">Start.listina!J132</f>
        <v xml:space="preserve"> </v>
      </c>
      <c r="D489" s="13" t="str">
        <f ca="1">Start.listina!K132</f>
        <v xml:space="preserve"> </v>
      </c>
      <c r="E489" s="13" t="str">
        <f ca="1">Start.listina!L132</f>
        <v xml:space="preserve"> </v>
      </c>
      <c r="F489" s="13"/>
      <c r="G489" s="89" t="str">
        <f ca="1">IF(N(A489)&gt;0,VLOOKUP(A489,Body!$A$4:$F$259,5,0),"")</f>
        <v/>
      </c>
      <c r="H489" s="4" t="str">
        <f ca="1">IF(N(A489)&gt;0,VLOOKUP(A489,Body!$A$4:$F$259,6,0),"")</f>
        <v/>
      </c>
      <c r="I489" s="4" t="str">
        <f ca="1">IF(N(A489)&gt;0,VLOOKUP(A489,Body!$A$4:$F$259,2,0),"")</f>
        <v/>
      </c>
    </row>
    <row r="490" spans="1:9" x14ac:dyDescent="0.4">
      <c r="A490" s="13"/>
      <c r="B490" s="13" t="str">
        <f ca="1">Start.listina!O132</f>
        <v/>
      </c>
      <c r="C490" s="13" t="str">
        <f ca="1">Start.listina!P132</f>
        <v xml:space="preserve"> </v>
      </c>
      <c r="D490" s="13" t="str">
        <f ca="1">Start.listina!Q132</f>
        <v xml:space="preserve"> </v>
      </c>
      <c r="E490" s="13" t="str">
        <f ca="1">Start.listina!R132</f>
        <v xml:space="preserve"> </v>
      </c>
      <c r="F490" s="13"/>
      <c r="G490" s="89"/>
      <c r="H490" s="4"/>
      <c r="I490" s="4"/>
    </row>
    <row r="491" spans="1:9" x14ac:dyDescent="0.4">
      <c r="A491" s="13"/>
      <c r="B491" s="13" t="str">
        <f ca="1">Start.listina!U132</f>
        <v/>
      </c>
      <c r="C491" s="13" t="str">
        <f ca="1">Start.listina!V132</f>
        <v xml:space="preserve"> </v>
      </c>
      <c r="D491" s="13" t="str">
        <f ca="1">Start.listina!W132</f>
        <v xml:space="preserve"> </v>
      </c>
      <c r="E491" s="13" t="str">
        <f ca="1">Start.listina!X132</f>
        <v xml:space="preserve"> </v>
      </c>
      <c r="F491" s="13"/>
      <c r="G491" s="89"/>
      <c r="H491" s="4"/>
      <c r="I491" s="4"/>
    </row>
    <row r="492" spans="1:9" x14ac:dyDescent="0.4">
      <c r="A492" s="13"/>
      <c r="B492" s="13" t="str">
        <f ca="1">Start.listina!AA132</f>
        <v/>
      </c>
      <c r="C492" s="13" t="str">
        <f ca="1">Start.listina!AB132</f>
        <v xml:space="preserve"> </v>
      </c>
      <c r="D492" s="13" t="str">
        <f ca="1">Start.listina!AC132</f>
        <v xml:space="preserve"> </v>
      </c>
      <c r="E492" s="13" t="str">
        <f ca="1">Start.listina!AD132</f>
        <v xml:space="preserve"> </v>
      </c>
      <c r="F492" s="13"/>
      <c r="G492" s="89"/>
      <c r="H492" s="4"/>
      <c r="I492" s="4"/>
    </row>
    <row r="493" spans="1:9" x14ac:dyDescent="0.4">
      <c r="A493" s="13">
        <f ca="1">Start.listina!AH133</f>
        <v>0</v>
      </c>
      <c r="B493" s="13" t="str">
        <f ca="1">Start.listina!I133</f>
        <v/>
      </c>
      <c r="C493" s="195" t="str">
        <f ca="1">Start.listina!J133</f>
        <v xml:space="preserve"> </v>
      </c>
      <c r="D493" s="13" t="str">
        <f ca="1">Start.listina!K133</f>
        <v xml:space="preserve"> </v>
      </c>
      <c r="E493" s="13" t="str">
        <f ca="1">Start.listina!L133</f>
        <v xml:space="preserve"> </v>
      </c>
      <c r="F493" s="13"/>
      <c r="G493" s="89" t="str">
        <f ca="1">IF(N(A493)&gt;0,VLOOKUP(A493,Body!$A$4:$F$259,5,0),"")</f>
        <v/>
      </c>
      <c r="H493" s="4" t="str">
        <f ca="1">IF(N(A493)&gt;0,VLOOKUP(A493,Body!$A$4:$F$259,6,0),"")</f>
        <v/>
      </c>
      <c r="I493" s="4" t="str">
        <f ca="1">IF(N(A493)&gt;0,VLOOKUP(A493,Body!$A$4:$F$259,2,0),"")</f>
        <v/>
      </c>
    </row>
    <row r="494" spans="1:9" x14ac:dyDescent="0.4">
      <c r="A494" s="13"/>
      <c r="B494" s="13" t="str">
        <f ca="1">Start.listina!O133</f>
        <v/>
      </c>
      <c r="C494" s="13" t="str">
        <f ca="1">Start.listina!P133</f>
        <v xml:space="preserve"> </v>
      </c>
      <c r="D494" s="13" t="str">
        <f ca="1">Start.listina!Q133</f>
        <v xml:space="preserve"> </v>
      </c>
      <c r="E494" s="13" t="str">
        <f ca="1">Start.listina!R133</f>
        <v xml:space="preserve"> </v>
      </c>
      <c r="F494" s="13"/>
      <c r="G494" s="89"/>
      <c r="H494" s="4"/>
      <c r="I494" s="4"/>
    </row>
    <row r="495" spans="1:9" x14ac:dyDescent="0.4">
      <c r="A495" s="13"/>
      <c r="B495" s="13" t="str">
        <f ca="1">Start.listina!U133</f>
        <v/>
      </c>
      <c r="C495" s="13" t="str">
        <f ca="1">Start.listina!V133</f>
        <v xml:space="preserve"> </v>
      </c>
      <c r="D495" s="13" t="str">
        <f ca="1">Start.listina!W133</f>
        <v xml:space="preserve"> </v>
      </c>
      <c r="E495" s="13" t="str">
        <f ca="1">Start.listina!X133</f>
        <v xml:space="preserve"> </v>
      </c>
      <c r="F495" s="13"/>
      <c r="G495" s="89"/>
      <c r="H495" s="4"/>
      <c r="I495" s="4"/>
    </row>
    <row r="496" spans="1:9" x14ac:dyDescent="0.4">
      <c r="A496" s="13"/>
      <c r="B496" s="13" t="str">
        <f ca="1">Start.listina!AA133</f>
        <v/>
      </c>
      <c r="C496" s="13" t="str">
        <f ca="1">Start.listina!AB133</f>
        <v xml:space="preserve"> </v>
      </c>
      <c r="D496" s="13" t="str">
        <f ca="1">Start.listina!AC133</f>
        <v xml:space="preserve"> </v>
      </c>
      <c r="E496" s="13" t="str">
        <f ca="1">Start.listina!AD133</f>
        <v xml:space="preserve"> </v>
      </c>
      <c r="F496" s="13"/>
      <c r="G496" s="89"/>
      <c r="H496" s="4"/>
      <c r="I496" s="4"/>
    </row>
    <row r="497" spans="1:9" x14ac:dyDescent="0.4">
      <c r="A497" s="13">
        <f ca="1">Start.listina!AH134</f>
        <v>0</v>
      </c>
      <c r="B497" s="13" t="str">
        <f ca="1">Start.listina!I134</f>
        <v/>
      </c>
      <c r="C497" s="195" t="str">
        <f ca="1">Start.listina!J134</f>
        <v xml:space="preserve"> </v>
      </c>
      <c r="D497" s="13" t="str">
        <f ca="1">Start.listina!K134</f>
        <v xml:space="preserve"> </v>
      </c>
      <c r="E497" s="13" t="str">
        <f ca="1">Start.listina!L134</f>
        <v xml:space="preserve"> </v>
      </c>
      <c r="F497" s="13"/>
      <c r="G497" s="89" t="str">
        <f ca="1">IF(N(A497)&gt;0,VLOOKUP(A497,Body!$A$4:$F$259,5,0),"")</f>
        <v/>
      </c>
      <c r="H497" s="4" t="str">
        <f ca="1">IF(N(A497)&gt;0,VLOOKUP(A497,Body!$A$4:$F$259,6,0),"")</f>
        <v/>
      </c>
      <c r="I497" s="4" t="str">
        <f ca="1">IF(N(A497)&gt;0,VLOOKUP(A497,Body!$A$4:$F$259,2,0),"")</f>
        <v/>
      </c>
    </row>
    <row r="498" spans="1:9" x14ac:dyDescent="0.4">
      <c r="A498" s="13"/>
      <c r="B498" s="13" t="str">
        <f ca="1">Start.listina!O134</f>
        <v/>
      </c>
      <c r="C498" s="13" t="str">
        <f ca="1">Start.listina!P134</f>
        <v xml:space="preserve"> </v>
      </c>
      <c r="D498" s="13" t="str">
        <f ca="1">Start.listina!Q134</f>
        <v xml:space="preserve"> </v>
      </c>
      <c r="E498" s="13" t="str">
        <f ca="1">Start.listina!R134</f>
        <v xml:space="preserve"> </v>
      </c>
      <c r="F498" s="13"/>
      <c r="G498" s="89"/>
      <c r="H498" s="4"/>
      <c r="I498" s="4"/>
    </row>
    <row r="499" spans="1:9" x14ac:dyDescent="0.4">
      <c r="A499" s="13"/>
      <c r="B499" s="13" t="str">
        <f ca="1">Start.listina!U134</f>
        <v/>
      </c>
      <c r="C499" s="13" t="str">
        <f ca="1">Start.listina!V134</f>
        <v xml:space="preserve"> </v>
      </c>
      <c r="D499" s="13" t="str">
        <f ca="1">Start.listina!W134</f>
        <v xml:space="preserve"> </v>
      </c>
      <c r="E499" s="13" t="str">
        <f ca="1">Start.listina!X134</f>
        <v xml:space="preserve"> </v>
      </c>
      <c r="F499" s="13"/>
      <c r="G499" s="89"/>
      <c r="H499" s="4"/>
      <c r="I499" s="4"/>
    </row>
    <row r="500" spans="1:9" x14ac:dyDescent="0.4">
      <c r="A500" s="13"/>
      <c r="B500" s="13" t="str">
        <f ca="1">Start.listina!AA134</f>
        <v/>
      </c>
      <c r="C500" s="13" t="str">
        <f ca="1">Start.listina!AB134</f>
        <v xml:space="preserve"> </v>
      </c>
      <c r="D500" s="13" t="str">
        <f ca="1">Start.listina!AC134</f>
        <v xml:space="preserve"> </v>
      </c>
      <c r="E500" s="13" t="str">
        <f ca="1">Start.listina!AD134</f>
        <v xml:space="preserve"> </v>
      </c>
      <c r="F500" s="13"/>
      <c r="G500" s="89"/>
      <c r="H500" s="4"/>
      <c r="I500" s="4"/>
    </row>
    <row r="501" spans="1:9" x14ac:dyDescent="0.4">
      <c r="A501" s="13">
        <f ca="1">Start.listina!AH135</f>
        <v>0</v>
      </c>
      <c r="B501" s="13" t="str">
        <f ca="1">Start.listina!I135</f>
        <v/>
      </c>
      <c r="C501" s="195" t="str">
        <f ca="1">Start.listina!J135</f>
        <v xml:space="preserve"> </v>
      </c>
      <c r="D501" s="13" t="str">
        <f ca="1">Start.listina!K135</f>
        <v xml:space="preserve"> </v>
      </c>
      <c r="E501" s="13" t="str">
        <f ca="1">Start.listina!L135</f>
        <v xml:space="preserve"> </v>
      </c>
      <c r="F501" s="13"/>
      <c r="G501" s="89" t="str">
        <f ca="1">IF(N(A501)&gt;0,VLOOKUP(A501,Body!$A$4:$F$259,5,0),"")</f>
        <v/>
      </c>
      <c r="H501" s="4" t="str">
        <f ca="1">IF(N(A501)&gt;0,VLOOKUP(A501,Body!$A$4:$F$259,6,0),"")</f>
        <v/>
      </c>
      <c r="I501" s="4" t="str">
        <f ca="1">IF(N(A501)&gt;0,VLOOKUP(A501,Body!$A$4:$F$259,2,0),"")</f>
        <v/>
      </c>
    </row>
    <row r="502" spans="1:9" x14ac:dyDescent="0.4">
      <c r="A502" s="13"/>
      <c r="B502" s="13" t="str">
        <f ca="1">Start.listina!O135</f>
        <v/>
      </c>
      <c r="C502" s="13" t="str">
        <f ca="1">Start.listina!P135</f>
        <v xml:space="preserve"> </v>
      </c>
      <c r="D502" s="13" t="str">
        <f ca="1">Start.listina!Q135</f>
        <v xml:space="preserve"> </v>
      </c>
      <c r="E502" s="13" t="str">
        <f ca="1">Start.listina!R135</f>
        <v xml:space="preserve"> </v>
      </c>
      <c r="F502" s="13"/>
      <c r="G502" s="89"/>
      <c r="H502" s="4"/>
      <c r="I502" s="4"/>
    </row>
    <row r="503" spans="1:9" x14ac:dyDescent="0.4">
      <c r="A503" s="13"/>
      <c r="B503" s="13" t="str">
        <f ca="1">Start.listina!U135</f>
        <v/>
      </c>
      <c r="C503" s="13" t="str">
        <f ca="1">Start.listina!V135</f>
        <v xml:space="preserve"> </v>
      </c>
      <c r="D503" s="13" t="str">
        <f ca="1">Start.listina!W135</f>
        <v xml:space="preserve"> </v>
      </c>
      <c r="E503" s="13" t="str">
        <f ca="1">Start.listina!X135</f>
        <v xml:space="preserve"> </v>
      </c>
      <c r="F503" s="13"/>
      <c r="G503" s="89"/>
      <c r="H503" s="4"/>
      <c r="I503" s="4"/>
    </row>
    <row r="504" spans="1:9" x14ac:dyDescent="0.4">
      <c r="A504" s="13"/>
      <c r="B504" s="13" t="str">
        <f ca="1">Start.listina!AA135</f>
        <v/>
      </c>
      <c r="C504" s="13" t="str">
        <f ca="1">Start.listina!AB135</f>
        <v xml:space="preserve"> </v>
      </c>
      <c r="D504" s="13" t="str">
        <f ca="1">Start.listina!AC135</f>
        <v xml:space="preserve"> </v>
      </c>
      <c r="E504" s="13" t="str">
        <f ca="1">Start.listina!AD135</f>
        <v xml:space="preserve"> </v>
      </c>
      <c r="F504" s="13"/>
      <c r="G504" s="89"/>
      <c r="H504" s="4"/>
      <c r="I504" s="4"/>
    </row>
    <row r="505" spans="1:9" x14ac:dyDescent="0.4">
      <c r="A505" s="13">
        <f ca="1">Start.listina!AH136</f>
        <v>0</v>
      </c>
      <c r="B505" s="13" t="str">
        <f ca="1">Start.listina!I136</f>
        <v/>
      </c>
      <c r="C505" s="195" t="str">
        <f ca="1">Start.listina!J136</f>
        <v xml:space="preserve"> </v>
      </c>
      <c r="D505" s="13" t="str">
        <f ca="1">Start.listina!K136</f>
        <v xml:space="preserve"> </v>
      </c>
      <c r="E505" s="13" t="str">
        <f ca="1">Start.listina!L136</f>
        <v xml:space="preserve"> </v>
      </c>
      <c r="F505" s="13"/>
      <c r="G505" s="89" t="str">
        <f ca="1">IF(N(A505)&gt;0,VLOOKUP(A505,Body!$A$4:$F$259,5,0),"")</f>
        <v/>
      </c>
      <c r="H505" s="4" t="str">
        <f ca="1">IF(N(A505)&gt;0,VLOOKUP(A505,Body!$A$4:$F$259,6,0),"")</f>
        <v/>
      </c>
      <c r="I505" s="4" t="str">
        <f ca="1">IF(N(A505)&gt;0,VLOOKUP(A505,Body!$A$4:$F$259,2,0),"")</f>
        <v/>
      </c>
    </row>
    <row r="506" spans="1:9" x14ac:dyDescent="0.4">
      <c r="A506" s="13"/>
      <c r="B506" s="13" t="str">
        <f ca="1">Start.listina!O136</f>
        <v/>
      </c>
      <c r="C506" s="13" t="str">
        <f ca="1">Start.listina!P136</f>
        <v xml:space="preserve"> </v>
      </c>
      <c r="D506" s="13" t="str">
        <f ca="1">Start.listina!Q136</f>
        <v xml:space="preserve"> </v>
      </c>
      <c r="E506" s="13" t="str">
        <f ca="1">Start.listina!R136</f>
        <v xml:space="preserve"> </v>
      </c>
      <c r="F506" s="13"/>
      <c r="G506" s="89"/>
      <c r="H506" s="4"/>
      <c r="I506" s="4"/>
    </row>
    <row r="507" spans="1:9" x14ac:dyDescent="0.4">
      <c r="A507" s="13"/>
      <c r="B507" s="13" t="str">
        <f ca="1">Start.listina!U136</f>
        <v/>
      </c>
      <c r="C507" s="13" t="str">
        <f ca="1">Start.listina!V136</f>
        <v xml:space="preserve"> </v>
      </c>
      <c r="D507" s="13" t="str">
        <f ca="1">Start.listina!W136</f>
        <v xml:space="preserve"> </v>
      </c>
      <c r="E507" s="13" t="str">
        <f ca="1">Start.listina!X136</f>
        <v xml:space="preserve"> </v>
      </c>
      <c r="F507" s="13"/>
      <c r="G507" s="89"/>
      <c r="H507" s="4"/>
      <c r="I507" s="4"/>
    </row>
    <row r="508" spans="1:9" x14ac:dyDescent="0.4">
      <c r="A508" s="13"/>
      <c r="B508" s="13" t="str">
        <f ca="1">Start.listina!AA136</f>
        <v/>
      </c>
      <c r="C508" s="13" t="str">
        <f ca="1">Start.listina!AB136</f>
        <v xml:space="preserve"> </v>
      </c>
      <c r="D508" s="13" t="str">
        <f ca="1">Start.listina!AC136</f>
        <v xml:space="preserve"> </v>
      </c>
      <c r="E508" s="13" t="str">
        <f ca="1">Start.listina!AD136</f>
        <v xml:space="preserve"> </v>
      </c>
      <c r="F508" s="13"/>
      <c r="G508" s="89"/>
      <c r="H508" s="4"/>
      <c r="I508" s="4"/>
    </row>
    <row r="509" spans="1:9" x14ac:dyDescent="0.4">
      <c r="A509" s="13">
        <f ca="1">Start.listina!AH137</f>
        <v>0</v>
      </c>
      <c r="B509" s="13" t="str">
        <f ca="1">Start.listina!I137</f>
        <v/>
      </c>
      <c r="C509" s="195" t="str">
        <f ca="1">Start.listina!J137</f>
        <v xml:space="preserve"> </v>
      </c>
      <c r="D509" s="13" t="str">
        <f ca="1">Start.listina!K137</f>
        <v xml:space="preserve"> </v>
      </c>
      <c r="E509" s="13" t="str">
        <f ca="1">Start.listina!L137</f>
        <v xml:space="preserve"> </v>
      </c>
      <c r="F509" s="13"/>
      <c r="G509" s="89" t="str">
        <f ca="1">IF(N(A509)&gt;0,VLOOKUP(A509,Body!$A$4:$F$259,5,0),"")</f>
        <v/>
      </c>
      <c r="H509" s="4" t="str">
        <f ca="1">IF(N(A509)&gt;0,VLOOKUP(A509,Body!$A$4:$F$259,6,0),"")</f>
        <v/>
      </c>
      <c r="I509" s="4" t="str">
        <f ca="1">IF(N(A509)&gt;0,VLOOKUP(A509,Body!$A$4:$F$259,2,0),"")</f>
        <v/>
      </c>
    </row>
    <row r="510" spans="1:9" x14ac:dyDescent="0.4">
      <c r="A510" s="13"/>
      <c r="B510" s="13" t="str">
        <f ca="1">Start.listina!O137</f>
        <v/>
      </c>
      <c r="C510" s="13" t="str">
        <f ca="1">Start.listina!P137</f>
        <v xml:space="preserve"> </v>
      </c>
      <c r="D510" s="13" t="str">
        <f ca="1">Start.listina!Q137</f>
        <v xml:space="preserve"> </v>
      </c>
      <c r="E510" s="13" t="str">
        <f ca="1">Start.listina!R137</f>
        <v xml:space="preserve"> </v>
      </c>
      <c r="F510" s="13"/>
      <c r="G510" s="89"/>
      <c r="H510" s="4"/>
      <c r="I510" s="4"/>
    </row>
    <row r="511" spans="1:9" x14ac:dyDescent="0.4">
      <c r="A511" s="13"/>
      <c r="B511" s="13" t="str">
        <f ca="1">Start.listina!U137</f>
        <v/>
      </c>
      <c r="C511" s="13" t="str">
        <f ca="1">Start.listina!V137</f>
        <v xml:space="preserve"> </v>
      </c>
      <c r="D511" s="13" t="str">
        <f ca="1">Start.listina!W137</f>
        <v xml:space="preserve"> </v>
      </c>
      <c r="E511" s="13" t="str">
        <f ca="1">Start.listina!X137</f>
        <v xml:space="preserve"> </v>
      </c>
      <c r="F511" s="13"/>
      <c r="G511" s="89"/>
      <c r="H511" s="4"/>
      <c r="I511" s="4"/>
    </row>
    <row r="512" spans="1:9" x14ac:dyDescent="0.4">
      <c r="A512" s="13"/>
      <c r="B512" s="13" t="str">
        <f ca="1">Start.listina!AA137</f>
        <v/>
      </c>
      <c r="C512" s="13" t="str">
        <f ca="1">Start.listina!AB137</f>
        <v xml:space="preserve"> </v>
      </c>
      <c r="D512" s="13" t="str">
        <f ca="1">Start.listina!AC137</f>
        <v xml:space="preserve"> </v>
      </c>
      <c r="E512" s="13" t="str">
        <f ca="1">Start.listina!AD137</f>
        <v xml:space="preserve"> </v>
      </c>
      <c r="F512" s="13"/>
      <c r="G512" s="89"/>
      <c r="H512" s="4"/>
      <c r="I512" s="4"/>
    </row>
    <row r="513" spans="1:9" x14ac:dyDescent="0.4">
      <c r="A513" s="13">
        <f ca="1">Start.listina!AH138</f>
        <v>0</v>
      </c>
      <c r="B513" s="13" t="str">
        <f ca="1">Start.listina!I138</f>
        <v/>
      </c>
      <c r="C513" s="195" t="str">
        <f ca="1">Start.listina!J138</f>
        <v xml:space="preserve"> </v>
      </c>
      <c r="D513" s="13" t="str">
        <f ca="1">Start.listina!K138</f>
        <v xml:space="preserve"> </v>
      </c>
      <c r="E513" s="13" t="str">
        <f ca="1">Start.listina!L138</f>
        <v xml:space="preserve"> </v>
      </c>
      <c r="F513" s="13"/>
      <c r="G513" s="89" t="str">
        <f ca="1">IF(N(A513)&gt;0,VLOOKUP(A513,Body!$A$4:$F$259,5,0),"")</f>
        <v/>
      </c>
      <c r="H513" s="4" t="str">
        <f ca="1">IF(N(A513)&gt;0,VLOOKUP(A513,Body!$A$4:$F$259,6,0),"")</f>
        <v/>
      </c>
      <c r="I513" s="4" t="str">
        <f ca="1">IF(N(A513)&gt;0,VLOOKUP(A513,Body!$A$4:$F$259,2,0),"")</f>
        <v/>
      </c>
    </row>
    <row r="514" spans="1:9" x14ac:dyDescent="0.4">
      <c r="A514" s="13"/>
      <c r="B514" s="13" t="str">
        <f ca="1">Start.listina!O138</f>
        <v/>
      </c>
      <c r="C514" s="13" t="str">
        <f ca="1">Start.listina!P138</f>
        <v xml:space="preserve"> </v>
      </c>
      <c r="D514" s="13" t="str">
        <f ca="1">Start.listina!Q138</f>
        <v xml:space="preserve"> </v>
      </c>
      <c r="E514" s="13" t="str">
        <f ca="1">Start.listina!R138</f>
        <v xml:space="preserve"> </v>
      </c>
      <c r="F514" s="13"/>
      <c r="G514" s="89"/>
      <c r="H514" s="4"/>
      <c r="I514" s="4"/>
    </row>
    <row r="515" spans="1:9" x14ac:dyDescent="0.4">
      <c r="A515" s="13"/>
      <c r="B515" s="13" t="str">
        <f ca="1">Start.listina!U138</f>
        <v/>
      </c>
      <c r="C515" s="13" t="str">
        <f ca="1">Start.listina!V138</f>
        <v xml:space="preserve"> </v>
      </c>
      <c r="D515" s="13" t="str">
        <f ca="1">Start.listina!W138</f>
        <v xml:space="preserve"> </v>
      </c>
      <c r="E515" s="13" t="str">
        <f ca="1">Start.listina!X138</f>
        <v xml:space="preserve"> </v>
      </c>
      <c r="F515" s="13"/>
      <c r="G515" s="89"/>
      <c r="H515" s="4"/>
      <c r="I515" s="4"/>
    </row>
    <row r="516" spans="1:9" x14ac:dyDescent="0.4">
      <c r="A516" s="13"/>
      <c r="B516" s="13" t="str">
        <f ca="1">Start.listina!AA138</f>
        <v/>
      </c>
      <c r="C516" s="13" t="str">
        <f ca="1">Start.listina!AB138</f>
        <v xml:space="preserve"> </v>
      </c>
      <c r="D516" s="13" t="str">
        <f ca="1">Start.listina!AC138</f>
        <v xml:space="preserve"> </v>
      </c>
      <c r="E516" s="13" t="str">
        <f ca="1">Start.listina!AD138</f>
        <v xml:space="preserve"> </v>
      </c>
      <c r="F516" s="13"/>
      <c r="G516" s="89"/>
      <c r="H516" s="4"/>
      <c r="I516" s="4"/>
    </row>
  </sheetData>
  <sheetProtection sheet="1" objects="1" scenarios="1"/>
  <phoneticPr fontId="0" type="noConversion"/>
  <pageMargins left="0.78740157499999996" right="0.78740157499999996" top="0.984251969" bottom="0.984251969" header="0.4921259845" footer="0.4921259845"/>
  <pageSetup paperSize="9" orientation="portrait" horizontalDpi="300" verticalDpi="30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31</vt:i4>
      </vt:variant>
      <vt:variant>
        <vt:lpstr>Pojmenované oblasti</vt:lpstr>
      </vt:variant>
      <vt:variant>
        <vt:i4>16</vt:i4>
      </vt:variant>
    </vt:vector>
  </HeadingPairs>
  <TitlesOfParts>
    <vt:vector size="47" baseType="lpstr">
      <vt:lpstr>Instrukce</vt:lpstr>
      <vt:lpstr>Turnaje</vt:lpstr>
      <vt:lpstr>Kluby</vt:lpstr>
      <vt:lpstr>Hraci</vt:lpstr>
      <vt:lpstr>Internet</vt:lpstr>
      <vt:lpstr>Start.listina</vt:lpstr>
      <vt:lpstr>Zápis</vt:lpstr>
      <vt:lpstr>Pořadí_švýcar</vt:lpstr>
      <vt:lpstr>Centrum</vt:lpstr>
      <vt:lpstr>Kvalita turnaje</vt:lpstr>
      <vt:lpstr>Postupy</vt:lpstr>
      <vt:lpstr>1.kolo</vt:lpstr>
      <vt:lpstr>2.kolo</vt:lpstr>
      <vt:lpstr>3.kolo</vt:lpstr>
      <vt:lpstr>4.kolo</vt:lpstr>
      <vt:lpstr>5.kolo</vt:lpstr>
      <vt:lpstr>6.kolo</vt:lpstr>
      <vt:lpstr>Hřiště</vt:lpstr>
      <vt:lpstr>KO64</vt:lpstr>
      <vt:lpstr>KO32</vt:lpstr>
      <vt:lpstr>KO16</vt:lpstr>
      <vt:lpstr>Dohrávka_9-16</vt:lpstr>
      <vt:lpstr>KO8</vt:lpstr>
      <vt:lpstr>Dohrávka_5-8</vt:lpstr>
      <vt:lpstr>KO4</vt:lpstr>
      <vt:lpstr>Konečné_pořadí_1_16</vt:lpstr>
      <vt:lpstr>Body</vt:lpstr>
      <vt:lpstr>Bonusy</vt:lpstr>
      <vt:lpstr>Paušál</vt:lpstr>
      <vt:lpstr>Počet kol</vt:lpstr>
      <vt:lpstr>Vysledky</vt:lpstr>
      <vt:lpstr>'1.kolo'!Oblast_tisku</vt:lpstr>
      <vt:lpstr>'2.kolo'!Oblast_tisku</vt:lpstr>
      <vt:lpstr>'4.kolo'!Oblast_tisku</vt:lpstr>
      <vt:lpstr>'5.kolo'!Oblast_tisku</vt:lpstr>
      <vt:lpstr>'6.kolo'!Oblast_tisku</vt:lpstr>
      <vt:lpstr>Centrum!Oblast_tisku</vt:lpstr>
      <vt:lpstr>'Dohrávka_5-8'!Oblast_tisku</vt:lpstr>
      <vt:lpstr>'Dohrávka_9-16'!Oblast_tisku</vt:lpstr>
      <vt:lpstr>'KO16'!Oblast_tisku</vt:lpstr>
      <vt:lpstr>'KO32'!Oblast_tisku</vt:lpstr>
      <vt:lpstr>'KO4'!Oblast_tisku</vt:lpstr>
      <vt:lpstr>'KO64'!Oblast_tisku</vt:lpstr>
      <vt:lpstr>'KO8'!Oblast_tisku</vt:lpstr>
      <vt:lpstr>Konečné_pořadí_1_16!Oblast_tisku</vt:lpstr>
      <vt:lpstr>'Kvalita turnaje'!Oblast_tisku</vt:lpstr>
      <vt:lpstr>Start.listina!Oblast_tisku</vt:lpstr>
    </vt:vector>
  </TitlesOfParts>
  <Manager/>
  <Company>ČAPEK</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Ing. Pavel Vlk</dc:creator>
  <cp:keywords/>
  <dc:description/>
  <cp:lastModifiedBy>Pavel Vlk</cp:lastModifiedBy>
  <cp:revision/>
  <cp:lastPrinted>2024-04-28T11:51:16Z</cp:lastPrinted>
  <dcterms:created xsi:type="dcterms:W3CDTF">1998-08-08T11:38:32Z</dcterms:created>
  <dcterms:modified xsi:type="dcterms:W3CDTF">2024-04-30T18:47:53Z</dcterms:modified>
  <cp:category>PETANQUE</cp:category>
  <cp:contentStatus/>
</cp:coreProperties>
</file>